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475" windowHeight="10470" tabRatio="93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6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4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63" hidden="1">"1_1_2_2_1"</definedName>
    <definedName name="__FPMExcelClient_CellBasedFunctionStatus" localSheetId="2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9" hidden="1">"1_1_2_2_1"</definedName>
    <definedName name="__FPMExcelClient_CellBasedFunctionStatus" localSheetId="21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DDetallCorrent!$A$1:$P$140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DDetallCorrent!$A$1:$P$140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J12" i="85" l="1"/>
  <c r="H12" i="85"/>
  <c r="J13" i="86"/>
  <c r="H13" i="86"/>
  <c r="F13" i="86"/>
  <c r="J13" i="80" l="1"/>
  <c r="J11" i="80"/>
  <c r="H13" i="80"/>
  <c r="F13" i="80"/>
  <c r="J13" i="84"/>
  <c r="H13" i="84"/>
  <c r="F13" i="84"/>
  <c r="J11" i="84"/>
  <c r="H11" i="84"/>
  <c r="F11" i="84"/>
  <c r="J11" i="81"/>
  <c r="F11" i="81"/>
  <c r="P10" i="27"/>
  <c r="S14" i="1" l="1"/>
  <c r="S12" i="1"/>
  <c r="E14" i="15"/>
  <c r="F12" i="85" l="1"/>
  <c r="H11" i="80"/>
  <c r="H12" i="28"/>
  <c r="F12" i="28"/>
  <c r="P129" i="45"/>
  <c r="P128" i="45"/>
  <c r="F115" i="45"/>
  <c r="H115" i="45"/>
  <c r="J115" i="45"/>
  <c r="I105" i="45"/>
  <c r="F27" i="44"/>
  <c r="F26" i="44"/>
  <c r="H7" i="44"/>
  <c r="H59" i="43"/>
  <c r="K57" i="43"/>
  <c r="K21" i="43"/>
  <c r="H21" i="43"/>
  <c r="H14" i="43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5" i="45"/>
  <c r="M110" i="45"/>
  <c r="P90" i="45"/>
  <c r="P91" i="45"/>
  <c r="P94" i="45"/>
  <c r="P83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M3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O13" i="103" s="1"/>
  <c r="K13" i="103"/>
  <c r="L13" i="103" s="1"/>
  <c r="I13" i="103"/>
  <c r="G13" i="103"/>
  <c r="E13" i="103"/>
  <c r="D13" i="103"/>
  <c r="C13" i="103"/>
  <c r="P11" i="103"/>
  <c r="M11" i="103"/>
  <c r="J11" i="103"/>
  <c r="H11" i="103"/>
  <c r="F11" i="103"/>
  <c r="N10" i="103"/>
  <c r="O10" i="103" s="1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G17" i="103" l="1"/>
  <c r="H16" i="103"/>
  <c r="D17" i="103"/>
  <c r="F16" i="103"/>
  <c r="J16" i="103"/>
  <c r="L16" i="103"/>
  <c r="M16" i="103"/>
  <c r="O16" i="103"/>
  <c r="P16" i="103"/>
  <c r="M13" i="103"/>
  <c r="C17" i="103"/>
  <c r="N17" i="103"/>
  <c r="O17" i="103" s="1"/>
  <c r="P13" i="103"/>
  <c r="P10" i="103"/>
  <c r="K17" i="103"/>
  <c r="L17" i="103" s="1"/>
  <c r="M10" i="103"/>
  <c r="F13" i="103"/>
  <c r="F10" i="103"/>
  <c r="H10" i="103"/>
  <c r="H13" i="103"/>
  <c r="E17" i="103"/>
  <c r="I17" i="103"/>
  <c r="J10" i="103"/>
  <c r="J13" i="103"/>
  <c r="H5" i="44"/>
  <c r="H13" i="44"/>
  <c r="H17" i="103" l="1"/>
  <c r="F17" i="103"/>
  <c r="M17" i="103"/>
  <c r="P17" i="103"/>
  <c r="J17" i="103"/>
  <c r="J11" i="88"/>
  <c r="H11" i="88"/>
  <c r="F11" i="88"/>
  <c r="P11" i="82"/>
  <c r="M11" i="82"/>
  <c r="J11" i="86"/>
  <c r="F11" i="86"/>
  <c r="H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M10" i="20"/>
  <c r="P10" i="20"/>
  <c r="P8" i="20"/>
  <c r="N190" i="78" l="1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K148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2" i="45" l="1"/>
  <c r="H82" i="45"/>
  <c r="F82" i="45"/>
  <c r="P136" i="45"/>
  <c r="M136" i="45"/>
  <c r="M134" i="45"/>
  <c r="P130" i="45"/>
  <c r="M129" i="45"/>
  <c r="M128" i="45"/>
  <c r="M127" i="45"/>
  <c r="P122" i="45"/>
  <c r="M123" i="45"/>
  <c r="P120" i="45"/>
  <c r="P115" i="45"/>
  <c r="P110" i="45"/>
  <c r="P103" i="45"/>
  <c r="M103" i="45"/>
  <c r="M90" i="45"/>
  <c r="M91" i="45"/>
  <c r="P87" i="45"/>
  <c r="M87" i="45"/>
  <c r="M86" i="45"/>
  <c r="P86" i="45"/>
  <c r="P85" i="45"/>
  <c r="M85" i="45"/>
  <c r="M83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F9" i="80" l="1"/>
  <c r="J9" i="28"/>
  <c r="I10" i="28"/>
  <c r="H9" i="28"/>
  <c r="F9" i="28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C17" i="100" s="1"/>
  <c r="J8" i="100"/>
  <c r="H8" i="100"/>
  <c r="F8" i="100"/>
  <c r="J6" i="100"/>
  <c r="H6" i="100"/>
  <c r="F6" i="100"/>
  <c r="J5" i="100"/>
  <c r="H5" i="100"/>
  <c r="F5" i="100"/>
  <c r="F10" i="100" l="1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N27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8" i="45"/>
  <c r="C138" i="45"/>
  <c r="C105" i="45"/>
  <c r="F88" i="45"/>
  <c r="J88" i="45"/>
  <c r="H88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4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6" i="45" l="1"/>
  <c r="H86" i="45"/>
  <c r="J86" i="45"/>
  <c r="F87" i="45"/>
  <c r="H87" i="45"/>
  <c r="J87" i="45"/>
  <c r="F89" i="45"/>
  <c r="H89" i="45"/>
  <c r="J89" i="45"/>
  <c r="F90" i="45"/>
  <c r="H90" i="45"/>
  <c r="J90" i="45"/>
  <c r="F91" i="45"/>
  <c r="H91" i="45"/>
  <c r="J91" i="45"/>
  <c r="F94" i="45"/>
  <c r="H94" i="45"/>
  <c r="J94" i="45"/>
  <c r="F99" i="45"/>
  <c r="H99" i="45"/>
  <c r="J99" i="45"/>
  <c r="F100" i="45"/>
  <c r="H100" i="45"/>
  <c r="J100" i="45"/>
  <c r="F102" i="45"/>
  <c r="H102" i="45"/>
  <c r="J102" i="45"/>
  <c r="F103" i="45"/>
  <c r="H103" i="45"/>
  <c r="J103" i="45"/>
  <c r="D105" i="45"/>
  <c r="E105" i="45"/>
  <c r="G105" i="45"/>
  <c r="E8" i="44"/>
  <c r="D60" i="43"/>
  <c r="E17" i="15"/>
  <c r="I11" i="15"/>
  <c r="H5" i="1"/>
  <c r="F105" i="45" l="1"/>
  <c r="J105" i="45"/>
  <c r="H105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N6" i="16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N6" i="78"/>
  <c r="K6" i="78"/>
  <c r="K6" i="16"/>
  <c r="N61" i="45"/>
  <c r="N138" i="45"/>
  <c r="K105" i="45"/>
  <c r="K138" i="45"/>
  <c r="N105" i="45"/>
  <c r="N65" i="45"/>
  <c r="K65" i="45"/>
  <c r="N139" i="45" l="1"/>
  <c r="N140" i="45" s="1"/>
  <c r="K139" i="45"/>
  <c r="K140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4" i="45" l="1"/>
  <c r="H134" i="45"/>
  <c r="F134" i="45"/>
  <c r="J129" i="45"/>
  <c r="J130" i="45"/>
  <c r="J131" i="45"/>
  <c r="J132" i="45"/>
  <c r="H129" i="45"/>
  <c r="H130" i="45"/>
  <c r="H131" i="45"/>
  <c r="H132" i="45"/>
  <c r="F129" i="45"/>
  <c r="F130" i="45"/>
  <c r="F131" i="45"/>
  <c r="F132" i="45"/>
  <c r="J126" i="45"/>
  <c r="H126" i="45"/>
  <c r="F126" i="45"/>
  <c r="J123" i="45"/>
  <c r="H123" i="45"/>
  <c r="F123" i="45"/>
  <c r="J111" i="45"/>
  <c r="H111" i="45"/>
  <c r="F111" i="45"/>
  <c r="J83" i="45"/>
  <c r="J85" i="45"/>
  <c r="H83" i="45"/>
  <c r="H84" i="45"/>
  <c r="H85" i="45"/>
  <c r="F83" i="45"/>
  <c r="F84" i="45"/>
  <c r="F85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7" i="45" l="1"/>
  <c r="H137" i="45"/>
  <c r="F137" i="45"/>
  <c r="F14" i="44" l="1"/>
  <c r="F7" i="44"/>
  <c r="G14" i="43"/>
  <c r="E14" i="43"/>
  <c r="D14" i="43"/>
  <c r="F14" i="43" l="1"/>
  <c r="E16" i="15"/>
  <c r="I10" i="79" l="1"/>
  <c r="K149" i="78"/>
  <c r="N65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K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N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N148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N17" i="88" s="1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N17" i="86" s="1"/>
  <c r="K10" i="86"/>
  <c r="K17" i="86" s="1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K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M13" i="84" s="1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2" l="1"/>
  <c r="P13" i="84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N17" i="81" s="1"/>
  <c r="K10" i="81"/>
  <c r="K17" i="81" s="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N17" i="80" s="1"/>
  <c r="K10" i="80"/>
  <c r="K17" i="80" s="1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7" i="85" l="1"/>
  <c r="F17" i="84"/>
  <c r="F13" i="81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I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F17" i="81" l="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M12" i="76" s="1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N211" i="78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5" i="45"/>
  <c r="M133" i="45"/>
  <c r="M132" i="45"/>
  <c r="M131" i="45"/>
  <c r="M130" i="45"/>
  <c r="M126" i="45"/>
  <c r="M124" i="45"/>
  <c r="M122" i="45"/>
  <c r="M120" i="45"/>
  <c r="M119" i="45"/>
  <c r="M117" i="45"/>
  <c r="M116" i="45"/>
  <c r="M94" i="45"/>
  <c r="M84" i="45"/>
  <c r="M81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0" i="45" l="1"/>
  <c r="H28" i="44" l="1"/>
  <c r="K12" i="15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P12" i="76" s="1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E16" i="76" l="1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H12" i="76"/>
  <c r="F12" i="76"/>
  <c r="N16" i="76"/>
  <c r="P9" i="74"/>
  <c r="C17" i="28"/>
  <c r="C16" i="76"/>
  <c r="F9" i="76"/>
  <c r="H9" i="76"/>
  <c r="J9" i="76"/>
  <c r="J12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F8" i="44" l="1"/>
  <c r="P11" i="23" l="1"/>
  <c r="P6" i="23"/>
  <c r="H8" i="27" l="1"/>
  <c r="I14" i="15" l="1"/>
  <c r="P8" i="27" l="1"/>
  <c r="P8" i="26"/>
  <c r="P35" i="16" l="1"/>
  <c r="J55" i="16" l="1"/>
  <c r="J48" i="16"/>
  <c r="J40" i="16"/>
  <c r="J41" i="16"/>
  <c r="J42" i="16"/>
  <c r="J122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6" i="45" l="1"/>
  <c r="P81" i="45"/>
  <c r="P63" i="45"/>
  <c r="K43" i="43"/>
  <c r="J8" i="24" l="1"/>
  <c r="H8" i="24"/>
  <c r="F133" i="45" l="1"/>
  <c r="H122" i="45"/>
  <c r="H124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H12" i="24" s="1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2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4" i="45" l="1"/>
  <c r="J116" i="45"/>
  <c r="J117" i="45"/>
  <c r="J119" i="45"/>
  <c r="J120" i="45"/>
  <c r="I27" i="1" l="1"/>
  <c r="E27" i="1"/>
  <c r="G27" i="1"/>
  <c r="O27" i="1" l="1"/>
  <c r="J5" i="20"/>
  <c r="J6" i="20"/>
  <c r="J10" i="20"/>
  <c r="H10" i="20" l="1"/>
  <c r="J39" i="45"/>
  <c r="J40" i="45"/>
  <c r="H39" i="45"/>
  <c r="H40" i="45"/>
  <c r="P132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8" i="45"/>
  <c r="I138" i="45"/>
  <c r="G138" i="45"/>
  <c r="M138" i="45" s="1"/>
  <c r="G6" i="14"/>
  <c r="G7" i="14" s="1"/>
  <c r="D139" i="45" l="1"/>
  <c r="F138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0" i="45"/>
  <c r="F110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7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M17" i="28" s="1"/>
  <c r="D17" i="28"/>
  <c r="P16" i="23"/>
  <c r="F10" i="28"/>
  <c r="P10" i="28"/>
  <c r="J13" i="28"/>
  <c r="I17" i="28"/>
  <c r="P17" i="28" s="1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7" i="28" l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E59" i="13"/>
  <c r="D59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6" i="45"/>
  <c r="H136" i="45"/>
  <c r="F136" i="45"/>
  <c r="P135" i="45"/>
  <c r="J135" i="45"/>
  <c r="H135" i="45"/>
  <c r="F135" i="45"/>
  <c r="P133" i="45"/>
  <c r="J133" i="45"/>
  <c r="H133" i="45"/>
  <c r="J127" i="45"/>
  <c r="H127" i="45"/>
  <c r="F127" i="45"/>
  <c r="J128" i="45"/>
  <c r="H128" i="45"/>
  <c r="F128" i="45"/>
  <c r="J124" i="45"/>
  <c r="F124" i="45"/>
  <c r="P131" i="45"/>
  <c r="H120" i="45"/>
  <c r="F120" i="45"/>
  <c r="P119" i="45"/>
  <c r="H119" i="45"/>
  <c r="F119" i="45"/>
  <c r="H117" i="45"/>
  <c r="F117" i="45"/>
  <c r="H116" i="45"/>
  <c r="F116" i="45"/>
  <c r="F80" i="16" l="1"/>
  <c r="J80" i="16"/>
  <c r="H80" i="16"/>
  <c r="P79" i="16"/>
  <c r="P138" i="45"/>
  <c r="J138" i="45"/>
  <c r="H138" i="45"/>
  <c r="E139" i="45" l="1"/>
  <c r="F139" i="45" s="1"/>
  <c r="C139" i="45"/>
  <c r="G139" i="45" l="1"/>
  <c r="M139" i="45" s="1"/>
  <c r="M105" i="45"/>
  <c r="I139" i="45"/>
  <c r="P105" i="45"/>
  <c r="J81" i="45"/>
  <c r="H81" i="45"/>
  <c r="F81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39" i="45" l="1"/>
  <c r="P139" i="45"/>
  <c r="J139" i="45"/>
  <c r="I65" i="45"/>
  <c r="P65" i="45" s="1"/>
  <c r="G65" i="45"/>
  <c r="M65" i="45" s="1"/>
  <c r="E65" i="45"/>
  <c r="D65" i="45"/>
  <c r="C65" i="45"/>
  <c r="C140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1" i="45"/>
  <c r="D140" i="45" s="1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0" i="45"/>
  <c r="S16" i="1"/>
  <c r="E17" i="1"/>
  <c r="C4" i="42" s="1"/>
  <c r="H16" i="1"/>
  <c r="H13" i="1"/>
  <c r="G140" i="45"/>
  <c r="M140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0" i="45"/>
  <c r="F140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H16" i="44" s="1"/>
  <c r="D16" i="44"/>
  <c r="C16" i="44"/>
  <c r="C8" i="44"/>
  <c r="F16" i="44" l="1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0" i="45" l="1"/>
  <c r="J140" i="45" l="1"/>
  <c r="P140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<sst xmlns="http://schemas.openxmlformats.org/spreadsheetml/2006/main" count="3951" uniqueCount="786">
  <si>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</si>
  <si>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</si>
  <si>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</si>
  <si>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</si>
  <si>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</si>
  <si>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</si>
  <si>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</si>
  <si>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</si>
  <si>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</si>
  <si>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</si>
  <si>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</si>
  <si>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</si>
  <si>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</si>
  <si>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</si>
  <si>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</si>
  <si>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</si>
  <si>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</si>
  <si>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</si>
  <si>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</si>
  <si>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</si>
  <si>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</si>
  <si>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</si>
  <si>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</si>
  <si>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</si>
  <si>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</si>
  <si>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</si>
  <si>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</si>
  <si>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</si>
  <si>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</si>
  <si>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</si>
  <si>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</si>
  <si>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</si>
  <si>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</si>
  <si>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</si>
  <si>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</si>
  <si>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</si>
  <si>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</si>
  <si>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</si>
  <si>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</si>
  <si>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</si>
  <si>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</si>
  <si>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</si>
  <si>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</si>
  <si>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</si>
  <si>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</si>
  <si>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</si>
  <si>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</si>
  <si>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</si>
  <si>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</si>
  <si>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</si>
  <si>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</si>
  <si>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</si>
  <si>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</si>
  <si>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</si>
  <si>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</si>
  <si>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</si>
  <si>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</si>
  <si>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</si>
  <si>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</si>
  <si>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</si>
  <si>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</si>
  <si>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</si>
  <si>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</si>
  <si>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</si>
  <si>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</si>
  <si>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</si>
  <si>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</si>
  <si>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</si>
  <si>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</si>
  <si>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</si>
  <si>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</si>
  <si>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</si>
  <si>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</si>
  <si>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</si>
  <si>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</si>
  <si>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</si>
  <si>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</si>
  <si>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</si>
  <si>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</si>
  <si>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</si>
  <si>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</si>
  <si>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</si>
  <si>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</si>
  <si>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</si>
  <si>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</si>
  <si>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</si>
  <si>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</si>
  <si>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</si>
  <si>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</si>
  <si>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</si>
  <si>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</si>
  <si>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</si>
  <si>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</si>
  <si>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</si>
  <si>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</si>
  <si>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</si>
  <si>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</si>
  <si>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</si>
  <si>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</si>
  <si>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</si>
  <si>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</si>
  <si>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</si>
  <si>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</si>
  <si>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</si>
  <si>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</si>
  <si>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</si>
  <si>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</si>
  <si>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</si>
  <si>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</si>
  <si>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</si>
  <si>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</si>
  <si>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</si>
  <si>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</si>
  <si>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</si>
  <si>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</si>
  <si>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</si>
  <si>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</si>
  <si>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</si>
  <si>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</si>
  <si>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</si>
  <si>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</si>
  <si>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</si>
  <si>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</si>
  <si>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</si>
  <si>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</si>
  <si>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</si>
  <si>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</si>
  <si>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</si>
  <si>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</si>
  <si>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</si>
  <si>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</si>
  <si>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</si>
  <si>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</si>
  <si>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</si>
  <si>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</si>
  <si>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</si>
  <si>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</si>
  <si>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</si>
  <si>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</si>
  <si>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</si>
  <si>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</si>
  <si>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</si>
  <si>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</si>
  <si>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</si>
  <si>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</si>
  <si>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</si>
  <si>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</si>
  <si>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</si>
  <si>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</si>
  <si>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</si>
  <si>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</si>
  <si>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</si>
  <si>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</si>
  <si>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</si>
  <si>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</si>
  <si>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</si>
  <si>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</si>
  <si>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</si>
  <si>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</si>
  <si>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</si>
  <si>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</si>
  <si>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</si>
  <si>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</si>
  <si>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</si>
  <si>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</si>
  <si>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</si>
  <si>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</si>
  <si>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</si>
  <si>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</si>
  <si>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</si>
  <si>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</si>
  <si>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</si>
  <si>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</si>
  <si>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</si>
  <si>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</si>
  <si>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</si>
  <si>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</si>
  <si>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</si>
  <si>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</si>
  <si>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</si>
  <si>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</si>
  <si>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</si>
  <si>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</si>
  <si>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</si>
  <si>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</si>
  <si>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</si>
  <si>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</si>
  <si>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</si>
  <si>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</si>
  <si>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</si>
  <si>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</si>
  <si>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</si>
  <si>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</si>
  <si>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</si>
  <si>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</si>
  <si>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</si>
  <si>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</si>
  <si>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</si>
  <si>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</si>
  <si>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</si>
  <si>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</si>
  <si>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</si>
  <si>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</si>
  <si>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</si>
  <si>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</si>
  <si>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</si>
  <si>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</si>
  <si>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</si>
  <si>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</si>
  <si>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</si>
  <si>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</si>
  <si>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</si>
  <si>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</si>
  <si>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</si>
  <si>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</si>
  <si>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</si>
  <si>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</si>
  <si>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</si>
  <si>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</si>
  <si>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</si>
  <si>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</si>
  <si>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</si>
  <si>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</si>
  <si>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</si>
  <si>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</si>
  <si>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</si>
  <si>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</si>
  <si>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</si>
  <si>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</si>
  <si>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</si>
  <si>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</si>
  <si>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</si>
  <si>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</si>
  <si>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</si>
  <si>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</si>
  <si>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</si>
  <si>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</si>
  <si>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</si>
  <si>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</si>
  <si>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</si>
  <si>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</si>
  <si>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</si>
  <si>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</si>
  <si>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</si>
  <si>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</si>
  <si>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</si>
  <si>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</si>
  <si>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</si>
  <si>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</si>
  <si>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</si>
  <si>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</si>
  <si>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</si>
  <si>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</si>
  <si>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</si>
  <si>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</si>
  <si>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</si>
  <si>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</si>
  <si>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</si>
  <si>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</si>
  <si>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</si>
  <si>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</si>
  <si>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</si>
  <si>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</si>
  <si>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</si>
  <si>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</si>
  <si>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</si>
  <si>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</si>
  <si>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</si>
  <si>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</si>
  <si>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</si>
  <si>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</si>
  <si>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</si>
  <si>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</si>
  <si>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</si>
  <si>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</si>
  <si>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</si>
  <si>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</si>
  <si>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</si>
  <si>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</si>
  <si>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</si>
  <si>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</si>
  <si>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</si>
  <si>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</si>
  <si>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</si>
  <si>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</si>
  <si>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</si>
  <si>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</si>
  <si>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</si>
  <si>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</si>
  <si>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</si>
  <si>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</si>
  <si>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</si>
  <si>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</si>
  <si>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</si>
  <si>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</si>
  <si>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</si>
  <si>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</si>
  <si>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</si>
  <si>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</si>
  <si>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</si>
  <si>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</si>
  <si>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</si>
  <si>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</si>
  <si>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</si>
  <si>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</si>
  <si>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</si>
  <si>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</si>
  <si>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</si>
  <si>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</si>
  <si>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</si>
  <si>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</si>
  <si>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</si>
  <si>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</si>
  <si>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</si>
  <si>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</si>
  <si>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</si>
  <si>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</si>
  <si>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</si>
  <si>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</si>
  <si>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</si>
  <si>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</si>
  <si>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</si>
  <si>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</si>
  <si>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</si>
  <si>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</si>
  <si>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</si>
  <si>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</si>
  <si>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</si>
  <si>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</si>
  <si>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</si>
  <si>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</si>
  <si>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</si>
  <si>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</si>
  <si>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</si>
  <si>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</si>
  <si>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</si>
  <si>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</si>
  <si>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</si>
  <si>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</si>
  <si>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</si>
  <si>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</si>
  <si>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</si>
  <si>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</si>
  <si>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</si>
  <si>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</si>
  <si>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</si>
  <si>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</si>
  <si>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</si>
  <si>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</si>
  <si>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</si>
  <si>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</si>
  <si>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</si>
  <si>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</si>
  <si>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</si>
  <si>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</si>
  <si>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</si>
  <si>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</si>
  <si>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</si>
  <si>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</si>
  <si>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</si>
  <si>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</si>
  <si>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</si>
  <si>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</si>
  <si>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</si>
  <si>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</si>
  <si>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</si>
  <si>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</si>
  <si>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</si>
  <si>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</si>
  <si>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</si>
  <si>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</si>
  <si>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</si>
  <si>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</si>
  <si>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</si>
  <si>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</si>
  <si>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</si>
  <si>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</si>
  <si>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</si>
  <si>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</si>
  <si>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</si>
  <si>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</si>
  <si>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</si>
  <si>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</si>
  <si>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</si>
  <si>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</si>
  <si>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</si>
  <si>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</si>
  <si>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</si>
  <si>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</si>
  <si>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</si>
  <si>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</si>
  <si>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</si>
  <si>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</si>
  <si>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</si>
  <si>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</si>
  <si>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</si>
  <si>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</si>
  <si>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</si>
  <si>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</si>
  <si>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</si>
  <si>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</si>
  <si>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</si>
  <si>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</si>
  <si>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</si>
  <si>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</si>
  <si>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</si>
  <si>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</si>
  <si>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</si>
  <si>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</si>
  <si>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</si>
  <si>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</si>
  <si>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</si>
  <si>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</si>
  <si>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</si>
  <si>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</si>
  <si>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</si>
  <si>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</si>
  <si>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</si>
  <si>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</si>
  <si>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</si>
  <si>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</si>
  <si>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</si>
  <si>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</si>
  <si>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</si>
  <si>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</si>
  <si>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</si>
  <si>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</si>
  <si>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</si>
  <si>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</si>
  <si>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</si>
  <si>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</si>
  <si>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</si>
  <si>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</si>
  <si>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</si>
  <si>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</si>
  <si>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</si>
  <si>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</si>
  <si>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</si>
  <si>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</si>
  <si>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</si>
  <si>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</si>
  <si>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</si>
  <si>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</si>
  <si>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</si>
  <si>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</si>
  <si>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</si>
  <si>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</si>
  <si>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</si>
  <si>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</si>
  <si>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</si>
  <si>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</si>
  <si>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</si>
  <si>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</si>
  <si>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</si>
  <si>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</si>
  <si>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</si>
  <si>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</si>
  <si>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</si>
  <si>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</si>
  <si>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</si>
  <si>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</si>
  <si>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</si>
  <si>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</si>
  <si>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</si>
  <si>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</si>
  <si>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</si>
  <si>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</si>
  <si>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</si>
  <si>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</si>
  <si>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</si>
  <si>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</si>
  <si>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</si>
  <si>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</si>
  <si>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</si>
  <si>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</si>
  <si>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</si>
  <si>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</si>
  <si>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</si>
  <si>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</si>
  <si>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</si>
  <si>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</si>
  <si>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</si>
  <si>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</si>
  <si>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</si>
  <si>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</si>
  <si>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</si>
  <si>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</si>
  <si>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</si>
  <si>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</si>
  <si>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</si>
  <si>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</si>
  <si>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</si>
  <si>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</si>
  <si>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</si>
  <si>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</si>
  <si>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</si>
  <si>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</si>
  <si>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</si>
  <si>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</si>
  <si>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</si>
  <si>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</si>
  <si>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</si>
  <si>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</si>
  <si>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</si>
  <si>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</si>
  <si>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</si>
  <si>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</si>
  <si>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</si>
  <si>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</si>
  <si>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</si>
  <si>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</si>
  <si>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</si>
  <si>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</si>
  <si>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</si>
  <si>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</si>
  <si>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</si>
  <si>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</si>
  <si>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</si>
  <si>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</si>
  <si>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</si>
  <si>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</si>
  <si>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</si>
  <si>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</si>
  <si>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</si>
  <si>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</si>
  <si>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</si>
  <si>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</si>
  <si>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</si>
  <si>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</si>
  <si>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</si>
  <si>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</si>
  <si>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</si>
  <si>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</si>
  <si>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</si>
  <si>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</si>
  <si>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</si>
  <si>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</si>
  <si>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</si>
  <si>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</si>
  <si>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</si>
  <si>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</si>
  <si>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</si>
  <si>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</si>
  <si>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</si>
  <si>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</si>
  <si>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</si>
  <si>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</si>
  <si>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</si>
  <si>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</si>
  <si>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</si>
  <si>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</si>
  <si>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</si>
  <si>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</si>
  <si>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</si>
  <si>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</si>
  <si>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</si>
  <si>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</si>
  <si>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</si>
  <si>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</si>
  <si>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</si>
  <si>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</si>
  <si>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</si>
  <si>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</si>
  <si>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</si>
  <si>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</si>
  <si>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</si>
  <si>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</si>
  <si>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</si>
  <si>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</si>
  <si>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</si>
  <si>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</si>
  <si>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</si>
  <si>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</si>
  <si>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</si>
  <si>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</si>
  <si>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</si>
  <si>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</si>
  <si>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</si>
  <si>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</si>
  <si>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</si>
  <si>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</si>
  <si>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</si>
  <si>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</si>
  <si>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</si>
  <si>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</si>
  <si>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</si>
  <si>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</si>
  <si>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</si>
  <si>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</si>
  <si>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</si>
  <si>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</si>
  <si>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</si>
  <si>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</si>
  <si>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</si>
  <si>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</si>
  <si>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</si>
  <si>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</si>
  <si>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</si>
  <si>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</si>
  <si>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</si>
  <si>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</si>
  <si>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</si>
  <si>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</si>
  <si>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</si>
  <si>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</si>
  <si>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</si>
  <si>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</si>
  <si>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</si>
  <si>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</si>
  <si>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</si>
  <si>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</si>
  <si>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</si>
  <si>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</si>
  <si>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</si>
  <si>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</si>
  <si>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</si>
  <si>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</si>
  <si>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</si>
  <si>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</si>
  <si>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</si>
  <si>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</si>
  <si>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</si>
  <si>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</si>
  <si>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</si>
  <si>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</si>
  <si>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</si>
  <si>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</si>
  <si>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</si>
  <si>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</si>
  <si>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</si>
  <si>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</si>
  <si>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</si>
  <si>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</si>
  <si>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</si>
  <si>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</si>
  <si>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</si>
  <si>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</si>
  <si>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</si>
  <si>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</si>
  <si>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</si>
  <si>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</si>
  <si>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</si>
  <si>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</si>
  <si>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</si>
  <si>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</si>
  <si>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</si>
  <si>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</si>
  <si>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</si>
  <si>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</si>
  <si>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</si>
  <si>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</si>
  <si>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</si>
  <si>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</si>
  <si>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</si>
  <si>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</si>
  <si>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</si>
  <si>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</si>
  <si>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</si>
  <si>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</si>
  <si>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</si>
  <si>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</si>
  <si>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</si>
  <si>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</si>
  <si>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</si>
  <si>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</si>
  <si>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</si>
  <si>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</si>
  <si>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</si>
  <si>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</si>
  <si>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</si>
  <si>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</si>
  <si>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</si>
  <si>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</si>
  <si>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</si>
  <si>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</si>
  <si>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</si>
  <si>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</si>
  <si>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</si>
  <si>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</si>
  <si>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</si>
  <si>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</si>
  <si>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</si>
  <si>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</si>
  <si>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</si>
  <si>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</si>
  <si>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</si>
  <si>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</si>
  <si>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</si>
  <si>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</si>
  <si>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</si>
  <si>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</si>
  <si>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</si>
  <si>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</si>
  <si>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</si>
  <si>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</si>
  <si>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</si>
  <si>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</si>
  <si>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</si>
  <si>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</si>
  <si>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</si>
  <si>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</si>
  <si>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</si>
  <si>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</si>
  <si>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</si>
  <si>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</si>
  <si>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</si>
  <si>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</si>
  <si>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</si>
  <si>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</si>
  <si>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</si>
  <si>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</si>
  <si>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</si>
  <si>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</si>
  <si>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</si>
  <si>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</si>
  <si>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</si>
  <si>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</si>
  <si>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</si>
  <si>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</si>
  <si>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</si>
  <si>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</si>
  <si>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</si>
  <si>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</si>
  <si>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</si>
  <si>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</si>
  <si>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</si>
  <si>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</si>
  <si>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</si>
  <si>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</si>
  <si>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</si>
  <si>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</si>
  <si>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</si>
  <si>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</si>
  <si>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</si>
  <si>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</si>
  <si>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</si>
  <si>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</si>
  <si>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</si>
  <si>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</si>
  <si>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</si>
  <si>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</si>
  <si>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</si>
  <si>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</si>
  <si>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</si>
  <si>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</si>
  <si>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</si>
  <si>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</si>
  <si>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</si>
  <si>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</si>
  <si>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</si>
  <si>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</si>
  <si>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</si>
  <si>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</si>
  <si>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</si>
  <si>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</si>
  <si>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</si>
  <si>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</si>
  <si>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</si>
  <si>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</si>
  <si>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</si>
  <si>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</si>
  <si>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</si>
  <si>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</si>
  <si>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</si>
  <si>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</si>
  <si>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</si>
  <si>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</si>
  <si>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</si>
  <si>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</si>
  <si>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</si>
  <si>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</si>
  <si>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</si>
  <si>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</si>
  <si>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</si>
  <si>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</si>
  <si>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</si>
  <si>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</si>
  <si>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</si>
  <si>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</si>
  <si>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A Març</t>
  </si>
  <si>
    <t>Març</t>
  </si>
  <si>
    <t>Març 2017</t>
  </si>
  <si>
    <t>Març 2016</t>
  </si>
  <si>
    <t xml:space="preserve">Març 2016 </t>
  </si>
  <si>
    <t>Anàlisi modificacions de crèdit per capítols Març 2017</t>
  </si>
  <si>
    <t>Març2017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</si>
</sst>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9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19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505">
    <xf numFmtId="0" fontId="0" fillId="0" borderId="0"/>
    <xf numFmtId="0" fontId="2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6" fillId="0" borderId="0"/>
    <xf numFmtId="0" fontId="42" fillId="0" borderId="0"/>
    <xf numFmtId="0" fontId="46" fillId="0" borderId="0"/>
    <xf numFmtId="0" fontId="42" fillId="0" borderId="0"/>
    <xf numFmtId="0" fontId="48" fillId="0" borderId="0"/>
    <xf numFmtId="0" fontId="42" fillId="0" borderId="0"/>
    <xf numFmtId="0" fontId="51" fillId="0" borderId="0" applyNumberFormat="0" applyFill="0" applyBorder="0" applyAlignment="0" applyProtection="0"/>
    <xf numFmtId="0" fontId="26" fillId="0" borderId="0"/>
    <xf numFmtId="0" fontId="67" fillId="0" borderId="107" applyNumberFormat="0" applyFill="0" applyAlignment="0" applyProtection="0"/>
    <xf numFmtId="0" fontId="68" fillId="0" borderId="108" applyNumberFormat="0" applyFill="0" applyAlignment="0" applyProtection="0"/>
    <xf numFmtId="0" fontId="27" fillId="0" borderId="109" applyNumberFormat="0" applyFill="0" applyAlignment="0" applyProtection="0"/>
    <xf numFmtId="0" fontId="69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6" borderId="0" applyNumberFormat="0" applyBorder="0" applyAlignment="0" applyProtection="0"/>
    <xf numFmtId="0" fontId="72" fillId="7" borderId="110" applyNumberFormat="0" applyAlignment="0" applyProtection="0"/>
    <xf numFmtId="0" fontId="73" fillId="8" borderId="111" applyNumberFormat="0" applyAlignment="0" applyProtection="0"/>
    <xf numFmtId="0" fontId="74" fillId="8" borderId="110" applyNumberFormat="0" applyAlignment="0" applyProtection="0"/>
    <xf numFmtId="0" fontId="75" fillId="0" borderId="112" applyNumberFormat="0" applyFill="0" applyAlignment="0" applyProtection="0"/>
    <xf numFmtId="0" fontId="28" fillId="9" borderId="11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115" applyNumberFormat="0" applyFill="0" applyAlignment="0" applyProtection="0"/>
    <xf numFmtId="0" fontId="29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9" fillId="34" borderId="0" applyNumberFormat="0" applyBorder="0" applyAlignment="0" applyProtection="0"/>
    <xf numFmtId="0" fontId="42" fillId="0" borderId="0"/>
    <xf numFmtId="0" fontId="36" fillId="10" borderId="114" applyNumberFormat="0" applyFont="0" applyAlignment="0" applyProtection="0"/>
    <xf numFmtId="0" fontId="42" fillId="0" borderId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36" fillId="17" borderId="0" applyNumberFormat="0" applyBorder="0" applyAlignment="0" applyProtection="0"/>
    <xf numFmtId="0" fontId="36" fillId="10" borderId="114" applyNumberFormat="0" applyFont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114" applyNumberFormat="0" applyFon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6" fillId="10" borderId="114" applyNumberFormat="0" applyFont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6" fillId="34" borderId="0" applyNumberFormat="0" applyBorder="0" applyAlignment="0" applyProtection="0"/>
    <xf numFmtId="0" fontId="25" fillId="0" borderId="0"/>
    <xf numFmtId="0" fontId="42" fillId="0" borderId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8" fillId="0" borderId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6" fillId="34" borderId="0" applyNumberFormat="0" applyBorder="0" applyAlignment="0" applyProtection="0"/>
    <xf numFmtId="0" fontId="24" fillId="0" borderId="0"/>
    <xf numFmtId="0" fontId="24" fillId="10" borderId="114" applyNumberFormat="0" applyFont="0" applyAlignment="0" applyProtection="0"/>
    <xf numFmtId="0" fontId="81" fillId="0" borderId="0"/>
    <xf numFmtId="0" fontId="42" fillId="0" borderId="0"/>
    <xf numFmtId="43" fontId="36" fillId="0" borderId="0" applyFont="0" applyFill="0" applyBorder="0" applyAlignment="0" applyProtection="0"/>
    <xf numFmtId="0" fontId="83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4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87" fillId="0" borderId="0"/>
    <xf numFmtId="9" fontId="20" fillId="0" borderId="0" applyFont="0" applyFill="0" applyBorder="0" applyAlignment="0" applyProtection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8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36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0" fillId="0" borderId="0"/>
    <xf numFmtId="0" fontId="16" fillId="0" borderId="0"/>
    <xf numFmtId="0" fontId="15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91" fillId="0" borderId="0"/>
    <xf numFmtId="0" fontId="12" fillId="0" borderId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2" fillId="0" borderId="0"/>
    <xf numFmtId="0" fontId="9" fillId="10" borderId="114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93" fillId="0" borderId="0"/>
    <xf numFmtId="0" fontId="4" fillId="10" borderId="114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3" fillId="0" borderId="0"/>
    <xf numFmtId="0" fontId="3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6" fillId="0" borderId="0"/>
    <xf numFmtId="0" fontId="1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7" fillId="0" borderId="0"/>
  </cellStyleXfs>
  <cellXfs count="774">
    <xf numFmtId="0" fontId="0" fillId="0" borderId="0" xfId="0"/>
    <xf numFmtId="0" fontId="29" fillId="2" borderId="0" xfId="0" applyFont="1" applyFill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1"/>
    <xf numFmtId="0" fontId="30" fillId="0" borderId="0" xfId="1" applyFont="1"/>
    <xf numFmtId="0" fontId="29" fillId="2" borderId="0" xfId="0" applyFont="1" applyFill="1" applyAlignment="1">
      <alignment vertical="center"/>
    </xf>
    <xf numFmtId="164" fontId="28" fillId="2" borderId="0" xfId="0" applyNumberFormat="1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2" fillId="0" borderId="5" xfId="0" quotePrefix="1" applyFont="1" applyBorder="1" applyAlignment="1">
      <alignment horizontal="center" vertical="center"/>
    </xf>
    <xf numFmtId="164" fontId="32" fillId="0" borderId="0" xfId="0" quotePrefix="1" applyNumberFormat="1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2" fillId="0" borderId="9" xfId="0" applyNumberFormat="1" applyFont="1" applyBorder="1" applyAlignment="1">
      <alignment horizontal="right" vertical="center"/>
    </xf>
    <xf numFmtId="0" fontId="32" fillId="0" borderId="8" xfId="0" quotePrefix="1" applyFont="1" applyBorder="1" applyAlignment="1">
      <alignment horizontal="center" vertical="center"/>
    </xf>
    <xf numFmtId="0" fontId="32" fillId="0" borderId="6" xfId="0" quotePrefix="1" applyFont="1" applyBorder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164" fontId="32" fillId="0" borderId="6" xfId="0" quotePrefix="1" applyNumberFormat="1" applyFont="1" applyBorder="1" applyAlignment="1">
      <alignment vertical="center"/>
    </xf>
    <xf numFmtId="3" fontId="32" fillId="0" borderId="6" xfId="0" applyNumberFormat="1" applyFont="1" applyBorder="1" applyAlignment="1">
      <alignment vertical="center"/>
    </xf>
    <xf numFmtId="164" fontId="32" fillId="0" borderId="8" xfId="0" quotePrefix="1" applyNumberFormat="1" applyFont="1" applyBorder="1" applyAlignment="1">
      <alignment vertical="center"/>
    </xf>
    <xf numFmtId="3" fontId="32" fillId="0" borderId="8" xfId="0" applyNumberFormat="1" applyFont="1" applyBorder="1" applyAlignment="1">
      <alignment vertical="center"/>
    </xf>
    <xf numFmtId="164" fontId="32" fillId="0" borderId="9" xfId="0" quotePrefix="1" applyNumberFormat="1" applyFont="1" applyBorder="1" applyAlignment="1">
      <alignment vertical="center"/>
    </xf>
    <xf numFmtId="3" fontId="32" fillId="0" borderId="9" xfId="0" applyNumberFormat="1" applyFont="1" applyBorder="1" applyAlignment="1">
      <alignment vertical="center"/>
    </xf>
    <xf numFmtId="164" fontId="32" fillId="0" borderId="8" xfId="0" applyNumberFormat="1" applyFont="1" applyBorder="1" applyAlignment="1">
      <alignment vertical="center"/>
    </xf>
    <xf numFmtId="164" fontId="32" fillId="0" borderId="9" xfId="0" applyNumberFormat="1" applyFont="1" applyBorder="1" applyAlignment="1">
      <alignment vertical="center"/>
    </xf>
    <xf numFmtId="164" fontId="32" fillId="0" borderId="6" xfId="0" quotePrefix="1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164" fontId="32" fillId="0" borderId="8" xfId="0" quotePrefix="1" applyNumberFormat="1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64" fontId="32" fillId="0" borderId="9" xfId="0" quotePrefix="1" applyNumberFormat="1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165" fontId="34" fillId="2" borderId="5" xfId="2" applyNumberFormat="1" applyFont="1" applyFill="1" applyBorder="1" applyAlignment="1">
      <alignment horizontal="center" vertical="center" wrapText="1"/>
    </xf>
    <xf numFmtId="165" fontId="34" fillId="2" borderId="0" xfId="2" applyNumberFormat="1" applyFont="1" applyFill="1" applyAlignment="1">
      <alignment horizontal="center" vertical="center" wrapText="1"/>
    </xf>
    <xf numFmtId="165" fontId="3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8" fillId="2" borderId="0" xfId="0" applyNumberFormat="1" applyFont="1" applyFill="1" applyAlignment="1">
      <alignment horizontal="center" vertical="center" wrapText="1"/>
    </xf>
    <xf numFmtId="165" fontId="32" fillId="0" borderId="6" xfId="2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7" fillId="0" borderId="0" xfId="0" applyFont="1"/>
    <xf numFmtId="165" fontId="3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2" fillId="0" borderId="0" xfId="0" applyNumberFormat="1" applyFont="1" applyBorder="1" applyAlignment="1">
      <alignment horizontal="right" vertical="center"/>
    </xf>
    <xf numFmtId="165" fontId="32" fillId="0" borderId="5" xfId="2" applyNumberFormat="1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2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2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2" fillId="0" borderId="16" xfId="0" applyNumberFormat="1" applyFont="1" applyBorder="1" applyAlignment="1">
      <alignment horizontal="right" vertical="center"/>
    </xf>
    <xf numFmtId="165" fontId="32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2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2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2" fillId="0" borderId="20" xfId="0" applyNumberFormat="1" applyFont="1" applyBorder="1" applyAlignment="1">
      <alignment horizontal="right" vertical="center"/>
    </xf>
    <xf numFmtId="0" fontId="41" fillId="0" borderId="19" xfId="3" applyBorder="1" applyAlignment="1" applyProtection="1">
      <alignment vertical="center"/>
    </xf>
    <xf numFmtId="0" fontId="42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3" fontId="44" fillId="3" borderId="14" xfId="0" applyNumberFormat="1" applyFont="1" applyFill="1" applyBorder="1" applyAlignment="1">
      <alignment horizontal="right" vertical="center" wrapText="1"/>
    </xf>
    <xf numFmtId="165" fontId="32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2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2" fillId="0" borderId="22" xfId="0" applyNumberFormat="1" applyFont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3" fontId="34" fillId="2" borderId="0" xfId="0" applyNumberFormat="1" applyFont="1" applyFill="1" applyBorder="1" applyAlignment="1">
      <alignment horizontal="right" vertical="center" wrapText="1"/>
    </xf>
    <xf numFmtId="165" fontId="34" fillId="2" borderId="0" xfId="2" applyNumberFormat="1" applyFont="1" applyFill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quotePrefix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65" fontId="34" fillId="2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32" fillId="0" borderId="24" xfId="0" quotePrefix="1" applyFont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165" fontId="32" fillId="0" borderId="25" xfId="2" quotePrefix="1" applyNumberFormat="1" applyFont="1" applyBorder="1" applyAlignment="1">
      <alignment horizontal="center" vertical="center"/>
    </xf>
    <xf numFmtId="165" fontId="34" fillId="2" borderId="26" xfId="2" applyNumberFormat="1" applyFont="1" applyFill="1" applyBorder="1" applyAlignment="1">
      <alignment horizontal="center" vertical="center" wrapText="1"/>
    </xf>
    <xf numFmtId="3" fontId="3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2" fillId="0" borderId="27" xfId="2" applyNumberFormat="1" applyFont="1" applyBorder="1" applyAlignment="1">
      <alignment horizontal="center" vertical="center"/>
    </xf>
    <xf numFmtId="3" fontId="34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3" fillId="0" borderId="4" xfId="0" applyFont="1" applyBorder="1" applyAlignment="1"/>
    <xf numFmtId="0" fontId="32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vertical="center"/>
    </xf>
    <xf numFmtId="3" fontId="31" fillId="0" borderId="4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3" fontId="35" fillId="2" borderId="0" xfId="0" applyNumberFormat="1" applyFont="1" applyFill="1" applyAlignment="1">
      <alignment horizontal="right" vertical="center" wrapText="1"/>
    </xf>
    <xf numFmtId="3" fontId="35" fillId="2" borderId="4" xfId="0" applyNumberFormat="1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3" fontId="35" fillId="2" borderId="1" xfId="0" applyNumberFormat="1" applyFont="1" applyFill="1" applyBorder="1" applyAlignment="1">
      <alignment horizontal="right" vertical="center" wrapText="1"/>
    </xf>
    <xf numFmtId="3" fontId="35" fillId="2" borderId="30" xfId="0" applyNumberFormat="1" applyFont="1" applyFill="1" applyBorder="1" applyAlignment="1">
      <alignment horizontal="right" vertical="center" wrapText="1"/>
    </xf>
    <xf numFmtId="3" fontId="35" fillId="2" borderId="31" xfId="0" applyNumberFormat="1" applyFont="1" applyFill="1" applyBorder="1" applyAlignment="1">
      <alignment horizontal="right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165" fontId="31" fillId="0" borderId="0" xfId="2" applyNumberFormat="1" applyFont="1" applyAlignment="1">
      <alignment horizontal="center"/>
    </xf>
    <xf numFmtId="165" fontId="31" fillId="0" borderId="35" xfId="2" applyNumberFormat="1" applyFont="1" applyBorder="1" applyAlignment="1">
      <alignment horizontal="center"/>
    </xf>
    <xf numFmtId="165" fontId="31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1" fillId="0" borderId="0" xfId="2" applyNumberFormat="1" applyFont="1" applyAlignment="1">
      <alignment horizontal="center" vertical="center"/>
    </xf>
    <xf numFmtId="165" fontId="31" fillId="0" borderId="37" xfId="2" applyNumberFormat="1" applyFont="1" applyBorder="1" applyAlignment="1">
      <alignment horizontal="center" vertical="center"/>
    </xf>
    <xf numFmtId="165" fontId="31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2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4" fillId="2" borderId="0" xfId="2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right" vertical="center"/>
    </xf>
    <xf numFmtId="0" fontId="42" fillId="3" borderId="0" xfId="0" applyFont="1" applyFill="1" applyBorder="1" applyAlignment="1">
      <alignment vertical="center"/>
    </xf>
    <xf numFmtId="3" fontId="44" fillId="3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0" fontId="33" fillId="0" borderId="0" xfId="0" applyFont="1" applyFill="1" applyBorder="1" applyAlignment="1"/>
    <xf numFmtId="165" fontId="32" fillId="0" borderId="19" xfId="2" applyNumberFormat="1" applyFont="1" applyBorder="1" applyAlignment="1">
      <alignment horizontal="center" vertical="center"/>
    </xf>
    <xf numFmtId="164" fontId="32" fillId="0" borderId="8" xfId="0" quotePrefix="1" applyNumberFormat="1" applyFont="1" applyBorder="1" applyAlignment="1">
      <alignment horizontal="right" vertical="center"/>
    </xf>
    <xf numFmtId="3" fontId="38" fillId="0" borderId="8" xfId="0" applyNumberFormat="1" applyFont="1" applyBorder="1" applyAlignment="1">
      <alignment horizontal="right" vertical="center"/>
    </xf>
    <xf numFmtId="3" fontId="32" fillId="0" borderId="8" xfId="0" applyNumberFormat="1" applyFont="1" applyBorder="1" applyAlignment="1">
      <alignment horizontal="right" vertical="center"/>
    </xf>
    <xf numFmtId="165" fontId="32" fillId="0" borderId="6" xfId="2" applyNumberFormat="1" applyFont="1" applyBorder="1" applyAlignment="1">
      <alignment vertical="center"/>
    </xf>
    <xf numFmtId="165" fontId="32" fillId="0" borderId="9" xfId="2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2" fillId="0" borderId="41" xfId="0" quotePrefix="1" applyFont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 wrapText="1"/>
    </xf>
    <xf numFmtId="165" fontId="32" fillId="0" borderId="42" xfId="2" applyNumberFormat="1" applyFont="1" applyBorder="1" applyAlignment="1">
      <alignment horizontal="center" vertical="center"/>
    </xf>
    <xf numFmtId="165" fontId="32" fillId="0" borderId="43" xfId="2" applyNumberFormat="1" applyFont="1" applyBorder="1" applyAlignment="1">
      <alignment horizontal="center" vertical="center"/>
    </xf>
    <xf numFmtId="165" fontId="32" fillId="0" borderId="44" xfId="2" applyNumberFormat="1" applyFont="1" applyBorder="1" applyAlignment="1">
      <alignment horizontal="center" vertical="center"/>
    </xf>
    <xf numFmtId="165" fontId="34" fillId="2" borderId="41" xfId="2" applyNumberFormat="1" applyFont="1" applyFill="1" applyBorder="1" applyAlignment="1">
      <alignment horizontal="center" vertical="center" wrapText="1"/>
    </xf>
    <xf numFmtId="165" fontId="32" fillId="0" borderId="42" xfId="2" quotePrefix="1" applyNumberFormat="1" applyFont="1" applyBorder="1" applyAlignment="1">
      <alignment horizontal="center" vertical="center"/>
    </xf>
    <xf numFmtId="165" fontId="34" fillId="2" borderId="46" xfId="2" applyNumberFormat="1" applyFont="1" applyFill="1" applyBorder="1" applyAlignment="1">
      <alignment horizontal="center" vertical="center" wrapText="1"/>
    </xf>
    <xf numFmtId="3" fontId="34" fillId="2" borderId="48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quotePrefix="1" applyFont="1" applyBorder="1" applyAlignment="1">
      <alignment horizontal="center" vertical="center"/>
    </xf>
    <xf numFmtId="3" fontId="32" fillId="0" borderId="50" xfId="0" applyNumberFormat="1" applyFont="1" applyBorder="1" applyAlignment="1">
      <alignment horizontal="right" vertical="center"/>
    </xf>
    <xf numFmtId="3" fontId="32" fillId="0" borderId="52" xfId="0" applyNumberFormat="1" applyFont="1" applyBorder="1" applyAlignment="1">
      <alignment horizontal="right" vertical="center"/>
    </xf>
    <xf numFmtId="3" fontId="34" fillId="2" borderId="35" xfId="0" applyNumberFormat="1" applyFont="1" applyFill="1" applyBorder="1" applyAlignment="1">
      <alignment horizontal="right" vertical="center" wrapText="1"/>
    </xf>
    <xf numFmtId="165" fontId="32" fillId="0" borderId="51" xfId="2" applyNumberFormat="1" applyFont="1" applyBorder="1" applyAlignment="1">
      <alignment horizontal="center" vertical="center"/>
    </xf>
    <xf numFmtId="3" fontId="34" fillId="2" borderId="56" xfId="0" applyNumberFormat="1" applyFont="1" applyFill="1" applyBorder="1" applyAlignment="1">
      <alignment horizontal="right" vertical="center" wrapText="1"/>
    </xf>
    <xf numFmtId="3" fontId="34" fillId="2" borderId="57" xfId="0" applyNumberFormat="1" applyFont="1" applyFill="1" applyBorder="1" applyAlignment="1">
      <alignment horizontal="right" vertical="center" wrapText="1"/>
    </xf>
    <xf numFmtId="165" fontId="34" fillId="2" borderId="57" xfId="2" applyNumberFormat="1" applyFont="1" applyFill="1" applyBorder="1" applyAlignment="1">
      <alignment horizontal="right" vertical="center" wrapText="1"/>
    </xf>
    <xf numFmtId="0" fontId="32" fillId="0" borderId="60" xfId="0" applyFont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 wrapText="1"/>
    </xf>
    <xf numFmtId="3" fontId="32" fillId="0" borderId="61" xfId="0" applyNumberFormat="1" applyFont="1" applyBorder="1" applyAlignment="1">
      <alignment horizontal="right" vertical="center"/>
    </xf>
    <xf numFmtId="3" fontId="32" fillId="0" borderId="62" xfId="0" applyNumberFormat="1" applyFont="1" applyBorder="1" applyAlignment="1">
      <alignment horizontal="right" vertical="center"/>
    </xf>
    <xf numFmtId="3" fontId="32" fillId="0" borderId="63" xfId="0" applyNumberFormat="1" applyFont="1" applyBorder="1" applyAlignment="1">
      <alignment horizontal="right" vertical="center"/>
    </xf>
    <xf numFmtId="3" fontId="34" fillId="2" borderId="60" xfId="0" applyNumberFormat="1" applyFont="1" applyFill="1" applyBorder="1" applyAlignment="1">
      <alignment horizontal="right" vertical="center" wrapText="1"/>
    </xf>
    <xf numFmtId="3" fontId="34" fillId="2" borderId="64" xfId="0" applyNumberFormat="1" applyFont="1" applyFill="1" applyBorder="1" applyAlignment="1">
      <alignment horizontal="right" vertical="center" wrapText="1"/>
    </xf>
    <xf numFmtId="0" fontId="39" fillId="0" borderId="59" xfId="0" applyFont="1" applyBorder="1" applyAlignment="1">
      <alignment horizontal="center"/>
    </xf>
    <xf numFmtId="165" fontId="32" fillId="0" borderId="41" xfId="2" applyNumberFormat="1" applyFont="1" applyBorder="1" applyAlignment="1">
      <alignment horizontal="center" vertical="center"/>
    </xf>
    <xf numFmtId="3" fontId="34" fillId="2" borderId="70" xfId="0" applyNumberFormat="1" applyFont="1" applyFill="1" applyBorder="1" applyAlignment="1">
      <alignment horizontal="right" vertical="center" wrapText="1"/>
    </xf>
    <xf numFmtId="3" fontId="32" fillId="0" borderId="71" xfId="0" applyNumberFormat="1" applyFont="1" applyBorder="1" applyAlignment="1">
      <alignment horizontal="right" vertical="center"/>
    </xf>
    <xf numFmtId="3" fontId="32" fillId="0" borderId="50" xfId="0" applyNumberFormat="1" applyFont="1" applyFill="1" applyBorder="1" applyAlignment="1">
      <alignment horizontal="right" vertical="center"/>
    </xf>
    <xf numFmtId="3" fontId="34" fillId="2" borderId="37" xfId="0" applyNumberFormat="1" applyFont="1" applyFill="1" applyBorder="1" applyAlignment="1">
      <alignment horizontal="right" vertical="center" wrapText="1"/>
    </xf>
    <xf numFmtId="165" fontId="34" fillId="2" borderId="36" xfId="2" applyNumberFormat="1" applyFont="1" applyFill="1" applyBorder="1" applyAlignment="1">
      <alignment horizontal="center" vertical="center" wrapText="1"/>
    </xf>
    <xf numFmtId="165" fontId="34" fillId="2" borderId="36" xfId="2" quotePrefix="1" applyNumberFormat="1" applyFont="1" applyFill="1" applyBorder="1" applyAlignment="1">
      <alignment horizontal="center" vertical="center" wrapText="1"/>
    </xf>
    <xf numFmtId="165" fontId="32" fillId="0" borderId="36" xfId="2" applyNumberFormat="1" applyFont="1" applyBorder="1" applyAlignment="1">
      <alignment horizontal="center" vertical="center"/>
    </xf>
    <xf numFmtId="165" fontId="34" fillId="2" borderId="58" xfId="2" applyNumberFormat="1" applyFont="1" applyFill="1" applyBorder="1" applyAlignment="1">
      <alignment horizontal="center" vertical="center" wrapText="1"/>
    </xf>
    <xf numFmtId="3" fontId="34" fillId="2" borderId="77" xfId="0" applyNumberFormat="1" applyFont="1" applyFill="1" applyBorder="1" applyAlignment="1">
      <alignment horizontal="right" vertical="center" wrapText="1"/>
    </xf>
    <xf numFmtId="165" fontId="34" fillId="2" borderId="38" xfId="2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horizontal="right" vertical="center"/>
    </xf>
    <xf numFmtId="3" fontId="32" fillId="0" borderId="78" xfId="0" applyNumberFormat="1" applyFont="1" applyBorder="1" applyAlignment="1">
      <alignment horizontal="right" vertical="center"/>
    </xf>
    <xf numFmtId="165" fontId="32" fillId="0" borderId="53" xfId="2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165" fontId="34" fillId="2" borderId="57" xfId="2" applyNumberFormat="1" applyFont="1" applyFill="1" applyBorder="1" applyAlignment="1">
      <alignment horizontal="center" vertical="center" wrapText="1"/>
    </xf>
    <xf numFmtId="165" fontId="34" fillId="2" borderId="83" xfId="2" applyNumberFormat="1" applyFont="1" applyFill="1" applyBorder="1" applyAlignment="1">
      <alignment horizontal="center" vertical="center" wrapText="1"/>
    </xf>
    <xf numFmtId="165" fontId="34" fillId="2" borderId="45" xfId="2" applyNumberFormat="1" applyFont="1" applyFill="1" applyBorder="1" applyAlignment="1">
      <alignment horizontal="center" vertical="center" wrapText="1"/>
    </xf>
    <xf numFmtId="3" fontId="32" fillId="0" borderId="85" xfId="0" applyNumberFormat="1" applyFont="1" applyBorder="1" applyAlignment="1">
      <alignment horizontal="right" vertical="center"/>
    </xf>
    <xf numFmtId="3" fontId="32" fillId="0" borderId="86" xfId="0" applyNumberFormat="1" applyFont="1" applyBorder="1" applyAlignment="1">
      <alignment horizontal="right" vertical="center"/>
    </xf>
    <xf numFmtId="3" fontId="32" fillId="0" borderId="87" xfId="0" applyNumberFormat="1" applyFont="1" applyBorder="1" applyAlignment="1">
      <alignment horizontal="right" vertical="center"/>
    </xf>
    <xf numFmtId="3" fontId="38" fillId="0" borderId="50" xfId="0" applyNumberFormat="1" applyFont="1" applyFill="1" applyBorder="1" applyAlignment="1">
      <alignment horizontal="right" vertical="center"/>
    </xf>
    <xf numFmtId="3" fontId="32" fillId="0" borderId="90" xfId="0" applyNumberFormat="1" applyFont="1" applyBorder="1" applyAlignment="1">
      <alignment horizontal="right" vertical="center"/>
    </xf>
    <xf numFmtId="3" fontId="32" fillId="0" borderId="92" xfId="0" applyNumberFormat="1" applyFont="1" applyBorder="1" applyAlignment="1">
      <alignment horizontal="right" vertical="center"/>
    </xf>
    <xf numFmtId="3" fontId="32" fillId="0" borderId="94" xfId="0" applyNumberFormat="1" applyFont="1" applyBorder="1" applyAlignment="1">
      <alignment horizontal="right" vertical="center"/>
    </xf>
    <xf numFmtId="3" fontId="32" fillId="0" borderId="96" xfId="0" applyNumberFormat="1" applyFont="1" applyBorder="1" applyAlignment="1">
      <alignment horizontal="right" vertical="center"/>
    </xf>
    <xf numFmtId="3" fontId="44" fillId="3" borderId="60" xfId="0" applyNumberFormat="1" applyFont="1" applyFill="1" applyBorder="1" applyAlignment="1">
      <alignment horizontal="right" vertical="center" wrapText="1"/>
    </xf>
    <xf numFmtId="3" fontId="44" fillId="3" borderId="69" xfId="0" applyNumberFormat="1" applyFont="1" applyFill="1" applyBorder="1" applyAlignment="1">
      <alignment horizontal="right" vertical="center" wrapText="1"/>
    </xf>
    <xf numFmtId="165" fontId="32" fillId="0" borderId="91" xfId="2" applyNumberFormat="1" applyFont="1" applyBorder="1" applyAlignment="1">
      <alignment horizontal="center" vertical="center"/>
    </xf>
    <xf numFmtId="165" fontId="32" fillId="0" borderId="97" xfId="2" applyNumberFormat="1" applyFont="1" applyBorder="1" applyAlignment="1">
      <alignment horizontal="center" vertical="center"/>
    </xf>
    <xf numFmtId="3" fontId="44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2" fillId="0" borderId="61" xfId="0" applyNumberFormat="1" applyFont="1" applyBorder="1" applyAlignment="1">
      <alignment vertical="center"/>
    </xf>
    <xf numFmtId="3" fontId="32" fillId="0" borderId="62" xfId="0" applyNumberFormat="1" applyFont="1" applyBorder="1" applyAlignment="1">
      <alignment vertical="center"/>
    </xf>
    <xf numFmtId="3" fontId="32" fillId="0" borderId="63" xfId="0" applyNumberFormat="1" applyFont="1" applyBorder="1" applyAlignment="1">
      <alignment vertical="center"/>
    </xf>
    <xf numFmtId="3" fontId="34" fillId="2" borderId="60" xfId="0" applyNumberFormat="1" applyFont="1" applyFill="1" applyBorder="1" applyAlignment="1">
      <alignment horizontal="center" vertical="center" wrapText="1"/>
    </xf>
    <xf numFmtId="3" fontId="34" fillId="2" borderId="64" xfId="0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3" fontId="32" fillId="0" borderId="50" xfId="0" applyNumberFormat="1" applyFont="1" applyBorder="1" applyAlignment="1">
      <alignment vertical="center"/>
    </xf>
    <xf numFmtId="3" fontId="32" fillId="0" borderId="52" xfId="0" applyNumberFormat="1" applyFont="1" applyBorder="1" applyAlignment="1">
      <alignment vertical="center"/>
    </xf>
    <xf numFmtId="3" fontId="32" fillId="0" borderId="54" xfId="0" applyNumberFormat="1" applyFont="1" applyBorder="1" applyAlignment="1">
      <alignment vertical="center"/>
    </xf>
    <xf numFmtId="3" fontId="34" fillId="2" borderId="35" xfId="0" applyNumberFormat="1" applyFont="1" applyFill="1" applyBorder="1" applyAlignment="1">
      <alignment horizontal="center" vertical="center" wrapText="1"/>
    </xf>
    <xf numFmtId="3" fontId="34" fillId="2" borderId="56" xfId="0" applyNumberFormat="1" applyFont="1" applyFill="1" applyBorder="1" applyAlignment="1">
      <alignment horizontal="center" vertical="center" wrapText="1"/>
    </xf>
    <xf numFmtId="3" fontId="34" fillId="2" borderId="57" xfId="0" applyNumberFormat="1" applyFont="1" applyFill="1" applyBorder="1" applyAlignment="1">
      <alignment horizontal="center" vertical="center" wrapText="1"/>
    </xf>
    <xf numFmtId="165" fontId="32" fillId="0" borderId="98" xfId="2" applyNumberFormat="1" applyFont="1" applyBorder="1" applyAlignment="1">
      <alignment horizontal="center" vertical="center"/>
    </xf>
    <xf numFmtId="165" fontId="32" fillId="0" borderId="99" xfId="2" applyNumberFormat="1" applyFont="1" applyBorder="1" applyAlignment="1">
      <alignment horizontal="center" vertical="center"/>
    </xf>
    <xf numFmtId="165" fontId="32" fillId="0" borderId="99" xfId="2" quotePrefix="1" applyNumberFormat="1" applyFont="1" applyBorder="1" applyAlignment="1">
      <alignment horizontal="center" vertical="center"/>
    </xf>
    <xf numFmtId="165" fontId="34" fillId="2" borderId="67" xfId="2" applyNumberFormat="1" applyFont="1" applyFill="1" applyBorder="1" applyAlignment="1">
      <alignment horizontal="center" vertical="center" wrapText="1"/>
    </xf>
    <xf numFmtId="0" fontId="32" fillId="0" borderId="98" xfId="0" quotePrefix="1" applyFont="1" applyBorder="1" applyAlignment="1">
      <alignment horizontal="center" vertical="center"/>
    </xf>
    <xf numFmtId="0" fontId="32" fillId="0" borderId="100" xfId="0" quotePrefix="1" applyFont="1" applyBorder="1" applyAlignment="1">
      <alignment horizontal="center" vertical="center"/>
    </xf>
    <xf numFmtId="0" fontId="34" fillId="2" borderId="67" xfId="0" quotePrefix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/>
    </xf>
    <xf numFmtId="3" fontId="28" fillId="2" borderId="35" xfId="0" applyNumberFormat="1" applyFont="1" applyFill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 wrapText="1"/>
    </xf>
    <xf numFmtId="165" fontId="32" fillId="0" borderId="98" xfId="2" quotePrefix="1" applyNumberFormat="1" applyFont="1" applyBorder="1" applyAlignment="1">
      <alignment horizontal="center" vertical="center"/>
    </xf>
    <xf numFmtId="165" fontId="34" fillId="2" borderId="67" xfId="2" quotePrefix="1" applyNumberFormat="1" applyFont="1" applyFill="1" applyBorder="1" applyAlignment="1">
      <alignment horizontal="center" vertical="center" wrapText="1"/>
    </xf>
    <xf numFmtId="0" fontId="32" fillId="0" borderId="51" xfId="0" quotePrefix="1" applyFont="1" applyBorder="1" applyAlignment="1">
      <alignment horizontal="center" vertical="center"/>
    </xf>
    <xf numFmtId="0" fontId="32" fillId="0" borderId="55" xfId="0" quotePrefix="1" applyFont="1" applyBorder="1" applyAlignment="1">
      <alignment horizontal="center" vertical="center"/>
    </xf>
    <xf numFmtId="0" fontId="34" fillId="2" borderId="0" xfId="0" quotePrefix="1" applyFont="1" applyFill="1" applyBorder="1" applyAlignment="1">
      <alignment horizontal="center" vertical="center" wrapText="1"/>
    </xf>
    <xf numFmtId="0" fontId="34" fillId="2" borderId="36" xfId="0" quotePrefix="1" applyFont="1" applyFill="1" applyBorder="1" applyAlignment="1">
      <alignment horizontal="center" vertical="center" wrapText="1"/>
    </xf>
    <xf numFmtId="0" fontId="32" fillId="0" borderId="53" xfId="0" quotePrefix="1" applyFont="1" applyBorder="1" applyAlignment="1">
      <alignment horizontal="center" vertical="center"/>
    </xf>
    <xf numFmtId="165" fontId="34" fillId="2" borderId="101" xfId="2" applyNumberFormat="1" applyFont="1" applyFill="1" applyBorder="1" applyAlignment="1">
      <alignment horizontal="center" vertical="center" wrapText="1"/>
    </xf>
    <xf numFmtId="9" fontId="34" fillId="2" borderId="0" xfId="2" applyFont="1" applyFill="1" applyBorder="1" applyAlignment="1">
      <alignment horizontal="center" vertical="center" wrapText="1"/>
    </xf>
    <xf numFmtId="0" fontId="45" fillId="0" borderId="91" xfId="6" applyFont="1" applyBorder="1"/>
    <xf numFmtId="0" fontId="42" fillId="0" borderId="95" xfId="10" applyFont="1" applyBorder="1"/>
    <xf numFmtId="0" fontId="0" fillId="0" borderId="106" xfId="0" applyBorder="1" applyAlignment="1">
      <alignment vertical="center"/>
    </xf>
    <xf numFmtId="3" fontId="32" fillId="0" borderId="105" xfId="0" applyNumberFormat="1" applyFont="1" applyBorder="1" applyAlignment="1">
      <alignment horizontal="right" vertical="center"/>
    </xf>
    <xf numFmtId="3" fontId="32" fillId="0" borderId="106" xfId="0" applyNumberFormat="1" applyFont="1" applyBorder="1" applyAlignment="1">
      <alignment horizontal="right" vertical="center"/>
    </xf>
    <xf numFmtId="165" fontId="32" fillId="0" borderId="17" xfId="2" quotePrefix="1" applyNumberFormat="1" applyFont="1" applyBorder="1" applyAlignment="1">
      <alignment horizontal="center" vertical="center"/>
    </xf>
    <xf numFmtId="165" fontId="32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8" fillId="0" borderId="22" xfId="2" applyNumberFormat="1" applyFont="1" applyFill="1" applyBorder="1" applyAlignment="1">
      <alignment horizontal="center" vertical="center" wrapText="1"/>
    </xf>
    <xf numFmtId="165" fontId="32" fillId="0" borderId="21" xfId="2" applyNumberFormat="1" applyFont="1" applyBorder="1" applyAlignment="1">
      <alignment horizontal="center" vertical="center"/>
    </xf>
    <xf numFmtId="165" fontId="32" fillId="0" borderId="25" xfId="2" applyNumberFormat="1" applyFont="1" applyBorder="1" applyAlignment="1">
      <alignment horizontal="center" vertical="center"/>
    </xf>
    <xf numFmtId="165" fontId="32" fillId="0" borderId="67" xfId="2" applyNumberFormat="1" applyFont="1" applyBorder="1" applyAlignment="1">
      <alignment horizontal="center" vertical="center"/>
    </xf>
    <xf numFmtId="165" fontId="34" fillId="2" borderId="32" xfId="2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28" fillId="2" borderId="60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164" fontId="32" fillId="0" borderId="0" xfId="0" quotePrefix="1" applyNumberFormat="1" applyFont="1" applyBorder="1" applyAlignment="1">
      <alignment horizontal="center" vertical="center"/>
    </xf>
    <xf numFmtId="3" fontId="34" fillId="2" borderId="64" xfId="0" applyNumberFormat="1" applyFont="1" applyFill="1" applyBorder="1" applyAlignment="1">
      <alignment vertical="center" wrapText="1"/>
    </xf>
    <xf numFmtId="165" fontId="32" fillId="0" borderId="5" xfId="2" applyNumberFormat="1" applyFont="1" applyBorder="1" applyAlignment="1">
      <alignment horizontal="center" vertical="center" shrinkToFit="1"/>
    </xf>
    <xf numFmtId="164" fontId="3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9" fillId="0" borderId="33" xfId="0" applyNumberFormat="1" applyFont="1" applyBorder="1" applyAlignment="1">
      <alignment horizontal="center"/>
    </xf>
    <xf numFmtId="165" fontId="32" fillId="0" borderId="35" xfId="0" applyNumberFormat="1" applyFont="1" applyBorder="1" applyAlignment="1">
      <alignment horizontal="center" vertical="center"/>
    </xf>
    <xf numFmtId="165" fontId="28" fillId="2" borderId="35" xfId="0" applyNumberFormat="1" applyFont="1" applyFill="1" applyBorder="1" applyAlignment="1">
      <alignment horizontal="center" vertical="center" wrapText="1"/>
    </xf>
    <xf numFmtId="165" fontId="34" fillId="2" borderId="35" xfId="0" applyNumberFormat="1" applyFont="1" applyFill="1" applyBorder="1" applyAlignment="1">
      <alignment horizontal="center" vertical="center" wrapText="1"/>
    </xf>
    <xf numFmtId="165" fontId="32" fillId="0" borderId="50" xfId="0" applyNumberFormat="1" applyFont="1" applyBorder="1" applyAlignment="1">
      <alignment horizontal="center" vertical="center"/>
    </xf>
    <xf numFmtId="165" fontId="32" fillId="0" borderId="54" xfId="0" applyNumberFormat="1" applyFont="1" applyBorder="1" applyAlignment="1">
      <alignment horizontal="center" vertical="center"/>
    </xf>
    <xf numFmtId="165" fontId="32" fillId="0" borderId="6" xfId="0" applyNumberFormat="1" applyFont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Border="1" applyAlignment="1">
      <alignment horizontal="center" vertical="center"/>
    </xf>
    <xf numFmtId="165" fontId="34" fillId="2" borderId="57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/>
    </xf>
    <xf numFmtId="0" fontId="37" fillId="0" borderId="59" xfId="0" quotePrefix="1" applyFont="1" applyBorder="1" applyAlignment="1">
      <alignment horizontal="center"/>
    </xf>
    <xf numFmtId="165" fontId="32" fillId="0" borderId="0" xfId="2" quotePrefix="1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165" fontId="44" fillId="0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3" fontId="42" fillId="0" borderId="0" xfId="0" applyNumberFormat="1" applyFont="1" applyFill="1"/>
    <xf numFmtId="4" fontId="3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4" fillId="2" borderId="36" xfId="2" applyFont="1" applyFill="1" applyBorder="1" applyAlignment="1">
      <alignment horizontal="center" vertical="center" wrapText="1"/>
    </xf>
    <xf numFmtId="165" fontId="32" fillId="0" borderId="95" xfId="2" quotePrefix="1" applyNumberFormat="1" applyFont="1" applyBorder="1" applyAlignment="1">
      <alignment horizontal="center" vertical="center"/>
    </xf>
    <xf numFmtId="4" fontId="32" fillId="0" borderId="0" xfId="0" applyNumberFormat="1" applyFont="1" applyFill="1" applyBorder="1" applyAlignment="1">
      <alignment vertical="center"/>
    </xf>
    <xf numFmtId="165" fontId="32" fillId="0" borderId="8" xfId="2" applyNumberFormat="1" applyFont="1" applyBorder="1" applyAlignment="1">
      <alignment horizontal="center" vertical="center"/>
    </xf>
    <xf numFmtId="0" fontId="42" fillId="0" borderId="6" xfId="0" applyFont="1" applyBorder="1" applyAlignment="1">
      <alignment vertical="center"/>
    </xf>
    <xf numFmtId="3" fontId="38" fillId="0" borderId="61" xfId="0" applyNumberFormat="1" applyFont="1" applyBorder="1" applyAlignment="1">
      <alignment horizontal="right" vertical="center"/>
    </xf>
    <xf numFmtId="3" fontId="38" fillId="0" borderId="50" xfId="0" applyNumberFormat="1" applyFont="1" applyBorder="1" applyAlignment="1">
      <alignment horizontal="right" vertical="center"/>
    </xf>
    <xf numFmtId="3" fontId="38" fillId="0" borderId="6" xfId="0" applyNumberFormat="1" applyFont="1" applyBorder="1" applyAlignment="1">
      <alignment horizontal="right" vertical="center"/>
    </xf>
    <xf numFmtId="165" fontId="38" fillId="0" borderId="42" xfId="2" applyNumberFormat="1" applyFont="1" applyBorder="1" applyAlignment="1">
      <alignment horizontal="center" vertical="center"/>
    </xf>
    <xf numFmtId="0" fontId="38" fillId="0" borderId="0" xfId="0" quotePrefix="1" applyFont="1" applyAlignment="1">
      <alignment horizontal="center"/>
    </xf>
    <xf numFmtId="0" fontId="42" fillId="0" borderId="0" xfId="0" applyFont="1"/>
    <xf numFmtId="0" fontId="42" fillId="0" borderId="8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42" fillId="0" borderId="9" xfId="0" applyFont="1" applyBorder="1" applyAlignment="1">
      <alignment vertical="center"/>
    </xf>
    <xf numFmtId="3" fontId="38" fillId="0" borderId="63" xfId="0" applyNumberFormat="1" applyFont="1" applyBorder="1" applyAlignment="1">
      <alignment horizontal="right" vertical="center"/>
    </xf>
    <xf numFmtId="3" fontId="38" fillId="0" borderId="54" xfId="0" applyNumberFormat="1" applyFont="1" applyBorder="1" applyAlignment="1">
      <alignment horizontal="right" vertical="center"/>
    </xf>
    <xf numFmtId="165" fontId="38" fillId="0" borderId="43" xfId="2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right" vertical="center"/>
    </xf>
    <xf numFmtId="165" fontId="38" fillId="0" borderId="44" xfId="2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3" fontId="38" fillId="0" borderId="12" xfId="0" applyNumberFormat="1" applyFont="1" applyBorder="1" applyAlignment="1">
      <alignment horizontal="right" vertical="center"/>
    </xf>
    <xf numFmtId="165" fontId="38" fillId="0" borderId="65" xfId="2" applyNumberFormat="1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3" fontId="38" fillId="0" borderId="69" xfId="0" applyNumberFormat="1" applyFont="1" applyBorder="1" applyAlignment="1">
      <alignment horizontal="right" vertical="center"/>
    </xf>
    <xf numFmtId="3" fontId="38" fillId="0" borderId="72" xfId="0" applyNumberFormat="1" applyFont="1" applyBorder="1" applyAlignment="1">
      <alignment horizontal="right" vertical="center"/>
    </xf>
    <xf numFmtId="3" fontId="38" fillId="0" borderId="14" xfId="0" applyNumberFormat="1" applyFont="1" applyBorder="1" applyAlignment="1">
      <alignment horizontal="right" vertical="center"/>
    </xf>
    <xf numFmtId="165" fontId="38" fillId="0" borderId="74" xfId="2" applyNumberFormat="1" applyFont="1" applyBorder="1" applyAlignment="1">
      <alignment horizontal="center" vertical="center"/>
    </xf>
    <xf numFmtId="165" fontId="38" fillId="0" borderId="66" xfId="2" quotePrefix="1" applyNumberFormat="1" applyFont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3" fontId="38" fillId="0" borderId="61" xfId="0" applyNumberFormat="1" applyFont="1" applyFill="1" applyBorder="1" applyAlignment="1">
      <alignment horizontal="right" vertical="center"/>
    </xf>
    <xf numFmtId="0" fontId="42" fillId="0" borderId="103" xfId="5" applyFont="1" applyFill="1" applyBorder="1"/>
    <xf numFmtId="165" fontId="38" fillId="0" borderId="6" xfId="2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3" fontId="38" fillId="0" borderId="106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right" vertical="center"/>
    </xf>
    <xf numFmtId="165" fontId="38" fillId="0" borderId="41" xfId="2" applyNumberFormat="1" applyFont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165" fontId="38" fillId="0" borderId="51" xfId="2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 shrinkToFit="1"/>
    </xf>
    <xf numFmtId="165" fontId="38" fillId="0" borderId="6" xfId="2" quotePrefix="1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/>
    </xf>
    <xf numFmtId="0" fontId="42" fillId="0" borderId="16" xfId="0" applyFont="1" applyBorder="1" applyAlignment="1">
      <alignment vertical="center"/>
    </xf>
    <xf numFmtId="3" fontId="38" fillId="0" borderId="16" xfId="0" applyNumberFormat="1" applyFont="1" applyFill="1" applyBorder="1" applyAlignment="1">
      <alignment horizontal="right" vertical="center"/>
    </xf>
    <xf numFmtId="0" fontId="42" fillId="0" borderId="17" xfId="0" applyFont="1" applyBorder="1" applyAlignment="1">
      <alignment vertical="center"/>
    </xf>
    <xf numFmtId="3" fontId="38" fillId="0" borderId="84" xfId="0" applyNumberFormat="1" applyFont="1" applyBorder="1" applyAlignment="1">
      <alignment horizontal="right" vertical="center"/>
    </xf>
    <xf numFmtId="3" fontId="38" fillId="0" borderId="88" xfId="0" applyNumberFormat="1" applyFont="1" applyBorder="1" applyAlignment="1">
      <alignment horizontal="right" vertical="center"/>
    </xf>
    <xf numFmtId="3" fontId="38" fillId="0" borderId="17" xfId="0" applyNumberFormat="1" applyFont="1" applyBorder="1" applyAlignment="1">
      <alignment horizontal="right" vertical="center"/>
    </xf>
    <xf numFmtId="3" fontId="38" fillId="0" borderId="75" xfId="0" applyNumberFormat="1" applyFont="1" applyBorder="1" applyAlignment="1">
      <alignment horizontal="right" vertical="center"/>
    </xf>
    <xf numFmtId="3" fontId="38" fillId="0" borderId="16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165" fontId="38" fillId="0" borderId="8" xfId="2" applyNumberFormat="1" applyFont="1" applyBorder="1" applyAlignment="1">
      <alignment horizontal="center" vertical="center"/>
    </xf>
    <xf numFmtId="165" fontId="38" fillId="0" borderId="7" xfId="2" applyNumberFormat="1" applyFont="1" applyFill="1" applyBorder="1" applyAlignment="1">
      <alignment horizontal="center" vertical="center"/>
    </xf>
    <xf numFmtId="165" fontId="32" fillId="0" borderId="10" xfId="2" applyNumberFormat="1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79" fillId="0" borderId="0" xfId="0" quotePrefix="1" applyFont="1" applyAlignment="1">
      <alignment horizontal="center"/>
    </xf>
    <xf numFmtId="0" fontId="80" fillId="0" borderId="0" xfId="0" applyFont="1" applyAlignment="1">
      <alignment horizontal="center"/>
    </xf>
    <xf numFmtId="3" fontId="34" fillId="2" borderId="0" xfId="2" applyNumberFormat="1" applyFont="1" applyFill="1" applyBorder="1" applyAlignment="1">
      <alignment horizontal="right" vertical="center" wrapText="1"/>
    </xf>
    <xf numFmtId="3" fontId="34" fillId="2" borderId="116" xfId="0" applyNumberFormat="1" applyFont="1" applyFill="1" applyBorder="1" applyAlignment="1">
      <alignment horizontal="center" vertical="center" wrapText="1"/>
    </xf>
    <xf numFmtId="165" fontId="38" fillId="0" borderId="7" xfId="2" applyNumberFormat="1" applyFont="1" applyBorder="1" applyAlignment="1">
      <alignment horizontal="center" vertical="center"/>
    </xf>
    <xf numFmtId="165" fontId="38" fillId="0" borderId="18" xfId="2" applyNumberFormat="1" applyFont="1" applyBorder="1" applyAlignment="1">
      <alignment horizontal="center" vertical="center"/>
    </xf>
    <xf numFmtId="3" fontId="32" fillId="0" borderId="0" xfId="0" applyNumberFormat="1" applyFont="1" applyBorder="1"/>
    <xf numFmtId="3" fontId="32" fillId="0" borderId="0" xfId="0" applyNumberFormat="1" applyFont="1"/>
    <xf numFmtId="0" fontId="42" fillId="0" borderId="0" xfId="0" applyFont="1" applyBorder="1"/>
    <xf numFmtId="0" fontId="0" fillId="0" borderId="0" xfId="0" applyBorder="1"/>
    <xf numFmtId="3" fontId="38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2" fillId="0" borderId="122" xfId="0" applyFont="1" applyBorder="1" applyAlignment="1">
      <alignment vertical="center"/>
    </xf>
    <xf numFmtId="0" fontId="42" fillId="0" borderId="123" xfId="0" applyFont="1" applyBorder="1" applyAlignment="1">
      <alignment vertical="center"/>
    </xf>
    <xf numFmtId="0" fontId="44" fillId="0" borderId="0" xfId="0" applyFont="1" applyFill="1" applyAlignment="1">
      <alignment horizontal="center"/>
    </xf>
    <xf numFmtId="165" fontId="82" fillId="2" borderId="50" xfId="0" applyNumberFormat="1" applyFont="1" applyFill="1" applyBorder="1" applyAlignment="1">
      <alignment horizontal="center" vertical="center"/>
    </xf>
    <xf numFmtId="165" fontId="38" fillId="0" borderId="12" xfId="2" quotePrefix="1" applyNumberFormat="1" applyFont="1" applyBorder="1" applyAlignment="1">
      <alignment horizontal="center" vertical="center"/>
    </xf>
    <xf numFmtId="165" fontId="32" fillId="0" borderId="51" xfId="2" quotePrefix="1" applyNumberFormat="1" applyFont="1" applyBorder="1" applyAlignment="1">
      <alignment horizontal="center" vertical="center"/>
    </xf>
    <xf numFmtId="43" fontId="32" fillId="0" borderId="0" xfId="247" applyFont="1"/>
    <xf numFmtId="166" fontId="32" fillId="0" borderId="0" xfId="247" applyNumberFormat="1" applyFont="1"/>
    <xf numFmtId="166" fontId="32" fillId="0" borderId="0" xfId="0" applyNumberFormat="1" applyFont="1"/>
    <xf numFmtId="43" fontId="0" fillId="0" borderId="0" xfId="0" applyNumberFormat="1"/>
    <xf numFmtId="9" fontId="32" fillId="0" borderId="22" xfId="2" applyNumberFormat="1" applyFont="1" applyBorder="1" applyAlignment="1">
      <alignment horizontal="center" vertical="center"/>
    </xf>
    <xf numFmtId="166" fontId="34" fillId="2" borderId="57" xfId="247" applyNumberFormat="1" applyFont="1" applyFill="1" applyBorder="1" applyAlignment="1">
      <alignment horizontal="right" vertical="center" wrapText="1"/>
    </xf>
    <xf numFmtId="165" fontId="38" fillId="0" borderId="51" xfId="2" quotePrefix="1" applyNumberFormat="1" applyFont="1" applyBorder="1" applyAlignment="1">
      <alignment horizontal="center" vertical="center"/>
    </xf>
    <xf numFmtId="165" fontId="38" fillId="0" borderId="36" xfId="2" quotePrefix="1" applyNumberFormat="1" applyFont="1" applyBorder="1" applyAlignment="1">
      <alignment horizontal="center" vertical="center"/>
    </xf>
    <xf numFmtId="4" fontId="32" fillId="0" borderId="0" xfId="0" applyNumberFormat="1" applyFont="1"/>
    <xf numFmtId="0" fontId="32" fillId="0" borderId="0" xfId="0" applyFont="1"/>
    <xf numFmtId="0" fontId="32" fillId="0" borderId="0" xfId="0" applyFont="1" applyAlignment="1">
      <alignment vertical="center"/>
    </xf>
    <xf numFmtId="165" fontId="32" fillId="0" borderId="52" xfId="0" applyNumberFormat="1" applyFont="1" applyBorder="1" applyAlignment="1">
      <alignment horizontal="center" vertical="center"/>
    </xf>
    <xf numFmtId="165" fontId="38" fillId="0" borderId="14" xfId="2" quotePrefix="1" applyNumberFormat="1" applyFont="1" applyBorder="1" applyAlignment="1">
      <alignment horizontal="center" vertical="center"/>
    </xf>
    <xf numFmtId="165" fontId="32" fillId="0" borderId="22" xfId="2" quotePrefix="1" applyNumberFormat="1" applyFont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5" fontId="38" fillId="0" borderId="51" xfId="2" applyNumberFormat="1" applyFont="1" applyBorder="1" applyAlignment="1">
      <alignment horizontal="center" vertical="center"/>
    </xf>
    <xf numFmtId="165" fontId="38" fillId="0" borderId="55" xfId="2" quotePrefix="1" applyNumberFormat="1" applyFont="1" applyBorder="1" applyAlignment="1">
      <alignment horizontal="center" vertical="center"/>
    </xf>
    <xf numFmtId="165" fontId="38" fillId="0" borderId="73" xfId="2" applyNumberFormat="1" applyFont="1" applyBorder="1" applyAlignment="1">
      <alignment horizontal="center" vertical="center"/>
    </xf>
    <xf numFmtId="165" fontId="38" fillId="0" borderId="36" xfId="2" quotePrefix="1" applyNumberFormat="1" applyFont="1" applyFill="1" applyBorder="1" applyAlignment="1">
      <alignment horizontal="center" vertical="center"/>
    </xf>
    <xf numFmtId="3" fontId="38" fillId="0" borderId="35" xfId="0" applyNumberFormat="1" applyFont="1" applyBorder="1" applyAlignment="1">
      <alignment horizontal="right" vertical="center"/>
    </xf>
    <xf numFmtId="3" fontId="38" fillId="0" borderId="12" xfId="0" applyNumberFormat="1" applyFont="1" applyFill="1" applyBorder="1" applyAlignment="1">
      <alignment horizontal="right" vertical="center"/>
    </xf>
    <xf numFmtId="3" fontId="38" fillId="0" borderId="124" xfId="0" applyNumberFormat="1" applyFont="1" applyFill="1" applyBorder="1" applyAlignment="1">
      <alignment horizontal="right" vertical="center"/>
    </xf>
    <xf numFmtId="165" fontId="38" fillId="0" borderId="76" xfId="2" applyNumberFormat="1" applyFont="1" applyFill="1" applyBorder="1" applyAlignment="1">
      <alignment horizontal="center" vertical="center"/>
    </xf>
    <xf numFmtId="165" fontId="38" fillId="0" borderId="6" xfId="2" applyNumberFormat="1" applyFont="1" applyBorder="1" applyAlignment="1">
      <alignment horizontal="center" vertical="center"/>
    </xf>
    <xf numFmtId="165" fontId="38" fillId="0" borderId="9" xfId="2" applyNumberFormat="1" applyFont="1" applyBorder="1" applyAlignment="1">
      <alignment horizontal="center" vertical="center"/>
    </xf>
    <xf numFmtId="165" fontId="38" fillId="0" borderId="6" xfId="2" quotePrefix="1" applyNumberFormat="1" applyFont="1" applyBorder="1" applyAlignment="1">
      <alignment horizontal="center" vertical="center"/>
    </xf>
    <xf numFmtId="165" fontId="38" fillId="0" borderId="117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Fill="1" applyBorder="1" applyAlignment="1">
      <alignment horizontal="center" vertical="center"/>
    </xf>
    <xf numFmtId="165" fontId="34" fillId="2" borderId="77" xfId="2" applyNumberFormat="1" applyFont="1" applyFill="1" applyBorder="1" applyAlignment="1">
      <alignment horizontal="center" vertical="center" wrapText="1"/>
    </xf>
    <xf numFmtId="165" fontId="38" fillId="0" borderId="16" xfId="2" applyNumberFormat="1" applyFont="1" applyFill="1" applyBorder="1" applyAlignment="1">
      <alignment horizontal="center" vertical="center"/>
    </xf>
    <xf numFmtId="165" fontId="38" fillId="0" borderId="17" xfId="2" quotePrefix="1" applyNumberFormat="1" applyFont="1" applyBorder="1" applyAlignment="1">
      <alignment horizontal="center" vertical="center"/>
    </xf>
    <xf numFmtId="165" fontId="38" fillId="0" borderId="16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Border="1" applyAlignment="1">
      <alignment horizontal="center" vertical="center"/>
    </xf>
    <xf numFmtId="165" fontId="78" fillId="0" borderId="0" xfId="2" applyNumberFormat="1" applyFont="1" applyFill="1" applyBorder="1" applyAlignment="1">
      <alignment horizontal="center" vertical="center"/>
    </xf>
    <xf numFmtId="165" fontId="32" fillId="0" borderId="16" xfId="2" applyNumberFormat="1" applyFont="1" applyBorder="1" applyAlignment="1">
      <alignment horizontal="center" vertical="center"/>
    </xf>
    <xf numFmtId="165" fontId="38" fillId="0" borderId="118" xfId="2" applyNumberFormat="1" applyFont="1" applyBorder="1" applyAlignment="1">
      <alignment horizontal="center" vertical="center"/>
    </xf>
    <xf numFmtId="165" fontId="38" fillId="0" borderId="119" xfId="2" applyNumberFormat="1" applyFont="1" applyBorder="1" applyAlignment="1">
      <alignment horizontal="center" vertical="center"/>
    </xf>
    <xf numFmtId="165" fontId="38" fillId="0" borderId="120" xfId="2" applyNumberFormat="1" applyFont="1" applyBorder="1" applyAlignment="1">
      <alignment horizontal="center" vertical="center"/>
    </xf>
    <xf numFmtId="165" fontId="38" fillId="0" borderId="79" xfId="2" applyNumberFormat="1" applyFont="1" applyBorder="1" applyAlignment="1">
      <alignment horizontal="center" vertical="center"/>
    </xf>
    <xf numFmtId="9" fontId="38" fillId="0" borderId="80" xfId="2" applyNumberFormat="1" applyFont="1" applyBorder="1" applyAlignment="1">
      <alignment horizontal="center" vertical="center"/>
    </xf>
    <xf numFmtId="3" fontId="32" fillId="0" borderId="75" xfId="0" applyNumberFormat="1" applyFont="1" applyFill="1" applyBorder="1" applyAlignment="1">
      <alignment horizontal="right" vertical="center"/>
    </xf>
    <xf numFmtId="165" fontId="32" fillId="0" borderId="9" xfId="2" applyNumberFormat="1" applyFont="1" applyBorder="1" applyAlignment="1">
      <alignment horizontal="center" vertical="center"/>
    </xf>
    <xf numFmtId="43" fontId="32" fillId="0" borderId="0" xfId="247" applyFont="1" applyAlignment="1">
      <alignment horizontal="center"/>
    </xf>
    <xf numFmtId="165" fontId="32" fillId="0" borderId="55" xfId="2" applyNumberFormat="1" applyFont="1" applyBorder="1" applyAlignment="1">
      <alignment horizontal="center" vertical="center"/>
    </xf>
    <xf numFmtId="3" fontId="38" fillId="0" borderId="125" xfId="0" applyNumberFormat="1" applyFont="1" applyBorder="1" applyAlignment="1">
      <alignment horizontal="right" vertical="center"/>
    </xf>
    <xf numFmtId="3" fontId="32" fillId="0" borderId="126" xfId="0" applyNumberFormat="1" applyFont="1" applyBorder="1" applyAlignment="1">
      <alignment horizontal="right" vertical="center"/>
    </xf>
    <xf numFmtId="3" fontId="32" fillId="0" borderId="127" xfId="0" applyNumberFormat="1" applyFont="1" applyBorder="1" applyAlignment="1">
      <alignment horizontal="right" vertical="center"/>
    </xf>
    <xf numFmtId="3" fontId="32" fillId="0" borderId="72" xfId="0" applyNumberFormat="1" applyFont="1" applyBorder="1" applyAlignment="1">
      <alignment horizontal="right" vertical="center"/>
    </xf>
    <xf numFmtId="3" fontId="32" fillId="0" borderId="104" xfId="0" applyNumberFormat="1" applyFont="1" applyBorder="1" applyAlignment="1">
      <alignment vertical="center"/>
    </xf>
    <xf numFmtId="3" fontId="32" fillId="0" borderId="106" xfId="0" applyNumberFormat="1" applyFont="1" applyBorder="1" applyAlignment="1">
      <alignment vertical="center"/>
    </xf>
    <xf numFmtId="3" fontId="38" fillId="0" borderId="9" xfId="0" applyNumberFormat="1" applyFont="1" applyFill="1" applyBorder="1" applyAlignment="1">
      <alignment horizontal="right" vertical="center"/>
    </xf>
    <xf numFmtId="0" fontId="42" fillId="0" borderId="16" xfId="0" applyFont="1" applyFill="1" applyBorder="1" applyAlignment="1">
      <alignment vertical="center"/>
    </xf>
    <xf numFmtId="165" fontId="38" fillId="0" borderId="102" xfId="2" applyNumberFormat="1" applyFont="1" applyBorder="1" applyAlignment="1">
      <alignment horizontal="center" vertical="center"/>
    </xf>
    <xf numFmtId="165" fontId="38" fillId="0" borderId="11" xfId="2" applyNumberFormat="1" applyFont="1" applyBorder="1" applyAlignment="1">
      <alignment horizontal="center" vertical="center"/>
    </xf>
    <xf numFmtId="165" fontId="38" fillId="0" borderId="13" xfId="2" applyNumberFormat="1" applyFont="1" applyBorder="1" applyAlignment="1">
      <alignment horizontal="center" vertical="center"/>
    </xf>
    <xf numFmtId="165" fontId="38" fillId="0" borderId="5" xfId="2" applyNumberFormat="1" applyFont="1" applyBorder="1" applyAlignment="1">
      <alignment horizontal="center" vertical="center"/>
    </xf>
    <xf numFmtId="165" fontId="38" fillId="0" borderId="15" xfId="2" applyNumberFormat="1" applyFont="1" applyBorder="1" applyAlignment="1">
      <alignment horizontal="center" vertical="center"/>
    </xf>
    <xf numFmtId="165" fontId="32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4" fillId="2" borderId="56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Border="1" applyAlignment="1">
      <alignment horizontal="center" vertical="center"/>
    </xf>
    <xf numFmtId="165" fontId="3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2" fillId="0" borderId="106" xfId="2" applyNumberFormat="1" applyFont="1" applyBorder="1" applyAlignment="1">
      <alignment horizontal="center" vertical="center"/>
    </xf>
    <xf numFmtId="165" fontId="32" fillId="0" borderId="20" xfId="2" applyNumberFormat="1" applyFont="1" applyBorder="1" applyAlignment="1">
      <alignment horizontal="center" vertical="center"/>
    </xf>
    <xf numFmtId="165" fontId="32" fillId="0" borderId="22" xfId="2" applyNumberFormat="1" applyFont="1" applyBorder="1" applyAlignment="1">
      <alignment horizontal="center" vertical="center"/>
    </xf>
    <xf numFmtId="165" fontId="32" fillId="0" borderId="17" xfId="2" applyNumberFormat="1" applyFont="1" applyBorder="1" applyAlignment="1">
      <alignment horizontal="center" vertical="center"/>
    </xf>
    <xf numFmtId="165" fontId="32" fillId="0" borderId="12" xfId="2" applyNumberFormat="1" applyFont="1" applyBorder="1" applyAlignment="1">
      <alignment horizontal="center" vertical="center"/>
    </xf>
    <xf numFmtId="165" fontId="32" fillId="0" borderId="6" xfId="2" quotePrefix="1" applyNumberFormat="1" applyFont="1" applyBorder="1" applyAlignment="1">
      <alignment horizontal="center" vertical="center"/>
    </xf>
    <xf numFmtId="165" fontId="32" fillId="0" borderId="8" xfId="2" quotePrefix="1" applyNumberFormat="1" applyFont="1" applyBorder="1" applyAlignment="1">
      <alignment horizontal="center" vertical="center"/>
    </xf>
    <xf numFmtId="165" fontId="32" fillId="0" borderId="16" xfId="2" quotePrefix="1" applyNumberFormat="1" applyFont="1" applyBorder="1" applyAlignment="1">
      <alignment horizontal="center" vertical="center"/>
    </xf>
    <xf numFmtId="165" fontId="32" fillId="0" borderId="19" xfId="2" quotePrefix="1" applyNumberFormat="1" applyFont="1" applyBorder="1" applyAlignment="1">
      <alignment horizontal="center" vertical="center"/>
    </xf>
    <xf numFmtId="165" fontId="32" fillId="0" borderId="20" xfId="2" quotePrefix="1" applyNumberFormat="1" applyFont="1" applyBorder="1" applyAlignment="1">
      <alignment horizontal="center" vertical="center"/>
    </xf>
    <xf numFmtId="165" fontId="32" fillId="0" borderId="12" xfId="2" quotePrefix="1" applyNumberFormat="1" applyFont="1" applyBorder="1" applyAlignment="1">
      <alignment horizontal="center" vertical="center"/>
    </xf>
    <xf numFmtId="165" fontId="32" fillId="0" borderId="14" xfId="2" quotePrefix="1" applyNumberFormat="1" applyFont="1" applyBorder="1" applyAlignment="1">
      <alignment horizontal="center" vertical="center"/>
    </xf>
    <xf numFmtId="165" fontId="44" fillId="3" borderId="14" xfId="2" applyNumberFormat="1" applyFont="1" applyFill="1" applyBorder="1" applyAlignment="1">
      <alignment horizontal="center" vertical="center" wrapText="1"/>
    </xf>
    <xf numFmtId="166" fontId="32" fillId="0" borderId="0" xfId="247" applyNumberFormat="1" applyFont="1" applyAlignment="1">
      <alignment horizontal="center"/>
    </xf>
    <xf numFmtId="165" fontId="44" fillId="3" borderId="0" xfId="2" applyNumberFormat="1" applyFont="1" applyFill="1" applyBorder="1" applyAlignment="1">
      <alignment horizontal="center" vertical="center" wrapText="1"/>
    </xf>
    <xf numFmtId="165" fontId="32" fillId="0" borderId="103" xfId="2" applyNumberFormat="1" applyFont="1" applyBorder="1" applyAlignment="1">
      <alignment horizontal="center" vertical="center"/>
    </xf>
    <xf numFmtId="165" fontId="32" fillId="0" borderId="73" xfId="2" applyNumberFormat="1" applyFont="1" applyBorder="1" applyAlignment="1">
      <alignment horizontal="center" vertical="center"/>
    </xf>
    <xf numFmtId="165" fontId="32" fillId="0" borderId="89" xfId="2" applyNumberFormat="1" applyFont="1" applyBorder="1" applyAlignment="1">
      <alignment horizontal="center" vertical="center"/>
    </xf>
    <xf numFmtId="165" fontId="32" fillId="0" borderId="93" xfId="2" applyNumberFormat="1" applyFont="1" applyBorder="1" applyAlignment="1">
      <alignment horizontal="center" vertical="center"/>
    </xf>
    <xf numFmtId="165" fontId="32" fillId="0" borderId="95" xfId="2" applyNumberFormat="1" applyFont="1" applyBorder="1" applyAlignment="1">
      <alignment horizontal="center" vertical="center"/>
    </xf>
    <xf numFmtId="165" fontId="32" fillId="0" borderId="53" xfId="2" quotePrefix="1" applyNumberFormat="1" applyFont="1" applyBorder="1" applyAlignment="1">
      <alignment horizontal="center" vertical="center"/>
    </xf>
    <xf numFmtId="165" fontId="32" fillId="0" borderId="76" xfId="2" quotePrefix="1" applyNumberFormat="1" applyFont="1" applyBorder="1" applyAlignment="1">
      <alignment horizontal="center" vertical="center"/>
    </xf>
    <xf numFmtId="165" fontId="32" fillId="0" borderId="91" xfId="2" quotePrefix="1" applyNumberFormat="1" applyFont="1" applyBorder="1" applyAlignment="1">
      <alignment horizontal="center" vertical="center"/>
    </xf>
    <xf numFmtId="165" fontId="32" fillId="0" borderId="93" xfId="2" quotePrefix="1" applyNumberFormat="1" applyFont="1" applyBorder="1" applyAlignment="1">
      <alignment horizontal="center" vertical="center"/>
    </xf>
    <xf numFmtId="165" fontId="44" fillId="3" borderId="36" xfId="2" applyNumberFormat="1" applyFont="1" applyFill="1" applyBorder="1" applyAlignment="1">
      <alignment horizontal="center" vertical="center" wrapText="1"/>
    </xf>
    <xf numFmtId="165" fontId="32" fillId="0" borderId="74" xfId="2" quotePrefix="1" applyNumberFormat="1" applyFont="1" applyBorder="1" applyAlignment="1">
      <alignment horizontal="center" vertical="center"/>
    </xf>
    <xf numFmtId="165" fontId="32" fillId="0" borderId="73" xfId="2" quotePrefix="1" applyNumberFormat="1" applyFont="1" applyBorder="1" applyAlignment="1">
      <alignment horizontal="center" vertical="center"/>
    </xf>
    <xf numFmtId="165" fontId="44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2" fillId="0" borderId="128" xfId="2" applyNumberFormat="1" applyFont="1" applyBorder="1" applyAlignment="1">
      <alignment horizontal="center" vertical="center"/>
    </xf>
    <xf numFmtId="3" fontId="42" fillId="0" borderId="0" xfId="0" applyNumberFormat="1" applyFont="1" applyBorder="1"/>
    <xf numFmtId="165" fontId="38" fillId="0" borderId="76" xfId="2" quotePrefix="1" applyNumberFormat="1" applyFont="1" applyBorder="1" applyAlignment="1">
      <alignment horizontal="center" vertical="center"/>
    </xf>
    <xf numFmtId="3" fontId="32" fillId="0" borderId="8" xfId="0" applyNumberFormat="1" applyFont="1" applyBorder="1"/>
    <xf numFmtId="0" fontId="0" fillId="0" borderId="53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165" fontId="34" fillId="0" borderId="0" xfId="2" applyNumberFormat="1" applyFont="1" applyFill="1" applyBorder="1" applyAlignment="1">
      <alignment horizontal="center" vertical="center" wrapText="1"/>
    </xf>
    <xf numFmtId="165" fontId="82" fillId="0" borderId="0" xfId="2" applyNumberFormat="1" applyFont="1" applyBorder="1" applyAlignment="1">
      <alignment vertical="center"/>
    </xf>
    <xf numFmtId="165" fontId="82" fillId="0" borderId="0" xfId="2" applyNumberFormat="1" applyFont="1" applyBorder="1" applyAlignment="1">
      <alignment horizontal="center" vertical="center"/>
    </xf>
    <xf numFmtId="0" fontId="42" fillId="0" borderId="121" xfId="0" applyFont="1" applyFill="1" applyBorder="1" applyAlignment="1">
      <alignment vertical="center"/>
    </xf>
    <xf numFmtId="0" fontId="85" fillId="0" borderId="0" xfId="1" applyFont="1"/>
    <xf numFmtId="0" fontId="27" fillId="0" borderId="0" xfId="1" applyFont="1"/>
    <xf numFmtId="0" fontId="86" fillId="0" borderId="0" xfId="0" applyFont="1"/>
    <xf numFmtId="165" fontId="38" fillId="0" borderId="73" xfId="2" applyNumberFormat="1" applyFont="1" applyFill="1" applyBorder="1" applyAlignment="1">
      <alignment horizontal="center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8" xfId="0" applyNumberFormat="1" applyFont="1" applyBorder="1" applyAlignment="1"/>
    <xf numFmtId="3" fontId="32" fillId="0" borderId="0" xfId="0" applyNumberFormat="1" applyFont="1" applyAlignment="1"/>
    <xf numFmtId="3" fontId="34" fillId="2" borderId="0" xfId="2" applyNumberFormat="1" applyFont="1" applyFill="1" applyBorder="1" applyAlignment="1">
      <alignment vertical="center" wrapText="1"/>
    </xf>
    <xf numFmtId="3" fontId="34" fillId="2" borderId="0" xfId="0" applyNumberFormat="1" applyFont="1" applyFill="1" applyAlignment="1">
      <alignment vertical="center" wrapText="1"/>
    </xf>
    <xf numFmtId="165" fontId="34" fillId="2" borderId="0" xfId="2" applyNumberFormat="1" applyFont="1" applyFill="1" applyAlignment="1">
      <alignment vertical="center" wrapText="1"/>
    </xf>
    <xf numFmtId="3" fontId="34" fillId="2" borderId="0" xfId="0" applyNumberFormat="1" applyFont="1" applyFill="1" applyBorder="1" applyAlignment="1">
      <alignment vertical="center" wrapText="1"/>
    </xf>
    <xf numFmtId="3" fontId="34" fillId="2" borderId="1" xfId="2" applyNumberFormat="1" applyFont="1" applyFill="1" applyBorder="1" applyAlignment="1">
      <alignment horizontal="right" vertical="center" wrapText="1"/>
    </xf>
    <xf numFmtId="3" fontId="32" fillId="0" borderId="22" xfId="0" applyNumberFormat="1" applyFont="1" applyBorder="1" applyAlignment="1">
      <alignment vertical="center"/>
    </xf>
    <xf numFmtId="3" fontId="32" fillId="0" borderId="19" xfId="0" applyNumberFormat="1" applyFont="1" applyBorder="1" applyAlignment="1">
      <alignment vertical="center"/>
    </xf>
    <xf numFmtId="3" fontId="32" fillId="0" borderId="20" xfId="0" applyNumberFormat="1" applyFont="1" applyBorder="1" applyAlignment="1">
      <alignment vertical="center"/>
    </xf>
    <xf numFmtId="3" fontId="38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6" fillId="0" borderId="0" xfId="0" applyFont="1"/>
    <xf numFmtId="166" fontId="89" fillId="0" borderId="0" xfId="247" applyNumberFormat="1" applyFont="1"/>
    <xf numFmtId="3" fontId="76" fillId="0" borderId="0" xfId="0" applyNumberFormat="1" applyFont="1"/>
    <xf numFmtId="4" fontId="76" fillId="0" borderId="0" xfId="0" applyNumberFormat="1" applyFont="1"/>
    <xf numFmtId="3" fontId="32" fillId="0" borderId="60" xfId="189" applyNumberFormat="1" applyFont="1" applyBorder="1"/>
    <xf numFmtId="2" fontId="42" fillId="0" borderId="0" xfId="337" applyNumberFormat="1" applyFont="1" applyAlignment="1">
      <alignment horizontal="right"/>
    </xf>
    <xf numFmtId="2" fontId="88" fillId="0" borderId="0" xfId="304" applyNumberFormat="1" applyFont="1" applyAlignment="1">
      <alignment horizontal="right"/>
    </xf>
    <xf numFmtId="2" fontId="37" fillId="0" borderId="0" xfId="0" applyNumberFormat="1" applyFont="1"/>
    <xf numFmtId="2" fontId="42" fillId="0" borderId="0" xfId="10" applyNumberFormat="1" applyFont="1" applyAlignment="1">
      <alignment horizontal="right"/>
    </xf>
    <xf numFmtId="3" fontId="38" fillId="0" borderId="124" xfId="0" applyNumberFormat="1" applyFont="1" applyBorder="1" applyAlignment="1">
      <alignment horizontal="right" vertical="center"/>
    </xf>
    <xf numFmtId="3" fontId="38" fillId="0" borderId="130" xfId="0" applyNumberFormat="1" applyFont="1" applyBorder="1" applyAlignment="1">
      <alignment horizontal="right" vertical="center"/>
    </xf>
    <xf numFmtId="3" fontId="32" fillId="0" borderId="84" xfId="0" applyNumberFormat="1" applyFont="1" applyBorder="1" applyAlignment="1">
      <alignment horizontal="right" vertical="center"/>
    </xf>
    <xf numFmtId="3" fontId="32" fillId="0" borderId="69" xfId="0" applyNumberFormat="1" applyFont="1" applyBorder="1" applyAlignment="1">
      <alignment horizontal="right" vertical="center"/>
    </xf>
    <xf numFmtId="3" fontId="32" fillId="0" borderId="92" xfId="0" applyNumberFormat="1" applyFont="1" applyFill="1" applyBorder="1" applyAlignment="1">
      <alignment horizontal="right" vertical="center"/>
    </xf>
    <xf numFmtId="3" fontId="32" fillId="0" borderId="72" xfId="0" applyNumberFormat="1" applyFont="1" applyFill="1" applyBorder="1" applyAlignment="1">
      <alignment horizontal="right" vertical="center"/>
    </xf>
    <xf numFmtId="3" fontId="38" fillId="0" borderId="78" xfId="0" applyNumberFormat="1" applyFont="1" applyBorder="1" applyAlignment="1">
      <alignment horizontal="right" vertical="center"/>
    </xf>
    <xf numFmtId="3" fontId="32" fillId="0" borderId="35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9" fontId="38" fillId="0" borderId="0" xfId="2" applyFont="1" applyAlignment="1">
      <alignment horizontal="center" vertical="center"/>
    </xf>
    <xf numFmtId="165" fontId="32" fillId="0" borderId="100" xfId="2" quotePrefix="1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right" vertical="center"/>
    </xf>
    <xf numFmtId="165" fontId="38" fillId="0" borderId="103" xfId="2" quotePrefix="1" applyNumberFormat="1" applyFont="1" applyFill="1" applyBorder="1" applyAlignment="1">
      <alignment horizontal="center" vertical="center"/>
    </xf>
    <xf numFmtId="9" fontId="38" fillId="0" borderId="80" xfId="2" quotePrefix="1" applyNumberFormat="1" applyFont="1" applyBorder="1" applyAlignment="1">
      <alignment horizontal="center" vertical="center"/>
    </xf>
    <xf numFmtId="165" fontId="38" fillId="0" borderId="76" xfId="2" quotePrefix="1" applyNumberFormat="1" applyFont="1" applyFill="1" applyBorder="1" applyAlignment="1">
      <alignment horizontal="center" vertical="center"/>
    </xf>
    <xf numFmtId="9" fontId="38" fillId="0" borderId="82" xfId="2" applyNumberFormat="1" applyFont="1" applyBorder="1" applyAlignment="1">
      <alignment horizontal="center" vertical="center"/>
    </xf>
    <xf numFmtId="9" fontId="38" fillId="0" borderId="81" xfId="2" applyNumberFormat="1" applyFont="1" applyBorder="1" applyAlignment="1">
      <alignment horizontal="center" vertical="center"/>
    </xf>
    <xf numFmtId="9" fontId="38" fillId="0" borderId="65" xfId="2" applyNumberFormat="1" applyFont="1" applyBorder="1" applyAlignment="1">
      <alignment horizontal="center" vertical="center"/>
    </xf>
    <xf numFmtId="9" fontId="38" fillId="0" borderId="66" xfId="2" quotePrefix="1" applyNumberFormat="1" applyFont="1" applyBorder="1" applyAlignment="1">
      <alignment horizontal="center" vertical="center"/>
    </xf>
    <xf numFmtId="9" fontId="38" fillId="0" borderId="66" xfId="2" applyNumberFormat="1" applyFont="1" applyBorder="1" applyAlignment="1">
      <alignment horizontal="center" vertical="center"/>
    </xf>
    <xf numFmtId="2" fontId="88" fillId="0" borderId="0" xfId="304" applyNumberFormat="1" applyFont="1" applyAlignment="1">
      <alignment horizontal="left" vertical="center"/>
    </xf>
    <xf numFmtId="3" fontId="38" fillId="0" borderId="94" xfId="304" applyNumberFormat="1" applyFont="1" applyBorder="1" applyAlignment="1">
      <alignment vertical="center"/>
    </xf>
    <xf numFmtId="3" fontId="38" fillId="0" borderId="22" xfId="304" applyNumberFormat="1" applyFont="1" applyBorder="1" applyAlignment="1">
      <alignment vertical="center"/>
    </xf>
    <xf numFmtId="0" fontId="42" fillId="0" borderId="91" xfId="10" applyFont="1" applyBorder="1"/>
    <xf numFmtId="165" fontId="32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2" fillId="0" borderId="97" xfId="2" quotePrefix="1" applyNumberFormat="1" applyFont="1" applyBorder="1" applyAlignment="1">
      <alignment horizontal="center" vertical="center"/>
    </xf>
    <xf numFmtId="165" fontId="32" fillId="0" borderId="21" xfId="2" quotePrefix="1" applyNumberFormat="1" applyFont="1" applyBorder="1" applyAlignment="1">
      <alignment horizontal="center" vertical="center"/>
    </xf>
    <xf numFmtId="165" fontId="34" fillId="2" borderId="0" xfId="2" quotePrefix="1" applyNumberFormat="1" applyFont="1" applyFill="1" applyBorder="1" applyAlignment="1">
      <alignment horizontal="center" vertical="center" wrapText="1"/>
    </xf>
    <xf numFmtId="3" fontId="34" fillId="2" borderId="36" xfId="0" applyNumberFormat="1" applyFont="1" applyFill="1" applyBorder="1" applyAlignment="1">
      <alignment horizontal="right" vertical="center" wrapText="1"/>
    </xf>
    <xf numFmtId="3" fontId="32" fillId="0" borderId="35" xfId="0" applyNumberFormat="1" applyFont="1" applyBorder="1" applyAlignment="1">
      <alignment vertical="center"/>
    </xf>
    <xf numFmtId="165" fontId="32" fillId="0" borderId="36" xfId="2" quotePrefix="1" applyNumberFormat="1" applyFont="1" applyBorder="1" applyAlignment="1">
      <alignment horizontal="center" vertical="center"/>
    </xf>
    <xf numFmtId="0" fontId="28" fillId="2" borderId="36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right" vertical="center" wrapText="1"/>
    </xf>
    <xf numFmtId="165" fontId="32" fillId="0" borderId="100" xfId="2" applyNumberFormat="1" applyFont="1" applyBorder="1" applyAlignment="1">
      <alignment horizontal="center" vertical="center"/>
    </xf>
    <xf numFmtId="165" fontId="32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8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4" fillId="2" borderId="61" xfId="0" applyNumberFormat="1" applyFont="1" applyFill="1" applyBorder="1" applyAlignment="1">
      <alignment horizontal="center" vertical="center" wrapText="1"/>
    </xf>
    <xf numFmtId="3" fontId="32" fillId="0" borderId="96" xfId="0" applyNumberFormat="1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center" vertical="center" wrapText="1"/>
    </xf>
    <xf numFmtId="3" fontId="34" fillId="2" borderId="28" xfId="0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vertical="center"/>
    </xf>
    <xf numFmtId="164" fontId="32" fillId="0" borderId="9" xfId="0" quotePrefix="1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1" fillId="0" borderId="55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165" fontId="34" fillId="2" borderId="28" xfId="2" applyNumberFormat="1" applyFont="1" applyFill="1" applyBorder="1" applyAlignment="1">
      <alignment horizontal="center" vertical="center" wrapText="1"/>
    </xf>
    <xf numFmtId="165" fontId="34" fillId="2" borderId="133" xfId="2" applyNumberFormat="1" applyFont="1" applyFill="1" applyBorder="1" applyAlignment="1">
      <alignment horizontal="center" vertical="center" wrapText="1"/>
    </xf>
    <xf numFmtId="165" fontId="32" fillId="0" borderId="63" xfId="0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right" vertical="center"/>
    </xf>
    <xf numFmtId="3" fontId="32" fillId="0" borderId="54" xfId="0" applyNumberFormat="1" applyFont="1" applyBorder="1" applyAlignment="1">
      <alignment horizontal="right" vertical="center"/>
    </xf>
    <xf numFmtId="0" fontId="28" fillId="2" borderId="133" xfId="0" applyFont="1" applyFill="1" applyBorder="1" applyAlignment="1">
      <alignment vertical="center"/>
    </xf>
    <xf numFmtId="0" fontId="29" fillId="2" borderId="28" xfId="0" applyFont="1" applyFill="1" applyBorder="1" applyAlignment="1">
      <alignment vertical="center"/>
    </xf>
    <xf numFmtId="165" fontId="38" fillId="0" borderId="55" xfId="2" applyNumberFormat="1" applyFont="1" applyBorder="1" applyAlignment="1">
      <alignment horizontal="center" vertical="center"/>
    </xf>
    <xf numFmtId="3" fontId="38" fillId="0" borderId="35" xfId="0" applyNumberFormat="1" applyFont="1" applyFill="1" applyBorder="1" applyAlignment="1">
      <alignment horizontal="right" vertical="center"/>
    </xf>
    <xf numFmtId="165" fontId="38" fillId="0" borderId="9" xfId="2" quotePrefix="1" applyNumberFormat="1" applyFont="1" applyBorder="1" applyAlignment="1">
      <alignment horizontal="center" vertical="center"/>
    </xf>
    <xf numFmtId="165" fontId="38" fillId="0" borderId="10" xfId="2" applyNumberFormat="1" applyFont="1" applyBorder="1" applyAlignment="1">
      <alignment horizontal="center" vertical="center"/>
    </xf>
    <xf numFmtId="9" fontId="38" fillId="0" borderId="41" xfId="2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/>
    </xf>
    <xf numFmtId="165" fontId="32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2" fillId="0" borderId="134" xfId="4" applyBorder="1"/>
    <xf numFmtId="0" fontId="43" fillId="3" borderId="36" xfId="0" applyFont="1" applyFill="1" applyBorder="1" applyAlignment="1">
      <alignment vertical="center"/>
    </xf>
    <xf numFmtId="3" fontId="32" fillId="0" borderId="130" xfId="0" applyNumberFormat="1" applyFont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right" vertical="center" wrapText="1"/>
    </xf>
    <xf numFmtId="3" fontId="32" fillId="0" borderId="134" xfId="0" applyNumberFormat="1" applyFont="1" applyBorder="1" applyAlignment="1">
      <alignment horizontal="right" vertical="center"/>
    </xf>
    <xf numFmtId="165" fontId="32" fillId="0" borderId="134" xfId="2" quotePrefix="1" applyNumberFormat="1" applyFont="1" applyBorder="1" applyAlignment="1">
      <alignment horizontal="center" vertical="center"/>
    </xf>
    <xf numFmtId="165" fontId="32" fillId="0" borderId="135" xfId="2" quotePrefix="1" applyNumberFormat="1" applyFont="1" applyBorder="1" applyAlignment="1">
      <alignment horizontal="center" vertical="center"/>
    </xf>
    <xf numFmtId="3" fontId="34" fillId="2" borderId="136" xfId="0" applyNumberFormat="1" applyFont="1" applyFill="1" applyBorder="1" applyAlignment="1">
      <alignment horizontal="center" vertical="center" wrapText="1"/>
    </xf>
    <xf numFmtId="165" fontId="32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4" fillId="2" borderId="116" xfId="2" applyNumberFormat="1" applyFont="1" applyFill="1" applyBorder="1" applyAlignment="1">
      <alignment horizontal="center" vertical="center" wrapText="1"/>
    </xf>
    <xf numFmtId="3" fontId="32" fillId="0" borderId="125" xfId="0" applyNumberFormat="1" applyFont="1" applyBorder="1" applyAlignment="1">
      <alignment horizontal="right" vertical="center"/>
    </xf>
    <xf numFmtId="3" fontId="32" fillId="0" borderId="90" xfId="0" applyNumberFormat="1" applyFont="1" applyBorder="1" applyAlignment="1">
      <alignment vertical="center"/>
    </xf>
    <xf numFmtId="0" fontId="28" fillId="2" borderId="137" xfId="0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right" vertical="center"/>
    </xf>
    <xf numFmtId="3" fontId="32" fillId="0" borderId="139" xfId="0" applyNumberFormat="1" applyFont="1" applyBorder="1" applyAlignment="1">
      <alignment horizontal="right" vertical="center"/>
    </xf>
    <xf numFmtId="3" fontId="32" fillId="0" borderId="137" xfId="0" applyNumberFormat="1" applyFont="1" applyBorder="1" applyAlignment="1">
      <alignment horizontal="right" vertical="center"/>
    </xf>
    <xf numFmtId="3" fontId="34" fillId="2" borderId="137" xfId="0" applyNumberFormat="1" applyFont="1" applyFill="1" applyBorder="1" applyAlignment="1">
      <alignment horizontal="right" vertical="center" wrapText="1"/>
    </xf>
    <xf numFmtId="3" fontId="32" fillId="0" borderId="140" xfId="0" applyNumberFormat="1" applyFont="1" applyBorder="1" applyAlignment="1">
      <alignment horizontal="right" vertical="center"/>
    </xf>
    <xf numFmtId="0" fontId="32" fillId="0" borderId="141" xfId="0" quotePrefix="1" applyFont="1" applyBorder="1" applyAlignment="1">
      <alignment horizontal="center" vertical="center"/>
    </xf>
    <xf numFmtId="0" fontId="28" fillId="2" borderId="141" xfId="0" applyFont="1" applyFill="1" applyBorder="1" applyAlignment="1">
      <alignment horizontal="center" vertical="center" wrapText="1"/>
    </xf>
    <xf numFmtId="165" fontId="32" fillId="0" borderId="142" xfId="2" applyNumberFormat="1" applyFont="1" applyBorder="1" applyAlignment="1">
      <alignment horizontal="center" vertical="center"/>
    </xf>
    <xf numFmtId="165" fontId="32" fillId="0" borderId="143" xfId="2" applyNumberFormat="1" applyFont="1" applyBorder="1" applyAlignment="1">
      <alignment horizontal="center" vertical="center"/>
    </xf>
    <xf numFmtId="165" fontId="34" fillId="2" borderId="141" xfId="2" applyNumberFormat="1" applyFont="1" applyFill="1" applyBorder="1" applyAlignment="1">
      <alignment horizontal="center" vertical="center" wrapText="1"/>
    </xf>
    <xf numFmtId="165" fontId="32" fillId="0" borderId="144" xfId="2" applyNumberFormat="1" applyFont="1" applyBorder="1" applyAlignment="1">
      <alignment horizontal="center" vertical="center"/>
    </xf>
    <xf numFmtId="3" fontId="34" fillId="2" borderId="145" xfId="0" applyNumberFormat="1" applyFont="1" applyFill="1" applyBorder="1" applyAlignment="1">
      <alignment horizontal="right" vertical="center" wrapText="1"/>
    </xf>
    <xf numFmtId="165" fontId="34" fillId="2" borderId="146" xfId="2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vertical="center"/>
    </xf>
    <xf numFmtId="3" fontId="32" fillId="0" borderId="139" xfId="0" applyNumberFormat="1" applyFont="1" applyBorder="1" applyAlignment="1">
      <alignment vertical="center"/>
    </xf>
    <xf numFmtId="3" fontId="32" fillId="0" borderId="140" xfId="0" applyNumberFormat="1" applyFont="1" applyBorder="1" applyAlignment="1">
      <alignment vertical="center"/>
    </xf>
    <xf numFmtId="3" fontId="32" fillId="0" borderId="147" xfId="0" applyNumberFormat="1" applyFont="1" applyBorder="1" applyAlignment="1">
      <alignment horizontal="right" vertical="center"/>
    </xf>
    <xf numFmtId="3" fontId="32" fillId="0" borderId="148" xfId="0" applyNumberFormat="1" applyFont="1" applyBorder="1" applyAlignment="1">
      <alignment horizontal="right" vertical="center"/>
    </xf>
    <xf numFmtId="3" fontId="32" fillId="0" borderId="149" xfId="0" applyNumberFormat="1" applyFont="1" applyBorder="1" applyAlignment="1">
      <alignment horizontal="right" vertical="center"/>
    </xf>
    <xf numFmtId="3" fontId="32" fillId="0" borderId="150" xfId="0" applyNumberFormat="1" applyFont="1" applyBorder="1" applyAlignment="1">
      <alignment horizontal="right" vertical="center"/>
    </xf>
    <xf numFmtId="3" fontId="32" fillId="0" borderId="151" xfId="0" applyNumberFormat="1" applyFont="1" applyBorder="1" applyAlignment="1">
      <alignment horizontal="right" vertical="center"/>
    </xf>
    <xf numFmtId="165" fontId="32" fillId="0" borderId="134" xfId="2" applyNumberFormat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wrapText="1"/>
    </xf>
    <xf numFmtId="165" fontId="32" fillId="0" borderId="152" xfId="2" applyNumberFormat="1" applyFont="1" applyBorder="1" applyAlignment="1">
      <alignment horizontal="center" vertical="center"/>
    </xf>
    <xf numFmtId="165" fontId="32" fillId="0" borderId="153" xfId="2" quotePrefix="1" applyNumberFormat="1" applyFont="1" applyBorder="1" applyAlignment="1">
      <alignment horizontal="center" vertical="center"/>
    </xf>
    <xf numFmtId="165" fontId="32" fillId="0" borderId="153" xfId="2" applyNumberFormat="1" applyFont="1" applyBorder="1" applyAlignment="1">
      <alignment horizontal="center" vertical="center"/>
    </xf>
    <xf numFmtId="165" fontId="32" fillId="0" borderId="154" xfId="2" applyNumberFormat="1" applyFont="1" applyBorder="1" applyAlignment="1">
      <alignment horizontal="center" vertical="center"/>
    </xf>
    <xf numFmtId="165" fontId="32" fillId="0" borderId="155" xfId="2" applyNumberFormat="1" applyFont="1" applyBorder="1" applyAlignment="1">
      <alignment horizontal="center" vertical="center"/>
    </xf>
    <xf numFmtId="165" fontId="32" fillId="0" borderId="156" xfId="2" applyNumberFormat="1" applyFont="1" applyBorder="1" applyAlignment="1">
      <alignment horizontal="center" vertical="center"/>
    </xf>
    <xf numFmtId="165" fontId="32" fillId="0" borderId="157" xfId="2" applyNumberFormat="1" applyFont="1" applyBorder="1" applyAlignment="1">
      <alignment horizontal="center" vertical="center"/>
    </xf>
    <xf numFmtId="165" fontId="32" fillId="0" borderId="157" xfId="2" quotePrefix="1" applyNumberFormat="1" applyFont="1" applyBorder="1" applyAlignment="1">
      <alignment horizontal="center" vertical="center"/>
    </xf>
    <xf numFmtId="165" fontId="32" fillId="0" borderId="158" xfId="2" applyNumberFormat="1" applyFont="1" applyBorder="1" applyAlignment="1">
      <alignment horizontal="center" vertical="center"/>
    </xf>
    <xf numFmtId="165" fontId="32" fillId="0" borderId="159" xfId="2" applyNumberFormat="1" applyFont="1" applyBorder="1" applyAlignment="1">
      <alignment horizontal="center" vertical="center"/>
    </xf>
    <xf numFmtId="165" fontId="44" fillId="3" borderId="67" xfId="2" applyNumberFormat="1" applyFont="1" applyFill="1" applyBorder="1" applyAlignment="1">
      <alignment horizontal="center" vertical="center" wrapText="1"/>
    </xf>
    <xf numFmtId="165" fontId="44" fillId="0" borderId="160" xfId="2" applyNumberFormat="1" applyFont="1" applyFill="1" applyBorder="1" applyAlignment="1">
      <alignment horizontal="center" vertical="center" wrapText="1"/>
    </xf>
    <xf numFmtId="165" fontId="32" fillId="0" borderId="156" xfId="2" applyNumberFormat="1" applyFont="1" applyFill="1" applyBorder="1" applyAlignment="1">
      <alignment horizontal="center" vertical="center"/>
    </xf>
    <xf numFmtId="165" fontId="44" fillId="3" borderId="158" xfId="2" applyNumberFormat="1" applyFont="1" applyFill="1" applyBorder="1" applyAlignment="1">
      <alignment horizontal="center" vertical="center" wrapText="1"/>
    </xf>
    <xf numFmtId="3" fontId="32" fillId="0" borderId="162" xfId="0" applyNumberFormat="1" applyFont="1" applyBorder="1" applyAlignment="1">
      <alignment horizontal="right" vertical="center"/>
    </xf>
    <xf numFmtId="3" fontId="32" fillId="0" borderId="163" xfId="0" applyNumberFormat="1" applyFont="1" applyBorder="1" applyAlignment="1">
      <alignment horizontal="right" vertical="center"/>
    </xf>
    <xf numFmtId="3" fontId="44" fillId="3" borderId="137" xfId="0" applyNumberFormat="1" applyFont="1" applyFill="1" applyBorder="1" applyAlignment="1">
      <alignment horizontal="right" vertical="center" wrapText="1"/>
    </xf>
    <xf numFmtId="3" fontId="32" fillId="0" borderId="150" xfId="2" applyNumberFormat="1" applyFont="1" applyBorder="1" applyAlignment="1">
      <alignment horizontal="right" vertical="center"/>
    </xf>
    <xf numFmtId="3" fontId="44" fillId="3" borderId="163" xfId="0" applyNumberFormat="1" applyFont="1" applyFill="1" applyBorder="1" applyAlignment="1">
      <alignment horizontal="right" vertical="center" wrapText="1"/>
    </xf>
    <xf numFmtId="165" fontId="34" fillId="2" borderId="164" xfId="2" applyNumberFormat="1" applyFont="1" applyFill="1" applyBorder="1" applyAlignment="1">
      <alignment horizontal="center" vertical="center" wrapText="1"/>
    </xf>
    <xf numFmtId="3" fontId="34" fillId="2" borderId="161" xfId="0" applyNumberFormat="1" applyFont="1" applyFill="1" applyBorder="1" applyAlignment="1">
      <alignment horizontal="right" vertical="center" wrapText="1"/>
    </xf>
    <xf numFmtId="165" fontId="34" fillId="2" borderId="165" xfId="2" applyNumberFormat="1" applyFont="1" applyFill="1" applyBorder="1" applyAlignment="1">
      <alignment horizontal="center" vertical="center" wrapText="1"/>
    </xf>
    <xf numFmtId="165" fontId="32" fillId="0" borderId="8" xfId="2" applyNumberFormat="1" applyFont="1" applyFill="1" applyBorder="1" applyAlignment="1">
      <alignment horizontal="center" vertical="center"/>
    </xf>
    <xf numFmtId="0" fontId="32" fillId="0" borderId="67" xfId="0" quotePrefix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3" fontId="32" fillId="0" borderId="137" xfId="0" applyNumberFormat="1" applyFont="1" applyFill="1" applyBorder="1" applyAlignment="1">
      <alignment vertical="center"/>
    </xf>
    <xf numFmtId="3" fontId="32" fillId="0" borderId="138" xfId="0" applyNumberFormat="1" applyFont="1" applyFill="1" applyBorder="1" applyAlignment="1">
      <alignment vertical="center"/>
    </xf>
    <xf numFmtId="3" fontId="32" fillId="0" borderId="139" xfId="0" applyNumberFormat="1" applyFont="1" applyFill="1" applyBorder="1" applyAlignment="1">
      <alignment vertical="center"/>
    </xf>
    <xf numFmtId="4" fontId="32" fillId="0" borderId="137" xfId="0" applyNumberFormat="1" applyFont="1" applyBorder="1" applyAlignment="1">
      <alignment vertical="center"/>
    </xf>
    <xf numFmtId="3" fontId="32" fillId="0" borderId="140" xfId="0" applyNumberFormat="1" applyFont="1" applyFill="1" applyBorder="1" applyAlignment="1">
      <alignment vertical="center"/>
    </xf>
    <xf numFmtId="3" fontId="34" fillId="2" borderId="137" xfId="0" applyNumberFormat="1" applyFont="1" applyFill="1" applyBorder="1" applyAlignment="1">
      <alignment horizontal="center" vertical="center" wrapText="1"/>
    </xf>
    <xf numFmtId="3" fontId="34" fillId="2" borderId="145" xfId="0" applyNumberFormat="1" applyFont="1" applyFill="1" applyBorder="1" applyAlignment="1">
      <alignment horizontal="center" vertical="center" wrapText="1"/>
    </xf>
    <xf numFmtId="165" fontId="34" fillId="2" borderId="167" xfId="2" applyNumberFormat="1" applyFont="1" applyFill="1" applyBorder="1" applyAlignment="1">
      <alignment horizontal="center" vertical="center" wrapText="1"/>
    </xf>
    <xf numFmtId="3" fontId="38" fillId="0" borderId="137" xfId="304" applyNumberFormat="1" applyFont="1" applyBorder="1" applyAlignment="1">
      <alignment horizontal="right" vertical="center"/>
    </xf>
    <xf numFmtId="0" fontId="32" fillId="0" borderId="169" xfId="0" quotePrefix="1" applyFont="1" applyBorder="1" applyAlignment="1">
      <alignment horizontal="center" vertical="center"/>
    </xf>
    <xf numFmtId="0" fontId="28" fillId="2" borderId="169" xfId="0" applyFont="1" applyFill="1" applyBorder="1" applyAlignment="1">
      <alignment horizontal="center" vertical="center" wrapText="1"/>
    </xf>
    <xf numFmtId="165" fontId="32" fillId="0" borderId="122" xfId="2" applyNumberFormat="1" applyFont="1" applyBorder="1" applyAlignment="1">
      <alignment horizontal="center" vertical="center"/>
    </xf>
    <xf numFmtId="165" fontId="32" fillId="0" borderId="170" xfId="2" applyNumberFormat="1" applyFont="1" applyBorder="1" applyAlignment="1">
      <alignment horizontal="center" vertical="center"/>
    </xf>
    <xf numFmtId="165" fontId="32" fillId="0" borderId="171" xfId="2" applyNumberFormat="1" applyFont="1" applyBorder="1" applyAlignment="1">
      <alignment horizontal="center" vertical="center"/>
    </xf>
    <xf numFmtId="165" fontId="32" fillId="0" borderId="172" xfId="2" applyNumberFormat="1" applyFont="1" applyBorder="1" applyAlignment="1">
      <alignment horizontal="center" vertical="center"/>
    </xf>
    <xf numFmtId="165" fontId="34" fillId="2" borderId="169" xfId="2" applyNumberFormat="1" applyFont="1" applyFill="1" applyBorder="1" applyAlignment="1">
      <alignment horizontal="center" vertical="center" wrapText="1"/>
    </xf>
    <xf numFmtId="165" fontId="34" fillId="2" borderId="173" xfId="2" applyNumberFormat="1" applyFont="1" applyFill="1" applyBorder="1" applyAlignment="1">
      <alignment horizontal="center" vertical="center" wrapText="1"/>
    </xf>
    <xf numFmtId="3" fontId="28" fillId="2" borderId="137" xfId="0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center" vertical="center"/>
    </xf>
    <xf numFmtId="3" fontId="32" fillId="0" borderId="140" xfId="0" applyNumberFormat="1" applyFont="1" applyBorder="1" applyAlignment="1">
      <alignment horizontal="center" vertical="center"/>
    </xf>
    <xf numFmtId="3" fontId="32" fillId="0" borderId="137" xfId="0" applyNumberFormat="1" applyFont="1" applyBorder="1" applyAlignment="1">
      <alignment horizontal="center" vertical="center"/>
    </xf>
    <xf numFmtId="3" fontId="32" fillId="0" borderId="174" xfId="0" applyNumberFormat="1" applyFont="1" applyBorder="1" applyAlignment="1">
      <alignment vertical="center"/>
    </xf>
    <xf numFmtId="165" fontId="34" fillId="2" borderId="6" xfId="2" applyNumberFormat="1" applyFont="1" applyFill="1" applyBorder="1" applyAlignment="1">
      <alignment horizontal="center" vertical="center" wrapText="1"/>
    </xf>
    <xf numFmtId="165" fontId="32" fillId="0" borderId="160" xfId="2" applyNumberFormat="1" applyFont="1" applyBorder="1" applyAlignment="1">
      <alignment horizontal="center" vertical="center"/>
    </xf>
    <xf numFmtId="0" fontId="32" fillId="0" borderId="35" xfId="0" quotePrefix="1" applyFont="1" applyBorder="1" applyAlignment="1">
      <alignment horizontal="center" vertical="center"/>
    </xf>
    <xf numFmtId="0" fontId="34" fillId="2" borderId="116" xfId="0" applyFont="1" applyFill="1" applyBorder="1" applyAlignment="1">
      <alignment horizontal="center" vertical="center" wrapText="1"/>
    </xf>
    <xf numFmtId="165" fontId="34" fillId="2" borderId="164" xfId="2" quotePrefix="1" applyNumberFormat="1" applyFont="1" applyFill="1" applyBorder="1" applyAlignment="1">
      <alignment horizontal="center" vertical="center" wrapText="1"/>
    </xf>
    <xf numFmtId="165" fontId="34" fillId="2" borderId="175" xfId="2" applyNumberFormat="1" applyFont="1" applyFill="1" applyBorder="1" applyAlignment="1">
      <alignment horizontal="center" vertical="center" wrapText="1"/>
    </xf>
    <xf numFmtId="0" fontId="34" fillId="2" borderId="175" xfId="0" quotePrefix="1" applyFont="1" applyFill="1" applyBorder="1" applyAlignment="1">
      <alignment horizontal="center" vertical="center" wrapText="1"/>
    </xf>
    <xf numFmtId="165" fontId="32" fillId="0" borderId="0" xfId="0" quotePrefix="1" applyNumberFormat="1" applyFont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 wrapText="1"/>
    </xf>
    <xf numFmtId="165" fontId="32" fillId="0" borderId="176" xfId="2" applyNumberFormat="1" applyFont="1" applyBorder="1" applyAlignment="1">
      <alignment horizontal="center" vertical="center"/>
    </xf>
    <xf numFmtId="165" fontId="32" fillId="0" borderId="177" xfId="2" applyNumberFormat="1" applyFont="1" applyBorder="1" applyAlignment="1">
      <alignment horizontal="center" vertical="center"/>
    </xf>
    <xf numFmtId="165" fontId="34" fillId="2" borderId="178" xfId="2" applyNumberFormat="1" applyFont="1" applyFill="1" applyBorder="1" applyAlignment="1">
      <alignment horizontal="center" vertical="center" wrapText="1"/>
    </xf>
    <xf numFmtId="165" fontId="38" fillId="0" borderId="160" xfId="2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shrinkToFit="1"/>
    </xf>
    <xf numFmtId="3" fontId="32" fillId="0" borderId="35" xfId="0" applyNumberFormat="1" applyFont="1" applyFill="1" applyBorder="1" applyAlignment="1">
      <alignment vertical="center"/>
    </xf>
    <xf numFmtId="3" fontId="32" fillId="0" borderId="50" xfId="0" applyNumberFormat="1" applyFont="1" applyFill="1" applyBorder="1" applyAlignment="1">
      <alignment vertical="center"/>
    </xf>
    <xf numFmtId="3" fontId="32" fillId="0" borderId="52" xfId="0" applyNumberFormat="1" applyFont="1" applyFill="1" applyBorder="1" applyAlignment="1">
      <alignment vertical="center"/>
    </xf>
    <xf numFmtId="4" fontId="32" fillId="0" borderId="35" xfId="0" applyNumberFormat="1" applyFont="1" applyBorder="1" applyAlignment="1">
      <alignment vertical="center"/>
    </xf>
    <xf numFmtId="3" fontId="32" fillId="0" borderId="54" xfId="0" applyNumberFormat="1" applyFont="1" applyFill="1" applyBorder="1" applyAlignment="1">
      <alignment vertical="center"/>
    </xf>
    <xf numFmtId="165" fontId="38" fillId="0" borderId="0" xfId="2" applyNumberFormat="1" applyFont="1" applyBorder="1" applyAlignment="1">
      <alignment horizontal="center" vertical="center"/>
    </xf>
    <xf numFmtId="165" fontId="38" fillId="0" borderId="22" xfId="2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165" fontId="38" fillId="0" borderId="95" xfId="2" quotePrefix="1" applyNumberFormat="1" applyFont="1" applyBorder="1" applyAlignment="1">
      <alignment horizontal="center" vertical="center"/>
    </xf>
    <xf numFmtId="3" fontId="38" fillId="0" borderId="20" xfId="0" applyNumberFormat="1" applyFont="1" applyBorder="1" applyAlignment="1">
      <alignment horizontal="right" vertical="center"/>
    </xf>
    <xf numFmtId="165" fontId="38" fillId="0" borderId="67" xfId="2" applyNumberFormat="1" applyFont="1" applyFill="1" applyBorder="1" applyAlignment="1">
      <alignment horizontal="center" vertical="center" wrapText="1"/>
    </xf>
    <xf numFmtId="3" fontId="32" fillId="0" borderId="105" xfId="0" applyNumberFormat="1" applyFont="1" applyBorder="1" applyAlignment="1">
      <alignment vertical="center"/>
    </xf>
    <xf numFmtId="0" fontId="31" fillId="0" borderId="106" xfId="0" applyFont="1" applyBorder="1" applyAlignment="1">
      <alignment vertical="center"/>
    </xf>
    <xf numFmtId="3" fontId="32" fillId="0" borderId="104" xfId="0" applyNumberFormat="1" applyFont="1" applyFill="1" applyBorder="1" applyAlignment="1">
      <alignment vertical="center"/>
    </xf>
    <xf numFmtId="3" fontId="32" fillId="0" borderId="174" xfId="0" applyNumberFormat="1" applyFont="1" applyFill="1" applyBorder="1" applyAlignment="1">
      <alignment vertical="center"/>
    </xf>
    <xf numFmtId="165" fontId="32" fillId="0" borderId="128" xfId="2" quotePrefix="1" applyNumberFormat="1" applyFont="1" applyBorder="1" applyAlignment="1">
      <alignment horizontal="center" vertical="center"/>
    </xf>
    <xf numFmtId="164" fontId="32" fillId="0" borderId="106" xfId="0" quotePrefix="1" applyNumberFormat="1" applyFont="1" applyBorder="1" applyAlignment="1">
      <alignment horizontal="center" vertical="center"/>
    </xf>
    <xf numFmtId="165" fontId="32" fillId="0" borderId="103" xfId="2" quotePrefix="1" applyNumberFormat="1" applyFont="1" applyBorder="1" applyAlignment="1">
      <alignment horizontal="center" vertical="center"/>
    </xf>
    <xf numFmtId="0" fontId="31" fillId="0" borderId="103" xfId="0" applyFont="1" applyBorder="1" applyAlignment="1">
      <alignment vertical="center"/>
    </xf>
    <xf numFmtId="164" fontId="32" fillId="0" borderId="106" xfId="0" quotePrefix="1" applyNumberFormat="1" applyFont="1" applyFill="1" applyBorder="1" applyAlignment="1">
      <alignment horizontal="center" vertical="center"/>
    </xf>
    <xf numFmtId="165" fontId="32" fillId="0" borderId="179" xfId="2" applyNumberFormat="1" applyFont="1" applyBorder="1" applyAlignment="1">
      <alignment horizontal="center" vertical="center"/>
    </xf>
    <xf numFmtId="0" fontId="27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2" fillId="0" borderId="181" xfId="2" quotePrefix="1" applyNumberFormat="1" applyFont="1" applyBorder="1" applyAlignment="1">
      <alignment horizontal="center" vertical="center"/>
    </xf>
    <xf numFmtId="3" fontId="32" fillId="0" borderId="181" xfId="0" quotePrefix="1" applyNumberFormat="1" applyFont="1" applyBorder="1" applyAlignment="1">
      <alignment horizontal="center" vertical="center"/>
    </xf>
    <xf numFmtId="3" fontId="32" fillId="0" borderId="87" xfId="0" applyNumberFormat="1" applyFont="1" applyBorder="1" applyAlignment="1">
      <alignment vertical="center"/>
    </xf>
    <xf numFmtId="0" fontId="31" fillId="0" borderId="181" xfId="0" applyFont="1" applyBorder="1" applyAlignment="1">
      <alignment vertical="center"/>
    </xf>
    <xf numFmtId="3" fontId="32" fillId="0" borderId="180" xfId="0" applyNumberFormat="1" applyFont="1" applyBorder="1" applyAlignment="1">
      <alignment vertical="center"/>
    </xf>
    <xf numFmtId="165" fontId="32" fillId="0" borderId="182" xfId="2" applyNumberFormat="1" applyFont="1" applyBorder="1" applyAlignment="1">
      <alignment horizontal="center" vertical="center"/>
    </xf>
    <xf numFmtId="0" fontId="29" fillId="2" borderId="0" xfId="0" applyFont="1" applyFill="1" applyBorder="1"/>
    <xf numFmtId="3" fontId="32" fillId="0" borderId="181" xfId="0" quotePrefix="1" applyNumberFormat="1" applyFont="1" applyBorder="1" applyAlignment="1">
      <alignment horizontal="right" vertical="center"/>
    </xf>
    <xf numFmtId="165" fontId="34" fillId="2" borderId="28" xfId="2" quotePrefix="1" applyNumberFormat="1" applyFont="1" applyFill="1" applyBorder="1" applyAlignment="1">
      <alignment horizontal="center" vertical="center" wrapText="1"/>
    </xf>
    <xf numFmtId="3" fontId="32" fillId="0" borderId="19" xfId="0" applyNumberFormat="1" applyFont="1" applyFill="1" applyBorder="1" applyAlignment="1">
      <alignment horizontal="right" vertical="center"/>
    </xf>
    <xf numFmtId="165" fontId="32" fillId="0" borderId="143" xfId="2" quotePrefix="1" applyNumberFormat="1" applyFont="1" applyBorder="1" applyAlignment="1">
      <alignment horizontal="center" vertical="center"/>
    </xf>
    <xf numFmtId="165" fontId="32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2" fillId="0" borderId="0" xfId="0" applyNumberFormat="1" applyFont="1" applyAlignment="1">
      <alignment horizontal="center"/>
    </xf>
    <xf numFmtId="10" fontId="0" fillId="0" borderId="0" xfId="0" applyNumberFormat="1"/>
    <xf numFmtId="3" fontId="32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2" fillId="0" borderId="139" xfId="0" quotePrefix="1" applyNumberFormat="1" applyFont="1" applyFill="1" applyBorder="1" applyAlignment="1">
      <alignment horizontal="right" vertical="center"/>
    </xf>
    <xf numFmtId="165" fontId="32" fillId="0" borderId="187" xfId="2" applyNumberFormat="1" applyFont="1" applyBorder="1" applyAlignment="1">
      <alignment horizontal="center" vertical="center"/>
    </xf>
    <xf numFmtId="0" fontId="32" fillId="0" borderId="186" xfId="0" applyFont="1" applyBorder="1" applyAlignment="1">
      <alignment horizontal="center" vertical="center"/>
    </xf>
    <xf numFmtId="3" fontId="32" fillId="0" borderId="193" xfId="0" applyNumberFormat="1" applyFont="1" applyBorder="1" applyAlignment="1">
      <alignment vertical="center"/>
    </xf>
    <xf numFmtId="3" fontId="32" fillId="0" borderId="94" xfId="0" applyNumberFormat="1" applyFont="1" applyBorder="1" applyAlignment="1">
      <alignment vertical="center"/>
    </xf>
    <xf numFmtId="3" fontId="32" fillId="0" borderId="192" xfId="0" applyNumberFormat="1" applyFont="1" applyBorder="1" applyAlignment="1">
      <alignment vertical="center"/>
    </xf>
    <xf numFmtId="3" fontId="32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2" fillId="0" borderId="6" xfId="0" quotePrefix="1" applyNumberFormat="1" applyFont="1" applyFill="1" applyBorder="1" applyAlignment="1">
      <alignment horizontal="center" vertical="center"/>
    </xf>
    <xf numFmtId="3" fontId="34" fillId="2" borderId="194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Alignment="1">
      <alignment horizontal="center"/>
    </xf>
    <xf numFmtId="3" fontId="94" fillId="0" borderId="196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horizontal="right" vertical="center"/>
    </xf>
    <xf numFmtId="3" fontId="94" fillId="0" borderId="196" xfId="0" applyNumberFormat="1" applyFont="1" applyFill="1" applyBorder="1" applyAlignment="1">
      <alignment horizontal="right" vertical="center"/>
    </xf>
    <xf numFmtId="3" fontId="95" fillId="35" borderId="0" xfId="0" applyNumberFormat="1" applyFont="1" applyFill="1" applyBorder="1" applyAlignment="1">
      <alignment horizontal="right" vertical="center" wrapText="1"/>
    </xf>
    <xf numFmtId="3" fontId="94" fillId="0" borderId="195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vertical="center"/>
    </xf>
    <xf numFmtId="3" fontId="95" fillId="35" borderId="198" xfId="0" applyNumberFormat="1" applyFont="1" applyFill="1" applyBorder="1" applyAlignment="1">
      <alignment horizontal="right" vertical="center" wrapText="1"/>
    </xf>
    <xf numFmtId="9" fontId="38" fillId="0" borderId="82" xfId="2" quotePrefix="1" applyNumberFormat="1" applyFont="1" applyBorder="1" applyAlignment="1">
      <alignment horizontal="center" vertical="center"/>
    </xf>
    <xf numFmtId="165" fontId="38" fillId="0" borderId="51" xfId="2" quotePrefix="1" applyNumberFormat="1" applyFont="1" applyFill="1" applyBorder="1" applyAlignment="1">
      <alignment horizontal="center" vertical="center"/>
    </xf>
    <xf numFmtId="165" fontId="38" fillId="0" borderId="89" xfId="2" quotePrefix="1" applyNumberFormat="1" applyFont="1" applyBorder="1" applyAlignment="1">
      <alignment horizontal="center" vertical="center"/>
    </xf>
    <xf numFmtId="165" fontId="38" fillId="0" borderId="91" xfId="2" quotePrefix="1" applyNumberFormat="1" applyFont="1" applyBorder="1" applyAlignment="1">
      <alignment horizontal="center" vertical="center"/>
    </xf>
    <xf numFmtId="3" fontId="34" fillId="2" borderId="96" xfId="0" applyNumberFormat="1" applyFont="1" applyFill="1" applyBorder="1" applyAlignment="1">
      <alignment horizontal="center" vertical="center" wrapText="1"/>
    </xf>
    <xf numFmtId="3" fontId="34" fillId="2" borderId="21" xfId="0" applyNumberFormat="1" applyFont="1" applyFill="1" applyBorder="1" applyAlignment="1">
      <alignment horizontal="center" vertical="center" wrapText="1"/>
    </xf>
    <xf numFmtId="3" fontId="32" fillId="0" borderId="139" xfId="0" applyNumberFormat="1" applyFont="1" applyFill="1" applyBorder="1" applyAlignment="1">
      <alignment horizontal="right" vertical="center"/>
    </xf>
    <xf numFmtId="2" fontId="38" fillId="0" borderId="0" xfId="304" applyNumberFormat="1" applyFont="1" applyAlignment="1">
      <alignment horizontal="right" vertical="center"/>
    </xf>
    <xf numFmtId="164" fontId="32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5" fillId="0" borderId="0" xfId="11" applyFont="1"/>
    <xf numFmtId="165" fontId="32" fillId="0" borderId="6" xfId="0" quotePrefix="1" applyNumberFormat="1" applyFont="1" applyBorder="1" applyAlignment="1">
      <alignment horizontal="center" vertical="center"/>
    </xf>
    <xf numFmtId="165" fontId="32" fillId="0" borderId="9" xfId="0" quotePrefix="1" applyNumberFormat="1" applyFont="1" applyBorder="1" applyAlignment="1">
      <alignment horizontal="center" vertical="center"/>
    </xf>
    <xf numFmtId="165" fontId="34" fillId="2" borderId="0" xfId="0" quotePrefix="1" applyNumberFormat="1" applyFont="1" applyFill="1" applyBorder="1" applyAlignment="1">
      <alignment horizontal="center" vertical="center" wrapText="1"/>
    </xf>
    <xf numFmtId="165" fontId="34" fillId="2" borderId="6" xfId="2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29" xfId="0" quotePrefix="1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17" fontId="37" fillId="0" borderId="33" xfId="0" quotePrefix="1" applyNumberFormat="1" applyFont="1" applyFill="1" applyBorder="1" applyAlignment="1">
      <alignment horizontal="center"/>
    </xf>
    <xf numFmtId="17" fontId="37" fillId="0" borderId="49" xfId="0" quotePrefix="1" applyNumberFormat="1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3" fillId="0" borderId="47" xfId="0" quotePrefix="1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7" fontId="33" fillId="0" borderId="47" xfId="0" quotePrefix="1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3" fillId="0" borderId="29" xfId="0" quotePrefix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7" fillId="0" borderId="33" xfId="0" quotePrefix="1" applyNumberFormat="1" applyFont="1" applyBorder="1" applyAlignment="1">
      <alignment horizontal="center"/>
    </xf>
    <xf numFmtId="0" fontId="37" fillId="0" borderId="49" xfId="0" applyNumberFormat="1" applyFont="1" applyBorder="1" applyAlignment="1">
      <alignment horizontal="center"/>
    </xf>
    <xf numFmtId="0" fontId="37" fillId="0" borderId="34" xfId="0" applyNumberFormat="1" applyFont="1" applyBorder="1" applyAlignment="1">
      <alignment horizontal="center"/>
    </xf>
    <xf numFmtId="17" fontId="33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3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7" fillId="0" borderId="0" xfId="1" applyFont="1" applyAlignment="1">
      <alignment wrapText="1"/>
    </xf>
    <xf numFmtId="0" fontId="32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17" fontId="37" fillId="0" borderId="189" xfId="0" quotePrefix="1" applyNumberFormat="1" applyFont="1" applyBorder="1" applyAlignment="1">
      <alignment horizontal="center"/>
    </xf>
    <xf numFmtId="17" fontId="37" fillId="0" borderId="49" xfId="0" quotePrefix="1" applyNumberFormat="1" applyFont="1" applyBorder="1" applyAlignment="1">
      <alignment horizontal="center"/>
    </xf>
    <xf numFmtId="17" fontId="37" fillId="0" borderId="190" xfId="0" quotePrefix="1" applyNumberFormat="1" applyFont="1" applyBorder="1" applyAlignment="1">
      <alignment horizontal="center"/>
    </xf>
    <xf numFmtId="17" fontId="33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7" fillId="0" borderId="0" xfId="1" applyFont="1" applyAlignment="1">
      <alignment wrapText="1"/>
    </xf>
    <xf numFmtId="0" fontId="86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0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0" fillId="0" borderId="0" xfId="1" applyFont="1" applyAlignment="1"/>
    <xf numFmtId="0" fontId="0" fillId="0" borderId="0" xfId="0" applyAlignment="1"/>
    <xf numFmtId="0" fontId="33" fillId="0" borderId="49" xfId="0" quotePrefix="1" applyFont="1" applyBorder="1" applyAlignment="1">
      <alignment horizontal="center"/>
    </xf>
    <xf numFmtId="0" fontId="33" fillId="0" borderId="166" xfId="0" quotePrefix="1" applyFont="1" applyBorder="1" applyAlignment="1">
      <alignment horizontal="center"/>
    </xf>
  </cellXfs>
  <cellStyles count="505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març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156183431715607E-2"/>
                  <c:y val="2.554036715065672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0.19395314160218552</c:v>
                </c:pt>
                <c:pt idx="1">
                  <c:v>0.1657707931224747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0.16525210199055582</c:v>
                </c:pt>
                <c:pt idx="1">
                  <c:v>0.10578356452792682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0.74773928328858486</c:v>
                </c:pt>
                <c:pt idx="1">
                  <c:v>0.29774696769483117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0.2313090567917887</c:v>
                </c:pt>
                <c:pt idx="1">
                  <c:v>0.16386432451893548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64863360"/>
        <c:axId val="172557440"/>
      </c:barChart>
      <c:catAx>
        <c:axId val="1648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2557440"/>
        <c:crosses val="autoZero"/>
        <c:auto val="1"/>
        <c:lblAlgn val="ctr"/>
        <c:lblOffset val="100"/>
        <c:noMultiLvlLbl val="0"/>
      </c:catAx>
      <c:valAx>
        <c:axId val="17255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4863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0.1657707931224747</c:v>
                </c:pt>
                <c:pt idx="1">
                  <c:v>0.10578356452792682</c:v>
                </c:pt>
                <c:pt idx="2">
                  <c:v>0.29774696769483117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646016"/>
        <c:axId val="174648704"/>
      </c:barChart>
      <c:catAx>
        <c:axId val="17464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4648704"/>
        <c:crosses val="autoZero"/>
        <c:auto val="1"/>
        <c:lblAlgn val="ctr"/>
        <c:lblOffset val="100"/>
        <c:noMultiLvlLbl val="0"/>
      </c:catAx>
      <c:valAx>
        <c:axId val="17464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6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9.9592918495057164E-2</c:v>
                </c:pt>
                <c:pt idx="1">
                  <c:v>0.12097192651660128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001664"/>
        <c:axId val="206003200"/>
      </c:barChart>
      <c:catAx>
        <c:axId val="20600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003200"/>
        <c:crosses val="autoZero"/>
        <c:auto val="1"/>
        <c:lblAlgn val="ctr"/>
        <c:lblOffset val="100"/>
        <c:noMultiLvlLbl val="0"/>
      </c:catAx>
      <c:valAx>
        <c:axId val="20600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00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0.19949737175230609</c:v>
                </c:pt>
                <c:pt idx="1">
                  <c:v>-0.56228007072598496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456384"/>
        <c:axId val="195462272"/>
      </c:barChart>
      <c:catAx>
        <c:axId val="19545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462272"/>
        <c:crosses val="autoZero"/>
        <c:auto val="1"/>
        <c:lblAlgn val="ctr"/>
        <c:lblOffset val="100"/>
        <c:noMultiLvlLbl val="0"/>
      </c:catAx>
      <c:valAx>
        <c:axId val="19546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45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1.1931616050746944E-3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528192"/>
        <c:axId val="195529728"/>
      </c:barChart>
      <c:catAx>
        <c:axId val="195528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529728"/>
        <c:crosses val="autoZero"/>
        <c:auto val="1"/>
        <c:lblAlgn val="ctr"/>
        <c:lblOffset val="100"/>
        <c:noMultiLvlLbl val="0"/>
      </c:catAx>
      <c:valAx>
        <c:axId val="19552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52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932416"/>
        <c:axId val="205935360"/>
      </c:barChart>
      <c:catAx>
        <c:axId val="20593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935360"/>
        <c:crosses val="autoZero"/>
        <c:auto val="1"/>
        <c:lblAlgn val="ctr"/>
        <c:lblOffset val="100"/>
        <c:noMultiLvlLbl val="0"/>
      </c:catAx>
      <c:valAx>
        <c:axId val="20593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93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0.10288733143210178</c:v>
                </c:pt>
                <c:pt idx="1">
                  <c:v>3.044700442957517E-2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537664"/>
        <c:axId val="207539200"/>
      </c:barChart>
      <c:catAx>
        <c:axId val="20753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539200"/>
        <c:crosses val="autoZero"/>
        <c:auto val="1"/>
        <c:lblAlgn val="ctr"/>
        <c:lblOffset val="100"/>
        <c:noMultiLvlLbl val="0"/>
      </c:catAx>
      <c:valAx>
        <c:axId val="20753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53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1.032149462329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88145964994599E-3"/>
                  <c:y val="0.28547439126784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0.21939208995571802</c:v>
                </c:pt>
                <c:pt idx="1">
                  <c:v>-0.16865750542386204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546240"/>
        <c:axId val="208016128"/>
      </c:barChart>
      <c:catAx>
        <c:axId val="20754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016128"/>
        <c:crosses val="autoZero"/>
        <c:auto val="1"/>
        <c:lblAlgn val="ctr"/>
        <c:lblOffset val="100"/>
        <c:noMultiLvlLbl val="0"/>
      </c:catAx>
      <c:valAx>
        <c:axId val="20801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5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8.5456021296079401E-3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065664"/>
        <c:axId val="208067200"/>
      </c:barChart>
      <c:catAx>
        <c:axId val="20806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067200"/>
        <c:crosses val="autoZero"/>
        <c:auto val="1"/>
        <c:lblAlgn val="ctr"/>
        <c:lblOffset val="100"/>
        <c:noMultiLvlLbl val="0"/>
      </c:catAx>
      <c:valAx>
        <c:axId val="20806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06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959552"/>
        <c:axId val="207978880"/>
      </c:barChart>
      <c:catAx>
        <c:axId val="20795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978880"/>
        <c:crosses val="autoZero"/>
        <c:auto val="1"/>
        <c:lblAlgn val="ctr"/>
        <c:lblOffset val="100"/>
        <c:noMultiLvlLbl val="0"/>
      </c:catAx>
      <c:valAx>
        <c:axId val="20797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9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0.1005545692515725</c:v>
                </c:pt>
                <c:pt idx="1">
                  <c:v>0.21084918952372619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523712"/>
        <c:axId val="195525248"/>
      </c:barChart>
      <c:catAx>
        <c:axId val="19552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525248"/>
        <c:crosses val="autoZero"/>
        <c:auto val="1"/>
        <c:lblAlgn val="ctr"/>
        <c:lblOffset val="100"/>
        <c:noMultiLvlLbl val="0"/>
      </c:catAx>
      <c:valAx>
        <c:axId val="19552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52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0.73633541849518935</c:v>
                </c:pt>
                <c:pt idx="1">
                  <c:v>0.49426802935783409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492032"/>
        <c:axId val="208494976"/>
      </c:barChart>
      <c:catAx>
        <c:axId val="20849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494976"/>
        <c:crosses val="autoZero"/>
        <c:auto val="1"/>
        <c:lblAlgn val="ctr"/>
        <c:lblOffset val="100"/>
        <c:noMultiLvlLbl val="0"/>
      </c:catAx>
      <c:valAx>
        <c:axId val="20849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4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layout>
        <c:manualLayout>
          <c:xMode val="edge"/>
          <c:yMode val="edge"/>
          <c:x val="0.11396522309711285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7060367454068242E-4"/>
                  <c:y val="-2.2543015456401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5301837270341209E-5"/>
                  <c:y val="-3.466134441528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6.2080781568970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-7.4920909405652436E-2</c:v>
                </c:pt>
                <c:pt idx="1">
                  <c:v>-3.9197872222205388E-2</c:v>
                </c:pt>
                <c:pt idx="2">
                  <c:v>-0.65817271698978985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126784"/>
        <c:axId val="175142016"/>
      </c:barChart>
      <c:catAx>
        <c:axId val="17512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5142016"/>
        <c:crosses val="autoZero"/>
        <c:auto val="1"/>
        <c:lblAlgn val="ctr"/>
        <c:lblOffset val="100"/>
        <c:noMultiLvlLbl val="0"/>
      </c:catAx>
      <c:valAx>
        <c:axId val="17514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1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8.9546728093217298E-3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532224"/>
        <c:axId val="208533760"/>
      </c:barChart>
      <c:catAx>
        <c:axId val="20853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533760"/>
        <c:crosses val="autoZero"/>
        <c:auto val="1"/>
        <c:lblAlgn val="ctr"/>
        <c:lblOffset val="100"/>
        <c:noMultiLvlLbl val="0"/>
      </c:catAx>
      <c:valAx>
        <c:axId val="20853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53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2.2342079939021482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893056"/>
        <c:axId val="208900096"/>
      </c:barChart>
      <c:catAx>
        <c:axId val="20889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900096"/>
        <c:crosses val="autoZero"/>
        <c:auto val="1"/>
        <c:lblAlgn val="ctr"/>
        <c:lblOffset val="100"/>
        <c:noMultiLvlLbl val="0"/>
      </c:catAx>
      <c:valAx>
        <c:axId val="20890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89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9.3021676474688578E-2</c:v>
                </c:pt>
                <c:pt idx="1">
                  <c:v>0.10106741529185789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612864"/>
        <c:axId val="196614400"/>
      </c:barChart>
      <c:catAx>
        <c:axId val="19661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614400"/>
        <c:crosses val="autoZero"/>
        <c:auto val="1"/>
        <c:lblAlgn val="ctr"/>
        <c:lblOffset val="100"/>
        <c:noMultiLvlLbl val="0"/>
      </c:catAx>
      <c:valAx>
        <c:axId val="196614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61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5092368261659601E-3"/>
                  <c:y val="-1.073568335603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6.6636311681951277E-2</c:v>
                </c:pt>
                <c:pt idx="1">
                  <c:v>-0.68458755802608495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637824"/>
        <c:axId val="196644864"/>
      </c:barChart>
      <c:catAx>
        <c:axId val="19663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644864"/>
        <c:crosses val="autoZero"/>
        <c:auto val="1"/>
        <c:lblAlgn val="ctr"/>
        <c:lblOffset val="100"/>
        <c:noMultiLvlLbl val="0"/>
      </c:catAx>
      <c:valAx>
        <c:axId val="19664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63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399552"/>
        <c:axId val="203401088"/>
      </c:barChart>
      <c:catAx>
        <c:axId val="20339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401088"/>
        <c:crosses val="autoZero"/>
        <c:auto val="1"/>
        <c:lblAlgn val="ctr"/>
        <c:lblOffset val="100"/>
        <c:noMultiLvlLbl val="0"/>
      </c:catAx>
      <c:valAx>
        <c:axId val="20340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3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917248"/>
        <c:axId val="208919936"/>
      </c:barChart>
      <c:catAx>
        <c:axId val="20891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919936"/>
        <c:crosses val="autoZero"/>
        <c:auto val="1"/>
        <c:lblAlgn val="ctr"/>
        <c:lblOffset val="100"/>
        <c:noMultiLvlLbl val="0"/>
      </c:catAx>
      <c:valAx>
        <c:axId val="208919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9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9.4588690711906009E-2</c:v>
                </c:pt>
                <c:pt idx="1">
                  <c:v>0.26294171732430183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94528"/>
        <c:axId val="210696064"/>
      </c:barChart>
      <c:catAx>
        <c:axId val="21069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696064"/>
        <c:crosses val="autoZero"/>
        <c:auto val="1"/>
        <c:lblAlgn val="ctr"/>
        <c:lblOffset val="100"/>
        <c:noMultiLvlLbl val="0"/>
      </c:catAx>
      <c:valAx>
        <c:axId val="21069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69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0.10016581312642181</c:v>
                </c:pt>
                <c:pt idx="1">
                  <c:v>0.81927668607379256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12992"/>
        <c:axId val="210615680"/>
      </c:barChart>
      <c:catAx>
        <c:axId val="21061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615680"/>
        <c:crosses val="autoZero"/>
        <c:auto val="1"/>
        <c:lblAlgn val="ctr"/>
        <c:lblOffset val="100"/>
        <c:noMultiLvlLbl val="0"/>
      </c:catAx>
      <c:valAx>
        <c:axId val="210615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61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6.4838034918458756E-2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56992"/>
        <c:axId val="211158528"/>
      </c:barChart>
      <c:catAx>
        <c:axId val="21115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158528"/>
        <c:crosses val="autoZero"/>
        <c:auto val="1"/>
        <c:lblAlgn val="ctr"/>
        <c:lblOffset val="100"/>
        <c:noMultiLvlLbl val="0"/>
      </c:catAx>
      <c:valAx>
        <c:axId val="21115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5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119.19549568965517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206528"/>
        <c:axId val="211209216"/>
      </c:barChart>
      <c:catAx>
        <c:axId val="21120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209216"/>
        <c:crosses val="autoZero"/>
        <c:auto val="1"/>
        <c:lblAlgn val="ctr"/>
        <c:lblOffset val="100"/>
        <c:noMultiLvlLbl val="0"/>
      </c:catAx>
      <c:valAx>
        <c:axId val="21120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20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0.20637582235237917</c:v>
                </c:pt>
                <c:pt idx="1">
                  <c:v>8.8332359000799943E-2</c:v>
                </c:pt>
                <c:pt idx="2">
                  <c:v>0.1365827660633484</c:v>
                </c:pt>
                <c:pt idx="3">
                  <c:v>0.20178480602939805</c:v>
                </c:pt>
                <c:pt idx="4">
                  <c:v>0</c:v>
                </c:pt>
                <c:pt idx="5">
                  <c:v>0.11378081549109759</c:v>
                </c:pt>
                <c:pt idx="6">
                  <c:v>2.0439144103495794E-3</c:v>
                </c:pt>
                <c:pt idx="7">
                  <c:v>0.38992557370198577</c:v>
                </c:pt>
                <c:pt idx="8">
                  <c:v>0.27757190377764729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846912"/>
        <c:axId val="175848448"/>
      </c:barChart>
      <c:catAx>
        <c:axId val="17584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5848448"/>
        <c:crosses val="autoZero"/>
        <c:auto val="1"/>
        <c:lblAlgn val="ctr"/>
        <c:lblOffset val="100"/>
        <c:noMultiLvlLbl val="0"/>
      </c:catAx>
      <c:valAx>
        <c:axId val="17584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84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770059235325794E-2"/>
                  <c:y val="0.1734116741631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924759405074364E-3"/>
                  <c:y val="-7.3509040536599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5659666128163709E-3"/>
                  <c:y val="0.393318521906753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02574213764475E-2"/>
                  <c:y val="0.18678225387801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820470744872565E-3"/>
                  <c:y val="0.1351836725803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111111111111112E-2"/>
                  <c:y val="3.9191455234762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9.259988334791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524858059947677E-2"/>
                  <c:y val="0.65392738770724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-6.9294159225681273E-2</c:v>
                </c:pt>
                <c:pt idx="1">
                  <c:v>7.5104918867546555E-2</c:v>
                </c:pt>
                <c:pt idx="2">
                  <c:v>-0.36307653946424889</c:v>
                </c:pt>
                <c:pt idx="3">
                  <c:v>-0.10503985040764074</c:v>
                </c:pt>
                <c:pt idx="4">
                  <c:v>0</c:v>
                </c:pt>
                <c:pt idx="5">
                  <c:v>-3.9383685355167675E-2</c:v>
                </c:pt>
                <c:pt idx="6">
                  <c:v>0.1167973148956738</c:v>
                </c:pt>
                <c:pt idx="7">
                  <c:v>8.5294072064035609E-2</c:v>
                </c:pt>
                <c:pt idx="8">
                  <c:v>-0.71764341793622499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875968"/>
        <c:axId val="175883008"/>
      </c:barChart>
      <c:catAx>
        <c:axId val="17587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5883008"/>
        <c:crosses val="autoZero"/>
        <c:auto val="1"/>
        <c:lblAlgn val="ctr"/>
        <c:lblOffset val="100"/>
        <c:noMultiLvlLbl val="0"/>
      </c:catAx>
      <c:valAx>
        <c:axId val="17588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875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(DDetallCorrent!$J$11,DDetallCorrent!$J$61,DDetallCorrent!$J$65,DDetallCorrent!$J$139)</c:f>
              <c:numCache>
                <c:formatCode>0.0%</c:formatCode>
                <c:ptCount val="4"/>
                <c:pt idx="0">
                  <c:v>0.20637582235237917</c:v>
                </c:pt>
                <c:pt idx="1">
                  <c:v>8.8332359000799943E-2</c:v>
                </c:pt>
                <c:pt idx="2">
                  <c:v>0.1365827660633484</c:v>
                </c:pt>
                <c:pt idx="3">
                  <c:v>0.19989636825514304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105344"/>
        <c:axId val="176106880"/>
      </c:barChart>
      <c:catAx>
        <c:axId val="17610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76106880"/>
        <c:crosses val="autoZero"/>
        <c:auto val="1"/>
        <c:lblAlgn val="ctr"/>
        <c:lblOffset val="100"/>
        <c:noMultiLvlLbl val="0"/>
      </c:catAx>
      <c:valAx>
        <c:axId val="17610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10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6963608533171532E-3"/>
                  <c:y val="0.21434063476008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125336545778048E-3"/>
                  <c:y val="0.71356743513973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385641282379861E-3"/>
                  <c:y val="0.25439491214921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(DDetallCorrent!$P$11,DDetallCorrent!$P$61,DDetallCorrent!$P$65,DDetallCorrent!$P$139)</c:f>
              <c:numCache>
                <c:formatCode>0.0%</c:formatCode>
                <c:ptCount val="4"/>
                <c:pt idx="0">
                  <c:v>-6.9294159225681273E-2</c:v>
                </c:pt>
                <c:pt idx="1">
                  <c:v>7.5104918867546555E-2</c:v>
                </c:pt>
                <c:pt idx="2">
                  <c:v>-0.36307653946424889</c:v>
                </c:pt>
                <c:pt idx="3">
                  <c:v>-0.10503985040764074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130304"/>
        <c:axId val="176145536"/>
      </c:barChart>
      <c:catAx>
        <c:axId val="17613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145536"/>
        <c:crosses val="autoZero"/>
        <c:auto val="1"/>
        <c:lblAlgn val="ctr"/>
        <c:lblOffset val="100"/>
        <c:noMultiLvlLbl val="0"/>
      </c:catAx>
      <c:valAx>
        <c:axId val="176145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130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0.24809065496020877</c:v>
                </c:pt>
                <c:pt idx="1">
                  <c:v>0.12474480620467251</c:v>
                </c:pt>
                <c:pt idx="2">
                  <c:v>0.16065690000900246</c:v>
                </c:pt>
                <c:pt idx="3">
                  <c:v>0.21809315063781601</c:v>
                </c:pt>
                <c:pt idx="4">
                  <c:v>0.19486936864801729</c:v>
                </c:pt>
                <c:pt idx="5">
                  <c:v>0.17754983195472893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81312"/>
        <c:axId val="174387200"/>
      </c:barChart>
      <c:catAx>
        <c:axId val="174381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4387200"/>
        <c:crosses val="autoZero"/>
        <c:auto val="1"/>
        <c:lblAlgn val="ctr"/>
        <c:lblOffset val="100"/>
        <c:noMultiLvlLbl val="0"/>
      </c:catAx>
      <c:valAx>
        <c:axId val="17438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38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3871072151349362E-3"/>
                  <c:y val="-1.279302335584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931062869330698E-3"/>
                  <c:y val="-0.24480236714352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29146197409158E-3"/>
                  <c:y val="-1.171071176401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683466807171493E-3"/>
                  <c:y val="-0.190300645909286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555615589979406E-3"/>
                  <c:y val="-0.32818290964138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542308294618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-0.70404592888402617</c:v>
                </c:pt>
                <c:pt idx="1">
                  <c:v>-0.10032083121324975</c:v>
                </c:pt>
                <c:pt idx="2">
                  <c:v>1.3757099703649578E-2</c:v>
                </c:pt>
                <c:pt idx="3">
                  <c:v>-0.23298167003155856</c:v>
                </c:pt>
                <c:pt idx="4">
                  <c:v>-3.0752601814928227E-2</c:v>
                </c:pt>
                <c:pt idx="5">
                  <c:v>0.1336442458422531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409216"/>
        <c:axId val="176662016"/>
      </c:barChart>
      <c:catAx>
        <c:axId val="17640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662016"/>
        <c:crosses val="autoZero"/>
        <c:auto val="1"/>
        <c:lblAlgn val="ctr"/>
        <c:lblOffset val="100"/>
        <c:noMultiLvlLbl val="0"/>
      </c:catAx>
      <c:valAx>
        <c:axId val="17666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40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0.13507682003325022</c:v>
                </c:pt>
                <c:pt idx="1">
                  <c:v>0.12295516707365557</c:v>
                </c:pt>
                <c:pt idx="2">
                  <c:v>0.16141846642282065</c:v>
                </c:pt>
                <c:pt idx="3">
                  <c:v>0.22077749911346919</c:v>
                </c:pt>
                <c:pt idx="4">
                  <c:v>0.23251832861301802</c:v>
                </c:pt>
                <c:pt idx="5">
                  <c:v>0.17354054785662604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506176"/>
        <c:axId val="177507712"/>
      </c:barChart>
      <c:catAx>
        <c:axId val="17750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7507712"/>
        <c:crosses val="autoZero"/>
        <c:auto val="1"/>
        <c:lblAlgn val="ctr"/>
        <c:lblOffset val="100"/>
        <c:noMultiLvlLbl val="0"/>
      </c:catAx>
      <c:valAx>
        <c:axId val="177507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50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0.23349577591287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-5.856088324159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076596080622339E-4"/>
                  <c:y val="-0.19582871558505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30223964437751E-3"/>
                  <c:y val="-0.4240065596916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-0.32818688669683094</c:v>
                </c:pt>
                <c:pt idx="1">
                  <c:v>-0.11179645715807951</c:v>
                </c:pt>
                <c:pt idx="2">
                  <c:v>1.3757099703649578E-2</c:v>
                </c:pt>
                <c:pt idx="3">
                  <c:v>-0.23167600048233239</c:v>
                </c:pt>
                <c:pt idx="4">
                  <c:v>-5.7362461761352845E-2</c:v>
                </c:pt>
                <c:pt idx="5">
                  <c:v>0.14229531793188244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514752"/>
        <c:axId val="177816704"/>
      </c:barChart>
      <c:catAx>
        <c:axId val="17751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7816704"/>
        <c:crosses val="autoZero"/>
        <c:auto val="1"/>
        <c:lblAlgn val="ctr"/>
        <c:lblOffset val="100"/>
        <c:noMultiLvlLbl val="0"/>
      </c:catAx>
      <c:valAx>
        <c:axId val="17781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5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març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0.28299999999999997</c:v>
                </c:pt>
                <c:pt idx="1">
                  <c:v>0.26973514987041269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3.6909385372917965E-3</c:v>
                </c:pt>
                <c:pt idx="1">
                  <c:v>7.9343713176751623E-2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3.8459459045046261E-3</c:v>
                </c:pt>
                <c:pt idx="1">
                  <c:v>4.3225148133354662E-3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0.26246787410490491</c:v>
                </c:pt>
                <c:pt idx="1">
                  <c:v>0.24667034063125898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614784"/>
        <c:axId val="172616320"/>
      </c:barChart>
      <c:catAx>
        <c:axId val="1726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2616320"/>
        <c:crosses val="autoZero"/>
        <c:auto val="1"/>
        <c:lblAlgn val="ctr"/>
        <c:lblOffset val="100"/>
        <c:noMultiLvlLbl val="0"/>
      </c:catAx>
      <c:valAx>
        <c:axId val="17261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614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0.16933065893540727</c:v>
                </c:pt>
                <c:pt idx="1">
                  <c:v>0.12555212925967377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941312"/>
        <c:axId val="176816128"/>
      </c:barChart>
      <c:catAx>
        <c:axId val="176941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816128"/>
        <c:crosses val="autoZero"/>
        <c:auto val="1"/>
        <c:lblAlgn val="ctr"/>
        <c:lblOffset val="100"/>
        <c:noMultiLvlLbl val="0"/>
      </c:catAx>
      <c:valAx>
        <c:axId val="17681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9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49581612645897E-3"/>
                  <c:y val="-2.362258881790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-0.22354073634698357</c:v>
                </c:pt>
                <c:pt idx="1">
                  <c:v>-6.1246412406635087E-2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839296"/>
        <c:axId val="176846336"/>
      </c:barChart>
      <c:catAx>
        <c:axId val="176839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846336"/>
        <c:crosses val="autoZero"/>
        <c:auto val="1"/>
        <c:lblAlgn val="ctr"/>
        <c:lblOffset val="100"/>
        <c:noMultiLvlLbl val="0"/>
      </c:catAx>
      <c:valAx>
        <c:axId val="17684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0.17213721031162013</c:v>
                </c:pt>
                <c:pt idx="1">
                  <c:v>0.13036520990610981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961408"/>
        <c:axId val="176962944"/>
      </c:barChart>
      <c:catAx>
        <c:axId val="17696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962944"/>
        <c:crosses val="autoZero"/>
        <c:auto val="1"/>
        <c:lblAlgn val="ctr"/>
        <c:lblOffset val="100"/>
        <c:noMultiLvlLbl val="0"/>
      </c:catAx>
      <c:valAx>
        <c:axId val="176962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96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2373446863030332E-3"/>
                  <c:y val="-1.8162189021230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-7.6540738971424438E-2</c:v>
                </c:pt>
                <c:pt idx="1">
                  <c:v>-6.2849706879858247E-2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969984"/>
        <c:axId val="176977024"/>
      </c:barChart>
      <c:catAx>
        <c:axId val="17696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977024"/>
        <c:crosses val="autoZero"/>
        <c:auto val="1"/>
        <c:lblAlgn val="ctr"/>
        <c:lblOffset val="100"/>
        <c:noMultiLvlLbl val="0"/>
      </c:catAx>
      <c:valAx>
        <c:axId val="176977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96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8.5941884592091469E-2</c:v>
                </c:pt>
                <c:pt idx="1">
                  <c:v>0.2071716774386787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681152"/>
        <c:axId val="179682688"/>
      </c:barChart>
      <c:catAx>
        <c:axId val="17968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682688"/>
        <c:crosses val="autoZero"/>
        <c:auto val="1"/>
        <c:lblAlgn val="ctr"/>
        <c:lblOffset val="100"/>
        <c:noMultiLvlLbl val="0"/>
      </c:catAx>
      <c:valAx>
        <c:axId val="17968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6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279829761361908E-2"/>
                  <c:y val="0.350593311758360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4.8704661716942876E-2</c:v>
                </c:pt>
                <c:pt idx="1">
                  <c:v>-9.4176097905058653E-2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1237248"/>
        <c:axId val="161248384"/>
      </c:barChart>
      <c:catAx>
        <c:axId val="16123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1248384"/>
        <c:crosses val="autoZero"/>
        <c:auto val="1"/>
        <c:lblAlgn val="ctr"/>
        <c:lblOffset val="100"/>
        <c:noMultiLvlLbl val="0"/>
      </c:catAx>
      <c:valAx>
        <c:axId val="16124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123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0.11742295595598151</c:v>
                </c:pt>
                <c:pt idx="1">
                  <c:v>2.0581739248311617E-3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639808"/>
        <c:axId val="179641344"/>
      </c:barChart>
      <c:catAx>
        <c:axId val="17963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641344"/>
        <c:crosses val="autoZero"/>
        <c:auto val="1"/>
        <c:lblAlgn val="ctr"/>
        <c:lblOffset val="100"/>
        <c:noMultiLvlLbl val="0"/>
      </c:catAx>
      <c:valAx>
        <c:axId val="17964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6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756801945585E-3"/>
                  <c:y val="0.2830196932930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292419329936697E-3"/>
                  <c:y val="-3.7069756524336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-4.0926735307613926E-2</c:v>
                </c:pt>
                <c:pt idx="1">
                  <c:v>0.1167973148956738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141056"/>
        <c:axId val="178156288"/>
      </c:barChart>
      <c:catAx>
        <c:axId val="17814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156288"/>
        <c:crosses val="autoZero"/>
        <c:auto val="1"/>
        <c:lblAlgn val="ctr"/>
        <c:lblOffset val="100"/>
        <c:noMultiLvlLbl val="0"/>
      </c:catAx>
      <c:valAx>
        <c:axId val="17815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1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6.7256936994026642E-2</c:v>
                </c:pt>
                <c:pt idx="1">
                  <c:v>0.22897473469854587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183232"/>
        <c:axId val="183184768"/>
      </c:barChart>
      <c:catAx>
        <c:axId val="18318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184768"/>
        <c:crosses val="autoZero"/>
        <c:auto val="1"/>
        <c:lblAlgn val="ctr"/>
        <c:lblOffset val="100"/>
        <c:noMultiLvlLbl val="0"/>
      </c:catAx>
      <c:valAx>
        <c:axId val="183184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18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6557305336832897E-3"/>
                  <c:y val="-1.8428477690288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-0.26743803225655893</c:v>
                </c:pt>
                <c:pt idx="1">
                  <c:v>-0.14130272061876392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220480"/>
        <c:axId val="183231616"/>
      </c:barChart>
      <c:catAx>
        <c:axId val="183220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231616"/>
        <c:crosses val="autoZero"/>
        <c:auto val="1"/>
        <c:lblAlgn val="ctr"/>
        <c:lblOffset val="100"/>
        <c:noMultiLvlLbl val="0"/>
      </c:catAx>
      <c:valAx>
        <c:axId val="18323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22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0.3466232468245527</c:v>
                </c:pt>
                <c:pt idx="1">
                  <c:v>0.28583111526583266</c:v>
                </c:pt>
                <c:pt idx="2">
                  <c:v>0.1459627144424783</c:v>
                </c:pt>
                <c:pt idx="3">
                  <c:v>0.23263814844197966</c:v>
                </c:pt>
                <c:pt idx="4">
                  <c:v>0.12570024165554358</c:v>
                </c:pt>
                <c:pt idx="5">
                  <c:v>0.12400333166476558</c:v>
                </c:pt>
                <c:pt idx="6">
                  <c:v>6.8148284755191774E-2</c:v>
                </c:pt>
                <c:pt idx="7">
                  <c:v>0</c:v>
                </c:pt>
                <c:pt idx="8">
                  <c:v>4.4275152435672236E-3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636800"/>
        <c:axId val="173217664"/>
      </c:barChart>
      <c:catAx>
        <c:axId val="1726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3217664"/>
        <c:crosses val="autoZero"/>
        <c:auto val="1"/>
        <c:lblAlgn val="ctr"/>
        <c:lblOffset val="100"/>
        <c:noMultiLvlLbl val="0"/>
      </c:catAx>
      <c:valAx>
        <c:axId val="17321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63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1.1673924190635017E-2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161152"/>
        <c:axId val="178162688"/>
      </c:barChart>
      <c:catAx>
        <c:axId val="17816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162688"/>
        <c:crosses val="autoZero"/>
        <c:auto val="1"/>
        <c:lblAlgn val="ctr"/>
        <c:lblOffset val="100"/>
        <c:noMultiLvlLbl val="0"/>
      </c:catAx>
      <c:valAx>
        <c:axId val="17816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16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9.9180124025570322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816128"/>
        <c:axId val="182817920"/>
      </c:barChart>
      <c:catAx>
        <c:axId val="18281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817920"/>
        <c:crosses val="autoZero"/>
        <c:auto val="1"/>
        <c:lblAlgn val="ctr"/>
        <c:lblOffset val="100"/>
        <c:noMultiLvlLbl val="0"/>
      </c:catAx>
      <c:valAx>
        <c:axId val="18281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81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0.10040025132829593</c:v>
                </c:pt>
                <c:pt idx="1">
                  <c:v>0.27340007703627561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868224"/>
        <c:axId val="185806848"/>
      </c:barChart>
      <c:catAx>
        <c:axId val="18286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806848"/>
        <c:crosses val="autoZero"/>
        <c:auto val="1"/>
        <c:lblAlgn val="ctr"/>
        <c:lblOffset val="100"/>
        <c:noMultiLvlLbl val="0"/>
      </c:catAx>
      <c:valAx>
        <c:axId val="185806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86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-0.11587752270200991</c:v>
                </c:pt>
                <c:pt idx="1">
                  <c:v>-4.0938490249924353E-2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825920"/>
        <c:axId val="185845248"/>
      </c:barChart>
      <c:catAx>
        <c:axId val="18582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845248"/>
        <c:crosses val="autoZero"/>
        <c:auto val="1"/>
        <c:lblAlgn val="ctr"/>
        <c:lblOffset val="100"/>
        <c:noMultiLvlLbl val="0"/>
      </c:catAx>
      <c:valAx>
        <c:axId val="18584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82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874304"/>
        <c:axId val="185875840"/>
      </c:barChart>
      <c:catAx>
        <c:axId val="18587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85875840"/>
        <c:crosses val="autoZero"/>
        <c:auto val="1"/>
        <c:lblAlgn val="ctr"/>
        <c:lblOffset val="100"/>
        <c:noMultiLvlLbl val="0"/>
      </c:catAx>
      <c:valAx>
        <c:axId val="185875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87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386688"/>
        <c:axId val="186418304"/>
      </c:barChart>
      <c:catAx>
        <c:axId val="18638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6418304"/>
        <c:crosses val="autoZero"/>
        <c:auto val="1"/>
        <c:lblAlgn val="ctr"/>
        <c:lblOffset val="100"/>
        <c:noMultiLvlLbl val="0"/>
      </c:catAx>
      <c:valAx>
        <c:axId val="18641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386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8.6209578405608528E-2</c:v>
                </c:pt>
                <c:pt idx="1">
                  <c:v>0.14445889540830717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058048"/>
        <c:axId val="187059584"/>
      </c:barChart>
      <c:catAx>
        <c:axId val="18705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059584"/>
        <c:crosses val="autoZero"/>
        <c:auto val="1"/>
        <c:lblAlgn val="ctr"/>
        <c:lblOffset val="100"/>
        <c:noMultiLvlLbl val="0"/>
      </c:catAx>
      <c:valAx>
        <c:axId val="18705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05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088896"/>
        <c:axId val="187090432"/>
      </c:barChart>
      <c:catAx>
        <c:axId val="18708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090432"/>
        <c:crosses val="autoZero"/>
        <c:auto val="1"/>
        <c:lblAlgn val="ctr"/>
        <c:lblOffset val="100"/>
        <c:noMultiLvlLbl val="0"/>
      </c:catAx>
      <c:valAx>
        <c:axId val="187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08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591040"/>
        <c:axId val="179592576"/>
      </c:barChart>
      <c:catAx>
        <c:axId val="179591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79592576"/>
        <c:crosses val="autoZero"/>
        <c:auto val="1"/>
        <c:lblAlgn val="ctr"/>
        <c:lblOffset val="100"/>
        <c:noMultiLvlLbl val="0"/>
      </c:catAx>
      <c:valAx>
        <c:axId val="17959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59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621888"/>
        <c:axId val="179623424"/>
      </c:barChart>
      <c:catAx>
        <c:axId val="17962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9623424"/>
        <c:crosses val="autoZero"/>
        <c:auto val="1"/>
        <c:lblAlgn val="ctr"/>
        <c:lblOffset val="100"/>
        <c:noMultiLvlLbl val="0"/>
      </c:catAx>
      <c:valAx>
        <c:axId val="17962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621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61562637288365E-2"/>
                  <c:y val="0.13942215223097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5890079190743E-3"/>
                  <c:y val="8.6177427821522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279965004374452E-3"/>
                  <c:y val="0.1307430971128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12303290414878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8055555555555551E-3"/>
                  <c:y val="0.18133459317585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6.4095876747892522E-2</c:v>
                </c:pt>
                <c:pt idx="1">
                  <c:v>0.11860331919435629</c:v>
                </c:pt>
                <c:pt idx="2">
                  <c:v>-0.23305149412049841</c:v>
                </c:pt>
                <c:pt idx="3">
                  <c:v>5.138137800999365E-3</c:v>
                </c:pt>
                <c:pt idx="4">
                  <c:v>-0.26447101671169992</c:v>
                </c:pt>
                <c:pt idx="5">
                  <c:v>6.0705054730036299</c:v>
                </c:pt>
                <c:pt idx="6">
                  <c:v>0</c:v>
                </c:pt>
                <c:pt idx="7">
                  <c:v>-1</c:v>
                </c:pt>
                <c:pt idx="8">
                  <c:v>0.58141170203166537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235584"/>
        <c:axId val="173267200"/>
      </c:barChart>
      <c:catAx>
        <c:axId val="1732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3267200"/>
        <c:crosses val="autoZero"/>
        <c:auto val="1"/>
        <c:lblAlgn val="ctr"/>
        <c:lblOffset val="100"/>
        <c:noMultiLvlLbl val="0"/>
      </c:catAx>
      <c:valAx>
        <c:axId val="17326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23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8.7266842233793357E-2</c:v>
                </c:pt>
                <c:pt idx="1">
                  <c:v>7.3264876358160114E-3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02400"/>
        <c:axId val="179712384"/>
      </c:barChart>
      <c:catAx>
        <c:axId val="17970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712384"/>
        <c:crosses val="autoZero"/>
        <c:auto val="1"/>
        <c:lblAlgn val="ctr"/>
        <c:lblOffset val="100"/>
        <c:noMultiLvlLbl val="0"/>
      </c:catAx>
      <c:valAx>
        <c:axId val="17971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581039755351682E-3"/>
                  <c:y val="-1.466582677165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0.14368600167423318</c:v>
                </c:pt>
                <c:pt idx="1">
                  <c:v>0.60023128390098868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19168"/>
        <c:axId val="179738496"/>
      </c:barChart>
      <c:catAx>
        <c:axId val="17971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738496"/>
        <c:crosses val="autoZero"/>
        <c:auto val="1"/>
        <c:lblAlgn val="ctr"/>
        <c:lblOffset val="100"/>
        <c:noMultiLvlLbl val="0"/>
      </c:catAx>
      <c:valAx>
        <c:axId val="179738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9.4456829842937268E-3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688640"/>
        <c:axId val="188690432"/>
      </c:barChart>
      <c:catAx>
        <c:axId val="18868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690432"/>
        <c:crosses val="autoZero"/>
        <c:auto val="1"/>
        <c:lblAlgn val="ctr"/>
        <c:lblOffset val="100"/>
        <c:noMultiLvlLbl val="0"/>
      </c:catAx>
      <c:valAx>
        <c:axId val="1886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68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701312"/>
        <c:axId val="188724736"/>
      </c:barChart>
      <c:catAx>
        <c:axId val="188701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724736"/>
        <c:crosses val="autoZero"/>
        <c:auto val="1"/>
        <c:lblAlgn val="ctr"/>
        <c:lblOffset val="100"/>
        <c:noMultiLvlLbl val="0"/>
      </c:catAx>
      <c:valAx>
        <c:axId val="18872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7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9.9058336720590293E-2</c:v>
                </c:pt>
                <c:pt idx="1">
                  <c:v>0.17330017572070203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46080"/>
        <c:axId val="189247872"/>
      </c:barChart>
      <c:catAx>
        <c:axId val="189246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247872"/>
        <c:crosses val="autoZero"/>
        <c:auto val="1"/>
        <c:lblAlgn val="ctr"/>
        <c:lblOffset val="100"/>
        <c:noMultiLvlLbl val="0"/>
      </c:catAx>
      <c:valAx>
        <c:axId val="18924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732107016034761E-2"/>
                  <c:y val="-9.4054861534777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0.37187055729771501</c:v>
                </c:pt>
                <c:pt idx="1">
                  <c:v>0.41722604143486941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58752"/>
        <c:axId val="189810560"/>
      </c:barChart>
      <c:catAx>
        <c:axId val="18925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810560"/>
        <c:crosses val="autoZero"/>
        <c:auto val="1"/>
        <c:lblAlgn val="ctr"/>
        <c:lblOffset val="100"/>
        <c:noMultiLvlLbl val="0"/>
      </c:catAx>
      <c:valAx>
        <c:axId val="18981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5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839616"/>
        <c:axId val="189849600"/>
      </c:barChart>
      <c:catAx>
        <c:axId val="18983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849600"/>
        <c:crosses val="autoZero"/>
        <c:auto val="1"/>
        <c:lblAlgn val="ctr"/>
        <c:lblOffset val="100"/>
        <c:noMultiLvlLbl val="0"/>
      </c:catAx>
      <c:valAx>
        <c:axId val="18984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8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33504"/>
        <c:axId val="189740544"/>
      </c:barChart>
      <c:catAx>
        <c:axId val="18973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740544"/>
        <c:crosses val="autoZero"/>
        <c:auto val="1"/>
        <c:lblAlgn val="ctr"/>
        <c:lblOffset val="100"/>
        <c:noMultiLvlLbl val="0"/>
      </c:catAx>
      <c:valAx>
        <c:axId val="18974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73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7.0728590935389898E-2</c:v>
                </c:pt>
                <c:pt idx="1">
                  <c:v>0.17604815806927165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307328"/>
        <c:axId val="190313216"/>
      </c:barChart>
      <c:catAx>
        <c:axId val="190307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313216"/>
        <c:crosses val="autoZero"/>
        <c:auto val="1"/>
        <c:lblAlgn val="ctr"/>
        <c:lblOffset val="100"/>
        <c:noMultiLvlLbl val="0"/>
      </c:catAx>
      <c:valAx>
        <c:axId val="19031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30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-6.6549368366551898E-2</c:v>
                </c:pt>
                <c:pt idx="1">
                  <c:v>-0.35086899302777497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41024"/>
        <c:axId val="179460352"/>
      </c:barChart>
      <c:catAx>
        <c:axId val="17944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460352"/>
        <c:crosses val="autoZero"/>
        <c:auto val="1"/>
        <c:lblAlgn val="ctr"/>
        <c:lblOffset val="100"/>
        <c:noMultiLvlLbl val="0"/>
      </c:catAx>
      <c:valAx>
        <c:axId val="17946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0.26973514987041269</c:v>
                </c:pt>
                <c:pt idx="1">
                  <c:v>7.9343713176751623E-2</c:v>
                </c:pt>
                <c:pt idx="2">
                  <c:v>4.3225148133354662E-3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498752"/>
        <c:axId val="173500288"/>
      </c:barChart>
      <c:catAx>
        <c:axId val="17349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3500288"/>
        <c:crosses val="autoZero"/>
        <c:auto val="1"/>
        <c:lblAlgn val="ctr"/>
        <c:lblOffset val="100"/>
        <c:noMultiLvlLbl val="0"/>
      </c:catAx>
      <c:valAx>
        <c:axId val="17350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4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89408"/>
        <c:axId val="179495296"/>
      </c:barChart>
      <c:catAx>
        <c:axId val="17948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495296"/>
        <c:crosses val="autoZero"/>
        <c:auto val="1"/>
        <c:lblAlgn val="ctr"/>
        <c:lblOffset val="100"/>
        <c:noMultiLvlLbl val="0"/>
      </c:catAx>
      <c:valAx>
        <c:axId val="179495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8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88928"/>
        <c:axId val="189790464"/>
      </c:barChart>
      <c:catAx>
        <c:axId val="189788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9790464"/>
        <c:crosses val="autoZero"/>
        <c:auto val="1"/>
        <c:lblAlgn val="ctr"/>
        <c:lblOffset val="100"/>
        <c:noMultiLvlLbl val="0"/>
      </c:catAx>
      <c:valAx>
        <c:axId val="189790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788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1.9969541769721513E-2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376384"/>
        <c:axId val="191402752"/>
      </c:barChart>
      <c:catAx>
        <c:axId val="19137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402752"/>
        <c:crosses val="autoZero"/>
        <c:auto val="1"/>
        <c:lblAlgn val="ctr"/>
        <c:lblOffset val="100"/>
        <c:noMultiLvlLbl val="0"/>
      </c:catAx>
      <c:valAx>
        <c:axId val="19140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37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36121880704E-3"/>
                  <c:y val="1.75935039370078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-0.71358862424357006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313024"/>
        <c:axId val="191314176"/>
      </c:barChart>
      <c:catAx>
        <c:axId val="191313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314176"/>
        <c:crosses val="autoZero"/>
        <c:auto val="1"/>
        <c:lblAlgn val="ctr"/>
        <c:lblOffset val="100"/>
        <c:noMultiLvlLbl val="0"/>
      </c:catAx>
      <c:valAx>
        <c:axId val="19131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31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322752"/>
        <c:axId val="191345024"/>
      </c:barChart>
      <c:catAx>
        <c:axId val="19132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345024"/>
        <c:crosses val="autoZero"/>
        <c:auto val="1"/>
        <c:lblAlgn val="ctr"/>
        <c:lblOffset val="100"/>
        <c:noMultiLvlLbl val="0"/>
      </c:catAx>
      <c:valAx>
        <c:axId val="19134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32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094976"/>
        <c:axId val="192096512"/>
      </c:barChart>
      <c:catAx>
        <c:axId val="19209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096512"/>
        <c:crosses val="autoZero"/>
        <c:auto val="1"/>
        <c:lblAlgn val="ctr"/>
        <c:lblOffset val="100"/>
        <c:noMultiLvlLbl val="0"/>
      </c:catAx>
      <c:valAx>
        <c:axId val="19209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09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8.6934134439466668E-2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062976"/>
        <c:axId val="192070016"/>
      </c:barChart>
      <c:catAx>
        <c:axId val="192062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070016"/>
        <c:crosses val="autoZero"/>
        <c:auto val="1"/>
        <c:lblAlgn val="ctr"/>
        <c:lblOffset val="100"/>
        <c:noMultiLvlLbl val="0"/>
      </c:catAx>
      <c:valAx>
        <c:axId val="19207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06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0.66574626132287928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076800"/>
        <c:axId val="192612224"/>
      </c:barChart>
      <c:catAx>
        <c:axId val="19207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612224"/>
        <c:crosses val="autoZero"/>
        <c:auto val="1"/>
        <c:lblAlgn val="ctr"/>
        <c:lblOffset val="100"/>
        <c:noMultiLvlLbl val="0"/>
      </c:catAx>
      <c:valAx>
        <c:axId val="19261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07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1.8410460599717965E-3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637184"/>
        <c:axId val="192647168"/>
      </c:barChart>
      <c:catAx>
        <c:axId val="19263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647168"/>
        <c:crosses val="autoZero"/>
        <c:auto val="1"/>
        <c:lblAlgn val="ctr"/>
        <c:lblOffset val="100"/>
        <c:noMultiLvlLbl val="0"/>
      </c:catAx>
      <c:valAx>
        <c:axId val="19264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63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-0.96511601320729012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139072"/>
        <c:axId val="193140608"/>
      </c:barChart>
      <c:catAx>
        <c:axId val="19313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140608"/>
        <c:crosses val="autoZero"/>
        <c:auto val="1"/>
        <c:lblAlgn val="ctr"/>
        <c:lblOffset val="100"/>
        <c:noMultiLvlLbl val="0"/>
      </c:catAx>
      <c:valAx>
        <c:axId val="193140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13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293267360376E-3"/>
                  <c:y val="-2.61057433323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1.5803391946926926E-2</c:v>
                </c:pt>
                <c:pt idx="1">
                  <c:v>21.571027676950997</c:v>
                </c:pt>
                <c:pt idx="2">
                  <c:v>0.45633550079981577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515904"/>
        <c:axId val="173535232"/>
      </c:barChart>
      <c:catAx>
        <c:axId val="17351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3535232"/>
        <c:crosses val="autoZero"/>
        <c:auto val="1"/>
        <c:lblAlgn val="ctr"/>
        <c:lblOffset val="100"/>
        <c:noMultiLvlLbl val="0"/>
      </c:catAx>
      <c:valAx>
        <c:axId val="1735352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35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0.21804808733681519</c:v>
                </c:pt>
                <c:pt idx="1">
                  <c:v>0.16731492647619764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124992"/>
        <c:axId val="193126784"/>
      </c:barChart>
      <c:catAx>
        <c:axId val="19312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126784"/>
        <c:crosses val="autoZero"/>
        <c:auto val="1"/>
        <c:lblAlgn val="ctr"/>
        <c:lblOffset val="100"/>
        <c:noMultiLvlLbl val="0"/>
      </c:catAx>
      <c:valAx>
        <c:axId val="19312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12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3274341421945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-2.0572985645975761E-3</c:v>
                </c:pt>
                <c:pt idx="1">
                  <c:v>0.77275477726259889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12096"/>
        <c:axId val="193451904"/>
      </c:barChart>
      <c:catAx>
        <c:axId val="19341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451904"/>
        <c:crosses val="autoZero"/>
        <c:auto val="1"/>
        <c:lblAlgn val="ctr"/>
        <c:lblOffset val="100"/>
        <c:noMultiLvlLbl val="0"/>
      </c:catAx>
      <c:valAx>
        <c:axId val="193451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1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0.97186270570315203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378432"/>
        <c:axId val="179388416"/>
      </c:barChart>
      <c:catAx>
        <c:axId val="17937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388416"/>
        <c:crosses val="autoZero"/>
        <c:auto val="1"/>
        <c:lblAlgn val="ctr"/>
        <c:lblOffset val="100"/>
        <c:noMultiLvlLbl val="0"/>
      </c:catAx>
      <c:valAx>
        <c:axId val="1793884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937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09280"/>
        <c:axId val="179410816"/>
      </c:barChart>
      <c:catAx>
        <c:axId val="179409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9410816"/>
        <c:crosses val="autoZero"/>
        <c:auto val="1"/>
        <c:lblAlgn val="ctr"/>
        <c:lblOffset val="100"/>
        <c:noMultiLvlLbl val="0"/>
      </c:catAx>
      <c:valAx>
        <c:axId val="179410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09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4.0313217450467939E-2</c:v>
                </c:pt>
                <c:pt idx="1">
                  <c:v>0.16238102739546306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388480"/>
        <c:axId val="190394368"/>
      </c:barChart>
      <c:catAx>
        <c:axId val="19038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394368"/>
        <c:crosses val="autoZero"/>
        <c:auto val="1"/>
        <c:lblAlgn val="ctr"/>
        <c:lblOffset val="100"/>
        <c:noMultiLvlLbl val="0"/>
      </c:catAx>
      <c:valAx>
        <c:axId val="19039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38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573596022016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1025641025641E-3"/>
                  <c:y val="0.16126779996021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15.951130307124391</c:v>
                </c:pt>
                <c:pt idx="1">
                  <c:v>-0.31862123359181216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401152"/>
        <c:axId val="190428672"/>
      </c:barChart>
      <c:catAx>
        <c:axId val="19040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428672"/>
        <c:crosses val="autoZero"/>
        <c:auto val="1"/>
        <c:lblAlgn val="ctr"/>
        <c:lblOffset val="100"/>
        <c:noMultiLvlLbl val="0"/>
      </c:catAx>
      <c:valAx>
        <c:axId val="19042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40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971520"/>
        <c:axId val="194973056"/>
      </c:barChart>
      <c:catAx>
        <c:axId val="19497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973056"/>
        <c:crosses val="autoZero"/>
        <c:auto val="1"/>
        <c:lblAlgn val="ctr"/>
        <c:lblOffset val="100"/>
        <c:noMultiLvlLbl val="0"/>
      </c:catAx>
      <c:valAx>
        <c:axId val="194973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9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64102564102564E-2"/>
                  <c:y val="0.27796708785484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996480"/>
        <c:axId val="195019904"/>
      </c:barChart>
      <c:catAx>
        <c:axId val="19499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019904"/>
        <c:crosses val="autoZero"/>
        <c:auto val="1"/>
        <c:lblAlgn val="ctr"/>
        <c:lblOffset val="100"/>
        <c:noMultiLvlLbl val="0"/>
      </c:catAx>
      <c:valAx>
        <c:axId val="195019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99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9.6017100966024477E-2</c:v>
                </c:pt>
                <c:pt idx="1">
                  <c:v>0.23766405375959909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554688"/>
        <c:axId val="193556480"/>
      </c:barChart>
      <c:catAx>
        <c:axId val="19355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556480"/>
        <c:crosses val="autoZero"/>
        <c:auto val="1"/>
        <c:lblAlgn val="ctr"/>
        <c:lblOffset val="100"/>
        <c:noMultiLvlLbl val="0"/>
      </c:catAx>
      <c:valAx>
        <c:axId val="193556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55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3.3755274261603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-9.4903438021638697E-2</c:v>
                </c:pt>
                <c:pt idx="1">
                  <c:v>-9.1314556474964004E-3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591936"/>
        <c:axId val="193607168"/>
      </c:barChart>
      <c:catAx>
        <c:axId val="19359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607168"/>
        <c:crosses val="autoZero"/>
        <c:auto val="1"/>
        <c:lblAlgn val="ctr"/>
        <c:lblOffset val="100"/>
        <c:noMultiLvlLbl val="0"/>
      </c:catAx>
      <c:valAx>
        <c:axId val="19360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5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0.35159915274256159</c:v>
                </c:pt>
                <c:pt idx="1">
                  <c:v>0.24195507422134863</c:v>
                </c:pt>
                <c:pt idx="2">
                  <c:v>0.14596271444247824</c:v>
                </c:pt>
                <c:pt idx="3">
                  <c:v>0.1174859705050552</c:v>
                </c:pt>
                <c:pt idx="4">
                  <c:v>0.12570024168540317</c:v>
                </c:pt>
                <c:pt idx="5">
                  <c:v>0.26973514987148878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054400"/>
        <c:axId val="174074112"/>
      </c:barChart>
      <c:catAx>
        <c:axId val="17405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4074112"/>
        <c:crosses val="autoZero"/>
        <c:auto val="1"/>
        <c:lblAlgn val="ctr"/>
        <c:lblOffset val="100"/>
        <c:noMultiLvlLbl val="0"/>
      </c:catAx>
      <c:valAx>
        <c:axId val="17407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05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0.12715981910907076</c:v>
                </c:pt>
                <c:pt idx="1">
                  <c:v>2.099789831117103E-3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628032"/>
        <c:axId val="193629568"/>
      </c:barChart>
      <c:catAx>
        <c:axId val="19362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629568"/>
        <c:crosses val="autoZero"/>
        <c:auto val="1"/>
        <c:lblAlgn val="ctr"/>
        <c:lblOffset val="100"/>
        <c:noMultiLvlLbl val="0"/>
      </c:catAx>
      <c:valAx>
        <c:axId val="19362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6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6877637130801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-2.6991645513552598E-2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652992"/>
        <c:axId val="193672320"/>
      </c:barChart>
      <c:catAx>
        <c:axId val="19365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672320"/>
        <c:crosses val="autoZero"/>
        <c:auto val="1"/>
        <c:lblAlgn val="ctr"/>
        <c:lblOffset val="100"/>
        <c:noMultiLvlLbl val="0"/>
      </c:catAx>
      <c:valAx>
        <c:axId val="19367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65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9.8405692198197781E-2</c:v>
                </c:pt>
                <c:pt idx="1">
                  <c:v>8.3958604307770093E-2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95072"/>
        <c:axId val="196596864"/>
      </c:barChart>
      <c:catAx>
        <c:axId val="19659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596864"/>
        <c:crosses val="autoZero"/>
        <c:auto val="1"/>
        <c:lblAlgn val="ctr"/>
        <c:lblOffset val="100"/>
        <c:noMultiLvlLbl val="0"/>
      </c:catAx>
      <c:valAx>
        <c:axId val="19659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59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521112165943794E-3"/>
                  <c:y val="0.18284373972978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4.0427278558533537</c:v>
                </c:pt>
                <c:pt idx="1">
                  <c:v>-0.92600305081534295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653632"/>
        <c:axId val="195656320"/>
      </c:barChart>
      <c:catAx>
        <c:axId val="1956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656320"/>
        <c:crosses val="autoZero"/>
        <c:auto val="1"/>
        <c:lblAlgn val="ctr"/>
        <c:lblOffset val="100"/>
        <c:noMultiLvlLbl val="0"/>
      </c:catAx>
      <c:valAx>
        <c:axId val="19565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6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689472"/>
        <c:axId val="196551424"/>
      </c:barChart>
      <c:catAx>
        <c:axId val="19568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551424"/>
        <c:crosses val="autoZero"/>
        <c:auto val="1"/>
        <c:lblAlgn val="ctr"/>
        <c:lblOffset val="100"/>
        <c:noMultiLvlLbl val="0"/>
      </c:catAx>
      <c:valAx>
        <c:axId val="19655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68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566400"/>
        <c:axId val="197748992"/>
      </c:barChart>
      <c:catAx>
        <c:axId val="19656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748992"/>
        <c:crosses val="autoZero"/>
        <c:auto val="1"/>
        <c:lblAlgn val="ctr"/>
        <c:lblOffset val="100"/>
        <c:noMultiLvlLbl val="0"/>
      </c:catAx>
      <c:valAx>
        <c:axId val="197748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56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9.4964072476606168E-2</c:v>
                </c:pt>
                <c:pt idx="1">
                  <c:v>0.15300773150059038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672320"/>
        <c:axId val="197686400"/>
      </c:barChart>
      <c:catAx>
        <c:axId val="197672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686400"/>
        <c:crosses val="autoZero"/>
        <c:auto val="1"/>
        <c:lblAlgn val="ctr"/>
        <c:lblOffset val="100"/>
        <c:noMultiLvlLbl val="0"/>
      </c:catAx>
      <c:valAx>
        <c:axId val="1976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67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0.14763995219379766</c:v>
                </c:pt>
                <c:pt idx="1">
                  <c:v>-0.21976477639970615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59392"/>
        <c:axId val="198462080"/>
      </c:barChart>
      <c:catAx>
        <c:axId val="1984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462080"/>
        <c:crosses val="autoZero"/>
        <c:auto val="1"/>
        <c:lblAlgn val="ctr"/>
        <c:lblOffset val="100"/>
        <c:noMultiLvlLbl val="0"/>
      </c:catAx>
      <c:valAx>
        <c:axId val="19846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7.8132135803287098E-3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78848"/>
        <c:axId val="198492928"/>
      </c:barChart>
      <c:catAx>
        <c:axId val="19847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492928"/>
        <c:crosses val="autoZero"/>
        <c:auto val="1"/>
        <c:lblAlgn val="ctr"/>
        <c:lblOffset val="100"/>
        <c:noMultiLvlLbl val="0"/>
      </c:catAx>
      <c:valAx>
        <c:axId val="19849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7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2549019607842E-3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2.2399204018051844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503808"/>
        <c:axId val="199047424"/>
      </c:barChart>
      <c:catAx>
        <c:axId val="198503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047424"/>
        <c:crosses val="autoZero"/>
        <c:auto val="1"/>
        <c:lblAlgn val="ctr"/>
        <c:lblOffset val="100"/>
        <c:noMultiLvlLbl val="0"/>
      </c:catAx>
      <c:valAx>
        <c:axId val="19904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5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3756010994791E-3"/>
                  <c:y val="3.2106275524223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742695283656921E-3"/>
                  <c:y val="-3.35920103849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126021481357386E-3"/>
                  <c:y val="-9.6269554753309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376556653822531E-4"/>
                  <c:y val="-3.4338667955314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6193294987063E-3"/>
                  <c:y val="-4.812340695680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7.0996693447162418E-2</c:v>
                </c:pt>
                <c:pt idx="1">
                  <c:v>0</c:v>
                </c:pt>
                <c:pt idx="2">
                  <c:v>-0.23305149829254945</c:v>
                </c:pt>
                <c:pt idx="3">
                  <c:v>0.1698557777322045</c:v>
                </c:pt>
                <c:pt idx="4">
                  <c:v>-0.26447101262219097</c:v>
                </c:pt>
                <c:pt idx="5">
                  <c:v>1.5803391656941335E-2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504000"/>
        <c:axId val="174123264"/>
      </c:barChart>
      <c:catAx>
        <c:axId val="17350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4123264"/>
        <c:crosses val="autoZero"/>
        <c:auto val="1"/>
        <c:lblAlgn val="ctr"/>
        <c:lblOffset val="100"/>
        <c:noMultiLvlLbl val="0"/>
      </c:catAx>
      <c:valAx>
        <c:axId val="17412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5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0.1032361366979099</c:v>
                </c:pt>
                <c:pt idx="1">
                  <c:v>0.17191597627183622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970368"/>
        <c:axId val="198976256"/>
      </c:barChart>
      <c:catAx>
        <c:axId val="19897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976256"/>
        <c:crosses val="autoZero"/>
        <c:auto val="1"/>
        <c:lblAlgn val="ctr"/>
        <c:lblOffset val="100"/>
        <c:noMultiLvlLbl val="0"/>
      </c:catAx>
      <c:valAx>
        <c:axId val="19897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9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725636250775917E-2"/>
                  <c:y val="0.43101035544360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0.22331946566546623</c:v>
                </c:pt>
                <c:pt idx="1">
                  <c:v>-0.553056406194957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987136"/>
        <c:axId val="199002368"/>
      </c:barChart>
      <c:catAx>
        <c:axId val="19898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002368"/>
        <c:crosses val="autoZero"/>
        <c:auto val="1"/>
        <c:lblAlgn val="ctr"/>
        <c:lblOffset val="100"/>
        <c:noMultiLvlLbl val="0"/>
      </c:catAx>
      <c:valAx>
        <c:axId val="19900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98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6.2931956618820898E-4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31424"/>
        <c:axId val="199106944"/>
      </c:barChart>
      <c:catAx>
        <c:axId val="19903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106944"/>
        <c:crosses val="autoZero"/>
        <c:auto val="1"/>
        <c:lblAlgn val="ctr"/>
        <c:lblOffset val="100"/>
        <c:noMultiLvlLbl val="0"/>
      </c:catAx>
      <c:valAx>
        <c:axId val="19910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3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127808"/>
        <c:axId val="199129344"/>
      </c:barChart>
      <c:catAx>
        <c:axId val="19912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129344"/>
        <c:crosses val="autoZero"/>
        <c:auto val="1"/>
        <c:lblAlgn val="ctr"/>
        <c:lblOffset val="100"/>
        <c:noMultiLvlLbl val="0"/>
      </c:catAx>
      <c:valAx>
        <c:axId val="19912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12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0.10031821652735537</c:v>
                </c:pt>
                <c:pt idx="1">
                  <c:v>0.21463324393464178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333184"/>
        <c:axId val="202371840"/>
      </c:barChart>
      <c:catAx>
        <c:axId val="20233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371840"/>
        <c:crosses val="autoZero"/>
        <c:auto val="1"/>
        <c:lblAlgn val="ctr"/>
        <c:lblOffset val="100"/>
        <c:noMultiLvlLbl val="0"/>
      </c:catAx>
      <c:valAx>
        <c:axId val="20237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33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3109869646182501E-3"/>
                  <c:y val="0.33025468793730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0.17719175836022294</c:v>
                </c:pt>
                <c:pt idx="1">
                  <c:v>-0.11739816625023869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395008"/>
        <c:axId val="202422528"/>
      </c:barChart>
      <c:catAx>
        <c:axId val="20239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422528"/>
        <c:crosses val="autoZero"/>
        <c:auto val="1"/>
        <c:lblAlgn val="ctr"/>
        <c:lblOffset val="100"/>
        <c:noMultiLvlLbl val="0"/>
      </c:catAx>
      <c:valAx>
        <c:axId val="20242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39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902144"/>
        <c:axId val="202920320"/>
      </c:barChart>
      <c:catAx>
        <c:axId val="20290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920320"/>
        <c:crosses val="autoZero"/>
        <c:auto val="1"/>
        <c:lblAlgn val="ctr"/>
        <c:lblOffset val="100"/>
        <c:noMultiLvlLbl val="0"/>
      </c:catAx>
      <c:valAx>
        <c:axId val="202920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90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931200"/>
        <c:axId val="202946432"/>
      </c:barChart>
      <c:catAx>
        <c:axId val="20293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946432"/>
        <c:crosses val="autoZero"/>
        <c:auto val="1"/>
        <c:lblAlgn val="ctr"/>
        <c:lblOffset val="100"/>
        <c:noMultiLvlLbl val="0"/>
      </c:catAx>
      <c:valAx>
        <c:axId val="20294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93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8.5159140343892423E-2</c:v>
                </c:pt>
                <c:pt idx="1">
                  <c:v>0.11677572489279685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893952"/>
        <c:axId val="187183488"/>
      </c:barChart>
      <c:catAx>
        <c:axId val="20289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183488"/>
        <c:crosses val="autoZero"/>
        <c:auto val="1"/>
        <c:lblAlgn val="ctr"/>
        <c:lblOffset val="100"/>
        <c:noMultiLvlLbl val="0"/>
      </c:catAx>
      <c:valAx>
        <c:axId val="187183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89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2.291792852816475E-3"/>
                  <c:y val="-7.472230528146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123965273571573E-3"/>
                  <c:y val="3.755606498554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-1.7625034052703437E-2</c:v>
                </c:pt>
                <c:pt idx="1">
                  <c:v>-0.31549415742853115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194368"/>
        <c:axId val="187201408"/>
      </c:barChart>
      <c:catAx>
        <c:axId val="187194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201408"/>
        <c:crosses val="autoZero"/>
        <c:auto val="1"/>
        <c:lblAlgn val="ctr"/>
        <c:lblOffset val="100"/>
        <c:noMultiLvlLbl val="0"/>
      </c:catAx>
      <c:valAx>
        <c:axId val="18720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194368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0.12400333166476558</c:v>
                </c:pt>
                <c:pt idx="1">
                  <c:v>6.8148284755191774E-2</c:v>
                </c:pt>
                <c:pt idx="2">
                  <c:v>7.9343713176751623E-2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802816"/>
        <c:axId val="174822528"/>
      </c:barChart>
      <c:catAx>
        <c:axId val="174802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4822528"/>
        <c:crosses val="autoZero"/>
        <c:auto val="1"/>
        <c:lblAlgn val="ctr"/>
        <c:lblOffset val="100"/>
        <c:noMultiLvlLbl val="0"/>
      </c:catAx>
      <c:valAx>
        <c:axId val="17482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80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320128"/>
        <c:axId val="202838016"/>
      </c:barChart>
      <c:catAx>
        <c:axId val="202320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838016"/>
        <c:crosses val="autoZero"/>
        <c:auto val="1"/>
        <c:lblAlgn val="ctr"/>
        <c:lblOffset val="100"/>
        <c:noMultiLvlLbl val="0"/>
      </c:catAx>
      <c:valAx>
        <c:axId val="20283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32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572096"/>
        <c:axId val="195573632"/>
      </c:barChart>
      <c:catAx>
        <c:axId val="19557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573632"/>
        <c:crosses val="autoZero"/>
        <c:auto val="1"/>
        <c:lblAlgn val="ctr"/>
        <c:lblOffset val="100"/>
        <c:noMultiLvlLbl val="0"/>
      </c:catAx>
      <c:valAx>
        <c:axId val="19557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57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7.7931111095268957E-2</c:v>
                </c:pt>
                <c:pt idx="1">
                  <c:v>9.5370400441295022E-3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864256"/>
        <c:axId val="196866048"/>
      </c:barChart>
      <c:catAx>
        <c:axId val="19686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866048"/>
        <c:crosses val="autoZero"/>
        <c:auto val="1"/>
        <c:lblAlgn val="ctr"/>
        <c:lblOffset val="100"/>
        <c:noMultiLvlLbl val="0"/>
      </c:catAx>
      <c:valAx>
        <c:axId val="19686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8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-0.18642257037687726</c:v>
                </c:pt>
                <c:pt idx="1">
                  <c:v>-0.95073849320454151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34048"/>
        <c:axId val="204441088"/>
      </c:barChart>
      <c:catAx>
        <c:axId val="20443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441088"/>
        <c:crosses val="autoZero"/>
        <c:auto val="1"/>
        <c:lblAlgn val="ctr"/>
        <c:lblOffset val="100"/>
        <c:noMultiLvlLbl val="0"/>
      </c:catAx>
      <c:valAx>
        <c:axId val="20444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3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6.4566765174931921E-3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70144"/>
        <c:axId val="204471680"/>
      </c:barChart>
      <c:catAx>
        <c:axId val="20447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471680"/>
        <c:crosses val="autoZero"/>
        <c:auto val="1"/>
        <c:lblAlgn val="ctr"/>
        <c:lblOffset val="100"/>
        <c:noMultiLvlLbl val="0"/>
      </c:catAx>
      <c:valAx>
        <c:axId val="2044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7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025641025641024E-2"/>
                  <c:y val="2.250395915700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2.4810281517747854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949760"/>
        <c:axId val="204964992"/>
      </c:barChart>
      <c:catAx>
        <c:axId val="20494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964992"/>
        <c:crosses val="autoZero"/>
        <c:auto val="1"/>
        <c:lblAlgn val="ctr"/>
        <c:lblOffset val="100"/>
        <c:noMultiLvlLbl val="0"/>
      </c:catAx>
      <c:valAx>
        <c:axId val="20496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94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7.4268994731464463E-2</c:v>
                </c:pt>
                <c:pt idx="1">
                  <c:v>9.5676269514261184E-2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502336"/>
        <c:axId val="205503872"/>
      </c:barChart>
      <c:catAx>
        <c:axId val="20550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503872"/>
        <c:crosses val="autoZero"/>
        <c:auto val="1"/>
        <c:lblAlgn val="ctr"/>
        <c:lblOffset val="100"/>
        <c:noMultiLvlLbl val="0"/>
      </c:catAx>
      <c:valAx>
        <c:axId val="205503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50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4126502343631624E-3"/>
                  <c:y val="0.15642119042424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-4.2121094531466396E-2</c:v>
                </c:pt>
                <c:pt idx="1">
                  <c:v>1.4127827060100131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616768"/>
        <c:axId val="195617920"/>
      </c:barChart>
      <c:catAx>
        <c:axId val="19561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617920"/>
        <c:crosses val="autoZero"/>
        <c:auto val="1"/>
        <c:lblAlgn val="ctr"/>
        <c:lblOffset val="100"/>
        <c:noMultiLvlLbl val="0"/>
      </c:catAx>
      <c:valAx>
        <c:axId val="19561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6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432320"/>
        <c:axId val="205433856"/>
      </c:barChart>
      <c:catAx>
        <c:axId val="205432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433856"/>
        <c:crosses val="autoZero"/>
        <c:auto val="1"/>
        <c:lblAlgn val="ctr"/>
        <c:lblOffset val="100"/>
        <c:noMultiLvlLbl val="0"/>
      </c:catAx>
      <c:valAx>
        <c:axId val="205433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4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7527040963454989E-2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444992"/>
        <c:axId val="205456128"/>
      </c:barChart>
      <c:catAx>
        <c:axId val="20544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456128"/>
        <c:crosses val="autoZero"/>
        <c:auto val="1"/>
        <c:lblAlgn val="ctr"/>
        <c:lblOffset val="100"/>
        <c:noMultiLvlLbl val="0"/>
      </c:catAx>
      <c:valAx>
        <c:axId val="20545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44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abSelected="1" topLeftCell="C1"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25" t="s">
        <v>779</v>
      </c>
      <c r="I2" s="726"/>
      <c r="J2" s="727"/>
    </row>
    <row r="3" spans="1:13" ht="22.5" x14ac:dyDescent="0.2">
      <c r="C3" s="14"/>
      <c r="D3" s="14"/>
      <c r="E3" s="14"/>
      <c r="F3" s="128"/>
      <c r="G3" s="14"/>
      <c r="H3" s="101"/>
      <c r="I3" s="129"/>
      <c r="J3" s="102" t="s">
        <v>766</v>
      </c>
    </row>
    <row r="4" spans="1:13" x14ac:dyDescent="0.2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764</v>
      </c>
      <c r="H4" s="11" t="s">
        <v>765</v>
      </c>
      <c r="I4" s="89" t="s">
        <v>507</v>
      </c>
      <c r="J4" s="12" t="s">
        <v>18</v>
      </c>
    </row>
    <row r="5" spans="1:13" x14ac:dyDescent="0.2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676078106.56000006</v>
      </c>
      <c r="I5" s="105">
        <f>'ICap '!L10</f>
        <v>665560001</v>
      </c>
      <c r="J5" s="57">
        <f>+H5/I5-1</f>
        <v>1.5803391946926926E-2</v>
      </c>
    </row>
    <row r="6" spans="1:13" x14ac:dyDescent="0.2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358951455.87</v>
      </c>
      <c r="I6" s="105">
        <f>DCap!Q10</f>
        <v>388022450.75</v>
      </c>
      <c r="J6" s="57">
        <f>+H6/I6-1</f>
        <v>-7.4920909405652436E-2</v>
      </c>
    </row>
    <row r="7" spans="1:13" x14ac:dyDescent="0.2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317126650.69000006</v>
      </c>
      <c r="I7" s="108">
        <f>+I5-I6</f>
        <v>277537550.25</v>
      </c>
      <c r="J7" s="43">
        <f>+H7/I7-1</f>
        <v>0.14264412294602669</v>
      </c>
      <c r="M7" s="340"/>
    </row>
    <row r="8" spans="1:13" x14ac:dyDescent="0.2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1591889.44</v>
      </c>
      <c r="I8" s="105">
        <f>'ICap '!L13</f>
        <v>70528</v>
      </c>
      <c r="J8" s="57">
        <f>+H8/I8-1</f>
        <v>21.571027676950997</v>
      </c>
      <c r="M8" s="340"/>
    </row>
    <row r="9" spans="1:13" x14ac:dyDescent="0.2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45480196.420000002</v>
      </c>
      <c r="I9" s="105">
        <f>DCap!Q13</f>
        <v>47335653.309999995</v>
      </c>
      <c r="J9" s="57">
        <f t="shared" ref="J9:J13" si="2">+H9/I9-1</f>
        <v>-3.9197872222205388E-2</v>
      </c>
      <c r="M9" s="340"/>
    </row>
    <row r="10" spans="1:13" x14ac:dyDescent="0.2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273238343.71000004</v>
      </c>
      <c r="I10" s="108">
        <f>+I7+I8-I9</f>
        <v>230272424.94</v>
      </c>
      <c r="J10" s="43">
        <f t="shared" si="2"/>
        <v>0.18658733793764193</v>
      </c>
      <c r="M10" s="340"/>
    </row>
    <row r="11" spans="1:13" x14ac:dyDescent="0.2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911329.61</v>
      </c>
      <c r="I11" s="105">
        <f>+'ICap '!L16</f>
        <v>625769</v>
      </c>
      <c r="J11" s="57">
        <f t="shared" si="2"/>
        <v>0.45633550079981577</v>
      </c>
    </row>
    <row r="12" spans="1:13" ht="13.5" thickBot="1" x14ac:dyDescent="0.25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46353270.890000001</v>
      </c>
      <c r="I12" s="105">
        <f>DCap!Q16</f>
        <v>135604362.77000001</v>
      </c>
      <c r="J12" s="252">
        <f t="shared" si="2"/>
        <v>-0.65817271698978985</v>
      </c>
    </row>
    <row r="13" spans="1:13" ht="13.5" thickBot="1" x14ac:dyDescent="0.25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227796402.43000007</v>
      </c>
      <c r="I13" s="111">
        <f>+I10+I11-I12</f>
        <v>95293831.169999987</v>
      </c>
      <c r="J13" s="246">
        <f t="shared" si="2"/>
        <v>1.3904632611907619</v>
      </c>
    </row>
    <row r="14" spans="1:13" ht="13.5" thickBot="1" x14ac:dyDescent="0.25"/>
    <row r="15" spans="1:13" x14ac:dyDescent="0.2">
      <c r="H15" s="728" t="s">
        <v>780</v>
      </c>
      <c r="I15" s="729"/>
    </row>
    <row r="16" spans="1:13" x14ac:dyDescent="0.2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767</v>
      </c>
      <c r="H16" s="112" t="s">
        <v>765</v>
      </c>
      <c r="I16" s="113" t="s">
        <v>507</v>
      </c>
    </row>
    <row r="17" spans="1:11" x14ac:dyDescent="0.2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0.46906806715513122</v>
      </c>
      <c r="I17" s="116">
        <f t="shared" si="7"/>
        <v>0.41699854232976963</v>
      </c>
      <c r="K17" s="100" t="s">
        <v>148</v>
      </c>
    </row>
    <row r="18" spans="1:11" ht="37.5" thickBot="1" x14ac:dyDescent="0.25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0.40320265811207612</v>
      </c>
      <c r="I18" s="120">
        <f t="shared" ref="I18" si="9">+I10/(I5+I8)</f>
        <v>0.34594630941274029</v>
      </c>
      <c r="J18" s="6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">
      <c r="L136" s="689"/>
      <c r="O136" s="689">
        <v>0.58699999999999997</v>
      </c>
    </row>
    <row r="137" spans="12:15" x14ac:dyDescent="0.2">
      <c r="L137" s="689"/>
      <c r="N137">
        <f>+N11+N61+N65+N136</f>
        <v>0</v>
      </c>
      <c r="O137" s="689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  <pageSetUpPr fitToPage="1"/>
  </sheetPr>
  <dimension ref="A1:S227"/>
  <sheetViews>
    <sheetView topLeftCell="D126" zoomScaleNormal="100" workbookViewId="0">
      <selection activeCell="N145" sqref="N145"/>
    </sheetView>
  </sheetViews>
  <sheetFormatPr defaultColWidth="11.42578125" defaultRowHeight="12.75" x14ac:dyDescent="0.2"/>
  <cols>
    <col min="1" max="1" width="0.7109375" customWidth="1"/>
    <col min="2" max="2" width="32.140625" customWidth="1"/>
    <col min="3" max="3" width="13.5703125" customWidth="1"/>
    <col min="4" max="4" width="13.7109375" customWidth="1"/>
    <col min="5" max="5" width="11.28515625" customWidth="1"/>
    <col min="6" max="6" width="8.85546875" style="97" bestFit="1" customWidth="1"/>
    <col min="7" max="7" width="12.28515625" customWidth="1"/>
    <col min="8" max="8" width="8.85546875" style="97" bestFit="1" customWidth="1"/>
    <col min="9" max="9" width="12.5703125" customWidth="1"/>
    <col min="10" max="10" width="8.85546875" style="97" bestFit="1" customWidth="1"/>
    <col min="11" max="11" width="11.140625" style="97" customWidth="1"/>
    <col min="12" max="12" width="6.28515625" style="97" customWidth="1"/>
    <col min="13" max="13" width="8.85546875" style="97" customWidth="1"/>
    <col min="14" max="14" width="11.140625" customWidth="1"/>
    <col min="15" max="15" width="6.28515625" style="97" customWidth="1"/>
    <col min="16" max="16" width="8.85546875" style="97" customWidth="1"/>
    <col min="17" max="17" width="15.28515625" style="60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48" t="s">
        <v>782</v>
      </c>
      <c r="L2" s="749"/>
      <c r="M2" s="749"/>
      <c r="N2" s="749"/>
      <c r="O2" s="749"/>
      <c r="P2" s="750"/>
    </row>
    <row r="3" spans="1:19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149" t="s">
        <v>547</v>
      </c>
      <c r="N3" s="87" t="s">
        <v>39</v>
      </c>
      <c r="O3" s="88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7" t="s">
        <v>766</v>
      </c>
      <c r="N4" s="564" t="s">
        <v>17</v>
      </c>
      <c r="O4" s="89" t="s">
        <v>18</v>
      </c>
      <c r="P4" s="587" t="s">
        <v>766</v>
      </c>
      <c r="Q4" s="58" t="s">
        <v>163</v>
      </c>
    </row>
    <row r="5" spans="1:19" ht="15" customHeight="1" x14ac:dyDescent="0.2">
      <c r="A5" s="21"/>
      <c r="B5" s="21" t="s">
        <v>234</v>
      </c>
      <c r="C5" s="186">
        <v>17884241.539999999</v>
      </c>
      <c r="D5" s="190">
        <v>17774222.57</v>
      </c>
      <c r="E5" s="82">
        <v>3896553.74</v>
      </c>
      <c r="F5" s="308">
        <f t="shared" ref="F5:F12" si="0">+E5/D5</f>
        <v>0.21922498858412801</v>
      </c>
      <c r="G5" s="82">
        <v>3896553.74</v>
      </c>
      <c r="H5" s="48">
        <f>+G5/D5</f>
        <v>0.21922498858412801</v>
      </c>
      <c r="I5" s="82">
        <v>3896553.74</v>
      </c>
      <c r="J5" s="153">
        <f>I5/D5</f>
        <v>0.21922498858412801</v>
      </c>
      <c r="K5" s="578">
        <v>3954278.02</v>
      </c>
      <c r="L5" s="48">
        <v>0.32261926921625828</v>
      </c>
      <c r="M5" s="210">
        <f>+G5/K5-1</f>
        <v>-1.4597931583981039E-2</v>
      </c>
      <c r="N5" s="578">
        <v>3954278.02</v>
      </c>
      <c r="O5" s="48">
        <v>0.32261926921625828</v>
      </c>
      <c r="P5" s="210">
        <f>+I5/N5-1</f>
        <v>-1.4597931583981039E-2</v>
      </c>
      <c r="Q5" s="59">
        <v>10</v>
      </c>
    </row>
    <row r="6" spans="1:19" ht="15" customHeight="1" x14ac:dyDescent="0.2">
      <c r="A6" s="23"/>
      <c r="B6" s="23" t="s">
        <v>235</v>
      </c>
      <c r="C6" s="184">
        <v>5861896.0199999996</v>
      </c>
      <c r="D6" s="188">
        <v>6121179.0199999996</v>
      </c>
      <c r="E6" s="237">
        <v>1295345.82</v>
      </c>
      <c r="F6" s="280">
        <f t="shared" si="0"/>
        <v>0.21161704563249323</v>
      </c>
      <c r="G6" s="237">
        <v>1295345.82</v>
      </c>
      <c r="H6" s="280">
        <f t="shared" ref="H6:H65" si="1">+G6/D6</f>
        <v>0.21161704563249323</v>
      </c>
      <c r="I6" s="237">
        <v>1295345.82</v>
      </c>
      <c r="J6" s="178">
        <f t="shared" ref="J6:J65" si="2">I6/D6</f>
        <v>0.21161704563249323</v>
      </c>
      <c r="K6" s="579">
        <v>1447831.03</v>
      </c>
      <c r="L6" s="280">
        <v>0.17565748520334273</v>
      </c>
      <c r="M6" s="210">
        <f t="shared" ref="M6:M65" si="3">+G6/K6-1</f>
        <v>-0.10531975544135141</v>
      </c>
      <c r="N6" s="579">
        <v>1447831.03</v>
      </c>
      <c r="O6" s="280">
        <v>0.17565748520334273</v>
      </c>
      <c r="P6" s="211">
        <f>+I6/N6-1</f>
        <v>-0.10531975544135141</v>
      </c>
      <c r="Q6" s="60">
        <v>11</v>
      </c>
    </row>
    <row r="7" spans="1:19" ht="15" customHeight="1" x14ac:dyDescent="0.2">
      <c r="A7" s="23"/>
      <c r="B7" s="23" t="s">
        <v>236</v>
      </c>
      <c r="C7" s="184">
        <v>221167595.94</v>
      </c>
      <c r="D7" s="188">
        <v>221702628.62</v>
      </c>
      <c r="E7" s="237">
        <v>47287543.520000003</v>
      </c>
      <c r="F7" s="280">
        <f t="shared" si="0"/>
        <v>0.21329266059831528</v>
      </c>
      <c r="G7" s="237">
        <v>47287543.520000003</v>
      </c>
      <c r="H7" s="280">
        <f t="shared" si="1"/>
        <v>0.21329266059831528</v>
      </c>
      <c r="I7" s="237">
        <v>47287543.520000003</v>
      </c>
      <c r="J7" s="178">
        <f t="shared" si="2"/>
        <v>0.21329266059831528</v>
      </c>
      <c r="K7" s="579">
        <v>52934839.229999997</v>
      </c>
      <c r="L7" s="280">
        <v>0.23993287669670857</v>
      </c>
      <c r="M7" s="210">
        <f t="shared" si="3"/>
        <v>-0.10668391161939106</v>
      </c>
      <c r="N7" s="579">
        <v>52934839.229999997</v>
      </c>
      <c r="O7" s="280">
        <v>0.23993287669670857</v>
      </c>
      <c r="P7" s="211">
        <f>+I7/N7-1</f>
        <v>-0.10668391161939106</v>
      </c>
      <c r="Q7" s="60">
        <v>12</v>
      </c>
    </row>
    <row r="8" spans="1:19" ht="15" customHeight="1" x14ac:dyDescent="0.2">
      <c r="A8" s="23"/>
      <c r="B8" s="23" t="s">
        <v>237</v>
      </c>
      <c r="C8" s="184">
        <v>8244543.7699999996</v>
      </c>
      <c r="D8" s="188">
        <v>8886196.8900000006</v>
      </c>
      <c r="E8" s="237">
        <v>1847997.76</v>
      </c>
      <c r="F8" s="280">
        <f>+E8/D8</f>
        <v>0.20796272948662967</v>
      </c>
      <c r="G8" s="237">
        <v>1847997.76</v>
      </c>
      <c r="H8" s="280">
        <f>+G8/D8</f>
        <v>0.20796272948662967</v>
      </c>
      <c r="I8" s="237">
        <v>1847997.76</v>
      </c>
      <c r="J8" s="178">
        <f>I8/D8</f>
        <v>0.20796272948662967</v>
      </c>
      <c r="K8" s="579">
        <v>2085107.09</v>
      </c>
      <c r="L8" s="280">
        <v>0.24547496934648957</v>
      </c>
      <c r="M8" s="210">
        <f t="shared" si="3"/>
        <v>-0.11371566052274085</v>
      </c>
      <c r="N8" s="579">
        <v>2085107.09</v>
      </c>
      <c r="O8" s="280">
        <v>0.24547496934648957</v>
      </c>
      <c r="P8" s="443">
        <f>+I8/N8-1</f>
        <v>-0.11371566052274085</v>
      </c>
      <c r="Q8" s="60">
        <v>13</v>
      </c>
    </row>
    <row r="9" spans="1:19" ht="15" customHeight="1" x14ac:dyDescent="0.2">
      <c r="A9" s="24"/>
      <c r="B9" s="24" t="s">
        <v>239</v>
      </c>
      <c r="C9" s="184">
        <v>46423331.969999999</v>
      </c>
      <c r="D9" s="188">
        <v>43750981.280000001</v>
      </c>
      <c r="E9" s="237">
        <v>3876984.15</v>
      </c>
      <c r="F9" s="280">
        <f>+E9/D9</f>
        <v>8.8614793007449538E-2</v>
      </c>
      <c r="G9" s="237">
        <v>3876984.15</v>
      </c>
      <c r="H9" s="280">
        <f>+G9/D9</f>
        <v>8.8614793007449538E-2</v>
      </c>
      <c r="I9" s="237">
        <v>3876984.15</v>
      </c>
      <c r="J9" s="178">
        <f>I9/D9</f>
        <v>8.8614793007449538E-2</v>
      </c>
      <c r="K9" s="580">
        <v>4413062.41</v>
      </c>
      <c r="L9" s="390">
        <v>0.13529118102002957</v>
      </c>
      <c r="M9" s="210">
        <f t="shared" si="3"/>
        <v>-0.12147534074869348</v>
      </c>
      <c r="N9" s="580">
        <v>4413062.41</v>
      </c>
      <c r="O9" s="390">
        <v>0.13529118102002957</v>
      </c>
      <c r="P9" s="245">
        <f t="shared" ref="P9:P59" si="4">+I9/N9-1</f>
        <v>-0.12147534074869348</v>
      </c>
      <c r="Q9" s="60">
        <v>15</v>
      </c>
      <c r="R9" s="357"/>
      <c r="S9" s="357"/>
    </row>
    <row r="10" spans="1:19" ht="15" customHeight="1" x14ac:dyDescent="0.2">
      <c r="A10" s="24"/>
      <c r="B10" s="24" t="s">
        <v>238</v>
      </c>
      <c r="C10" s="395">
        <v>74901709.219999999</v>
      </c>
      <c r="D10" s="191">
        <v>76454681.640000001</v>
      </c>
      <c r="E10" s="137">
        <v>20487769.760000002</v>
      </c>
      <c r="F10" s="390">
        <f>+E10/D10</f>
        <v>0.26797272999540023</v>
      </c>
      <c r="G10" s="137">
        <v>20149494.870000001</v>
      </c>
      <c r="H10" s="390">
        <f>+G10/D10</f>
        <v>0.26354821493963387</v>
      </c>
      <c r="I10" s="137">
        <v>19122509.190000001</v>
      </c>
      <c r="J10" s="392">
        <f>I10/D10</f>
        <v>0.25011560809371519</v>
      </c>
      <c r="K10" s="580">
        <v>18583133.27</v>
      </c>
      <c r="L10" s="390">
        <v>0.25262341324031096</v>
      </c>
      <c r="M10" s="628">
        <f t="shared" si="3"/>
        <v>8.4289424029944549E-2</v>
      </c>
      <c r="N10" s="580">
        <v>18249064.989999998</v>
      </c>
      <c r="O10" s="390">
        <v>0.24808201174882177</v>
      </c>
      <c r="P10" s="520">
        <f t="shared" si="4"/>
        <v>4.7862408319474303E-2</v>
      </c>
      <c r="Q10" s="60">
        <v>16</v>
      </c>
    </row>
    <row r="11" spans="1:19" ht="15" customHeight="1" x14ac:dyDescent="0.2">
      <c r="A11" s="9"/>
      <c r="B11" s="2" t="s">
        <v>0</v>
      </c>
      <c r="C11" s="162">
        <f>SUM(C5:C10)</f>
        <v>374483318.46000004</v>
      </c>
      <c r="D11" s="152">
        <f>SUM(D5:D10)</f>
        <v>374689890.01999998</v>
      </c>
      <c r="E11" s="84">
        <f>SUM(E5:E10)</f>
        <v>78692194.75</v>
      </c>
      <c r="F11" s="90">
        <f>+E11/D11</f>
        <v>0.21001953040633045</v>
      </c>
      <c r="G11" s="84">
        <f>SUM(G5:G10)</f>
        <v>78353919.859999999</v>
      </c>
      <c r="H11" s="90">
        <f t="shared" si="1"/>
        <v>0.20911671744283697</v>
      </c>
      <c r="I11" s="84">
        <f>SUM(I5:I10)</f>
        <v>77326934.180000007</v>
      </c>
      <c r="J11" s="170">
        <f t="shared" si="2"/>
        <v>0.20637582235237917</v>
      </c>
      <c r="K11" s="568">
        <f>SUM(K5:K10)</f>
        <v>83418251.049999997</v>
      </c>
      <c r="L11" s="90">
        <v>0.23400000000000001</v>
      </c>
      <c r="M11" s="213">
        <f t="shared" si="3"/>
        <v>-6.0710109913051147E-2</v>
      </c>
      <c r="N11" s="568">
        <f>SUM(N5:N10)</f>
        <v>83084182.769999996</v>
      </c>
      <c r="O11" s="90">
        <v>0.23400000000000001</v>
      </c>
      <c r="P11" s="213">
        <f t="shared" si="4"/>
        <v>-6.9294159225681273E-2</v>
      </c>
      <c r="Q11" s="60">
        <v>1</v>
      </c>
    </row>
    <row r="12" spans="1:19" ht="15" customHeight="1" x14ac:dyDescent="0.2">
      <c r="A12" s="21"/>
      <c r="B12" s="21" t="s">
        <v>243</v>
      </c>
      <c r="C12" s="186">
        <v>19954343.75</v>
      </c>
      <c r="D12" s="190">
        <v>19861975.920000002</v>
      </c>
      <c r="E12" s="82">
        <v>16310062.779999999</v>
      </c>
      <c r="F12" s="48">
        <f t="shared" si="0"/>
        <v>0.82117020208329794</v>
      </c>
      <c r="G12" s="82">
        <v>16103481.119999999</v>
      </c>
      <c r="H12" s="48">
        <f t="shared" si="1"/>
        <v>0.81076934061654016</v>
      </c>
      <c r="I12" s="82">
        <v>4294064.3</v>
      </c>
      <c r="J12" s="153">
        <f t="shared" si="2"/>
        <v>0.21619522233314636</v>
      </c>
      <c r="K12" s="565">
        <v>18588276.620000001</v>
      </c>
      <c r="L12" s="48">
        <v>0.82353079357333447</v>
      </c>
      <c r="M12" s="210">
        <f t="shared" si="3"/>
        <v>-0.13367541008758677</v>
      </c>
      <c r="N12" s="565">
        <v>6561463.1900000004</v>
      </c>
      <c r="O12" s="48">
        <v>0.29069757774365002</v>
      </c>
      <c r="P12" s="210">
        <f t="shared" si="4"/>
        <v>-0.34556299781665012</v>
      </c>
      <c r="Q12" s="59">
        <v>20</v>
      </c>
    </row>
    <row r="13" spans="1:19" ht="15" customHeight="1" x14ac:dyDescent="0.2">
      <c r="A13" s="235"/>
      <c r="B13" s="235" t="s">
        <v>244</v>
      </c>
      <c r="C13" s="236">
        <v>21527982.960000001</v>
      </c>
      <c r="D13" s="188">
        <v>21829101.18</v>
      </c>
      <c r="E13" s="237">
        <v>16257026.779999999</v>
      </c>
      <c r="F13" s="412">
        <f t="shared" ref="F13:F59" si="5">+E13/D13</f>
        <v>0.74474100632667461</v>
      </c>
      <c r="G13" s="237">
        <v>14295895.92</v>
      </c>
      <c r="H13" s="412">
        <f t="shared" si="1"/>
        <v>0.65490080430329478</v>
      </c>
      <c r="I13" s="71">
        <v>1543429.34</v>
      </c>
      <c r="J13" s="427">
        <f t="shared" si="2"/>
        <v>7.0705125569444083E-2</v>
      </c>
      <c r="K13" s="565">
        <v>13651520.17</v>
      </c>
      <c r="L13" s="412">
        <v>0.74865835181381257</v>
      </c>
      <c r="M13" s="210">
        <f t="shared" si="3"/>
        <v>4.7201757897706642E-2</v>
      </c>
      <c r="N13" s="565">
        <v>1408944.77</v>
      </c>
      <c r="O13" s="412">
        <v>7.7267458581126741E-2</v>
      </c>
      <c r="P13" s="443">
        <f t="shared" si="4"/>
        <v>9.5450561912373555E-2</v>
      </c>
      <c r="Q13" s="59">
        <v>21</v>
      </c>
    </row>
    <row r="14" spans="1:19" ht="15" customHeight="1" x14ac:dyDescent="0.2">
      <c r="A14" s="61"/>
      <c r="B14" s="61" t="s">
        <v>245</v>
      </c>
      <c r="C14" s="185">
        <v>2723382.21</v>
      </c>
      <c r="D14" s="189">
        <v>1920635.58</v>
      </c>
      <c r="E14" s="73">
        <v>1148090.1599999999</v>
      </c>
      <c r="F14" s="413">
        <f t="shared" si="5"/>
        <v>0.5977657458579414</v>
      </c>
      <c r="G14" s="73">
        <v>629902.98</v>
      </c>
      <c r="H14" s="413">
        <f t="shared" si="1"/>
        <v>0.32796590178757384</v>
      </c>
      <c r="I14" s="73">
        <v>282242.43</v>
      </c>
      <c r="J14" s="428">
        <f t="shared" si="2"/>
        <v>0.14695261971560475</v>
      </c>
      <c r="K14" s="581">
        <v>524030.28</v>
      </c>
      <c r="L14" s="416">
        <v>0.34450979270025278</v>
      </c>
      <c r="M14" s="646">
        <f t="shared" si="3"/>
        <v>0.20203546253090554</v>
      </c>
      <c r="N14" s="581">
        <v>157374.01</v>
      </c>
      <c r="O14" s="416">
        <v>0.10346136402939828</v>
      </c>
      <c r="P14" s="588">
        <f t="shared" si="4"/>
        <v>0.79345007476139151</v>
      </c>
      <c r="Q14" s="59">
        <v>220</v>
      </c>
    </row>
    <row r="15" spans="1:19" ht="15" customHeight="1" x14ac:dyDescent="0.2">
      <c r="A15" s="68"/>
      <c r="B15" s="68" t="s">
        <v>247</v>
      </c>
      <c r="C15" s="186">
        <v>10719363.800000001</v>
      </c>
      <c r="D15" s="190">
        <v>10149628.470000001</v>
      </c>
      <c r="E15" s="82">
        <v>5949204.6799999997</v>
      </c>
      <c r="F15" s="414">
        <f t="shared" si="5"/>
        <v>0.58614999530125655</v>
      </c>
      <c r="G15" s="82">
        <v>5867204.6799999997</v>
      </c>
      <c r="H15" s="414">
        <f t="shared" si="1"/>
        <v>0.57807088183987476</v>
      </c>
      <c r="I15" s="82">
        <v>1646215.82</v>
      </c>
      <c r="J15" s="429">
        <f t="shared" si="2"/>
        <v>0.16219468770367709</v>
      </c>
      <c r="K15" s="582">
        <v>10659294.060000001</v>
      </c>
      <c r="L15" s="415">
        <v>0.9797079280520179</v>
      </c>
      <c r="M15" s="210">
        <f t="shared" si="3"/>
        <v>-0.44956911339774042</v>
      </c>
      <c r="N15" s="582">
        <v>13011.8</v>
      </c>
      <c r="O15" s="415">
        <v>1.1959294439642511E-3</v>
      </c>
      <c r="P15" s="588">
        <f t="shared" si="4"/>
        <v>125.51714751225812</v>
      </c>
      <c r="Q15" s="59">
        <v>22100</v>
      </c>
    </row>
    <row r="16" spans="1:19" ht="15" customHeight="1" x14ac:dyDescent="0.2">
      <c r="A16" s="70"/>
      <c r="B16" s="70" t="s">
        <v>249</v>
      </c>
      <c r="C16" s="236">
        <v>1129590</v>
      </c>
      <c r="D16" s="188">
        <v>1129590</v>
      </c>
      <c r="E16" s="237">
        <v>1103860.98</v>
      </c>
      <c r="F16" s="130">
        <f>+E16/D16</f>
        <v>0.97722269141901041</v>
      </c>
      <c r="G16" s="237">
        <v>1056403.47</v>
      </c>
      <c r="H16" s="130">
        <f>+G16/D16</f>
        <v>0.93520965128940592</v>
      </c>
      <c r="I16" s="71">
        <v>202255.41</v>
      </c>
      <c r="J16" s="194">
        <f>I16/D16</f>
        <v>0.17905205428518312</v>
      </c>
      <c r="K16" s="394">
        <v>1019048.23</v>
      </c>
      <c r="L16" s="130">
        <v>0.87879288547775092</v>
      </c>
      <c r="M16" s="210">
        <f t="shared" si="3"/>
        <v>3.6656989237889182E-2</v>
      </c>
      <c r="N16" s="394">
        <v>178497.13</v>
      </c>
      <c r="O16" s="130">
        <v>0.15392991548809934</v>
      </c>
      <c r="P16" s="588">
        <f t="shared" si="4"/>
        <v>0.13310174791045659</v>
      </c>
      <c r="Q16" s="59">
        <v>22101</v>
      </c>
    </row>
    <row r="17" spans="1:17" ht="15" customHeight="1" x14ac:dyDescent="0.2">
      <c r="A17" s="70"/>
      <c r="B17" s="70" t="s">
        <v>248</v>
      </c>
      <c r="C17" s="236">
        <v>17267593.73</v>
      </c>
      <c r="D17" s="190">
        <v>17307593.73</v>
      </c>
      <c r="E17" s="237">
        <v>9116546.6799999997</v>
      </c>
      <c r="F17" s="130">
        <f>+E17/D17</f>
        <v>0.52673680825994285</v>
      </c>
      <c r="G17" s="237">
        <v>9116546.6799999997</v>
      </c>
      <c r="H17" s="130">
        <f>+G17/D17</f>
        <v>0.52673680825994285</v>
      </c>
      <c r="I17" s="71">
        <v>2285563.7400000002</v>
      </c>
      <c r="J17" s="194">
        <f>I17/D17</f>
        <v>0.13205554600223449</v>
      </c>
      <c r="K17" s="394">
        <v>15003412.039999999</v>
      </c>
      <c r="L17" s="130">
        <v>0.72668220285369378</v>
      </c>
      <c r="M17" s="210">
        <f t="shared" si="3"/>
        <v>-0.39236843887945372</v>
      </c>
      <c r="N17" s="394">
        <v>449459.29</v>
      </c>
      <c r="O17" s="130">
        <v>2.176931927747398E-2</v>
      </c>
      <c r="P17" s="588">
        <f t="shared" si="4"/>
        <v>4.0851407254258785</v>
      </c>
      <c r="Q17" s="59">
        <v>22120</v>
      </c>
    </row>
    <row r="18" spans="1:17" ht="15" customHeight="1" x14ac:dyDescent="0.2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0</v>
      </c>
      <c r="J18" s="194">
        <f>I18/D18</f>
        <v>0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93633.7</v>
      </c>
      <c r="O18" s="130">
        <v>0.1679762092082451</v>
      </c>
      <c r="P18" s="588">
        <f t="shared" si="4"/>
        <v>-1</v>
      </c>
      <c r="Q18" s="59">
        <v>22121</v>
      </c>
    </row>
    <row r="19" spans="1:17" ht="15" customHeight="1" x14ac:dyDescent="0.2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223681.25</v>
      </c>
      <c r="J19" s="194">
        <f t="shared" si="2"/>
        <v>0.20096022477807396</v>
      </c>
      <c r="K19" s="394">
        <v>1119563.03</v>
      </c>
      <c r="L19" s="130">
        <v>0.99468834343845447</v>
      </c>
      <c r="M19" s="210">
        <f t="shared" si="3"/>
        <v>-9.9241665741677254E-3</v>
      </c>
      <c r="N19" s="394">
        <v>0</v>
      </c>
      <c r="O19" s="130">
        <v>0</v>
      </c>
      <c r="P19" s="588" t="s">
        <v>129</v>
      </c>
      <c r="Q19" s="60" t="s">
        <v>251</v>
      </c>
    </row>
    <row r="20" spans="1:17" ht="15" customHeight="1" x14ac:dyDescent="0.2">
      <c r="A20" s="72"/>
      <c r="B20" s="72" t="s">
        <v>252</v>
      </c>
      <c r="C20" s="185">
        <v>5773648.7699999996</v>
      </c>
      <c r="D20" s="189">
        <v>5862029.4199999999</v>
      </c>
      <c r="E20" s="237">
        <v>2461231</v>
      </c>
      <c r="F20" s="413">
        <f t="shared" si="5"/>
        <v>0.4198598853159628</v>
      </c>
      <c r="G20" s="237">
        <v>1416983.11</v>
      </c>
      <c r="H20" s="413">
        <f t="shared" si="1"/>
        <v>0.24172227883496364</v>
      </c>
      <c r="I20" s="73">
        <v>301032.15000000002</v>
      </c>
      <c r="J20" s="430">
        <f t="shared" si="2"/>
        <v>5.1352889661887779E-2</v>
      </c>
      <c r="K20" s="583">
        <v>2867901.01</v>
      </c>
      <c r="L20" s="413">
        <v>0.53130150044018587</v>
      </c>
      <c r="M20" s="646">
        <f t="shared" si="3"/>
        <v>-0.50591631124673997</v>
      </c>
      <c r="N20" s="583">
        <v>314501.09999999998</v>
      </c>
      <c r="O20" s="413">
        <v>5.8263833283453859E-2</v>
      </c>
      <c r="P20" s="589">
        <f t="shared" si="4"/>
        <v>-4.2826400289219801E-2</v>
      </c>
      <c r="Q20" s="60" t="s">
        <v>253</v>
      </c>
    </row>
    <row r="21" spans="1:17" ht="15" customHeight="1" x14ac:dyDescent="0.2">
      <c r="A21" s="68"/>
      <c r="B21" s="68" t="s">
        <v>254</v>
      </c>
      <c r="C21" s="186">
        <v>4085732</v>
      </c>
      <c r="D21" s="188">
        <v>4089286.85</v>
      </c>
      <c r="E21" s="69">
        <v>3977870.3</v>
      </c>
      <c r="F21" s="415">
        <f t="shared" si="5"/>
        <v>0.97275403900804847</v>
      </c>
      <c r="G21" s="69">
        <v>3928059.88</v>
      </c>
      <c r="H21" s="415">
        <f t="shared" si="1"/>
        <v>0.96057332832985287</v>
      </c>
      <c r="I21" s="69">
        <v>631421.09</v>
      </c>
      <c r="J21" s="431">
        <f t="shared" si="2"/>
        <v>0.15440860794590625</v>
      </c>
      <c r="K21" s="582">
        <v>2133693.4900000002</v>
      </c>
      <c r="L21" s="415">
        <v>0.58028775545069311</v>
      </c>
      <c r="M21" s="210">
        <f t="shared" si="3"/>
        <v>0.84096727032709806</v>
      </c>
      <c r="N21" s="582">
        <v>723908.78</v>
      </c>
      <c r="O21" s="415">
        <v>0.19687710679440168</v>
      </c>
      <c r="P21" s="443">
        <f t="shared" si="4"/>
        <v>-0.12776152542313424</v>
      </c>
      <c r="Q21" s="59">
        <v>22200</v>
      </c>
    </row>
    <row r="22" spans="1:17" ht="15" customHeight="1" x14ac:dyDescent="0.2">
      <c r="A22" s="72"/>
      <c r="B22" s="72" t="s">
        <v>255</v>
      </c>
      <c r="C22" s="185">
        <v>1020103.84</v>
      </c>
      <c r="D22" s="189">
        <v>1219743.1499999999</v>
      </c>
      <c r="E22" s="73">
        <v>800333.05</v>
      </c>
      <c r="F22" s="416">
        <f t="shared" si="5"/>
        <v>0.65614883756469555</v>
      </c>
      <c r="G22" s="237">
        <v>682001.16</v>
      </c>
      <c r="H22" s="414">
        <f t="shared" si="1"/>
        <v>0.55913506052483275</v>
      </c>
      <c r="I22" s="62">
        <v>82114.67</v>
      </c>
      <c r="J22" s="430">
        <f t="shared" si="2"/>
        <v>6.7321279894049832E-2</v>
      </c>
      <c r="K22" s="583">
        <v>452308.69</v>
      </c>
      <c r="L22" s="413">
        <v>0.61497720120863875</v>
      </c>
      <c r="M22" s="646">
        <f t="shared" si="3"/>
        <v>0.50782236794964075</v>
      </c>
      <c r="N22" s="583">
        <v>71380.5</v>
      </c>
      <c r="O22" s="413">
        <v>9.7051816782191908E-2</v>
      </c>
      <c r="P22" s="590">
        <f t="shared" si="4"/>
        <v>0.15037958546101526</v>
      </c>
      <c r="Q22" s="60" t="s">
        <v>256</v>
      </c>
    </row>
    <row r="23" spans="1:17" ht="15" customHeight="1" x14ac:dyDescent="0.2">
      <c r="A23" s="68"/>
      <c r="B23" s="68" t="s">
        <v>257</v>
      </c>
      <c r="C23" s="186">
        <v>733190.53</v>
      </c>
      <c r="D23" s="191">
        <v>735190.53</v>
      </c>
      <c r="E23" s="82">
        <v>620310.87</v>
      </c>
      <c r="F23" s="415">
        <f t="shared" si="5"/>
        <v>0.84374164884849645</v>
      </c>
      <c r="G23" s="69">
        <v>557683.36</v>
      </c>
      <c r="H23" s="415">
        <f t="shared" si="1"/>
        <v>0.75855623439545661</v>
      </c>
      <c r="I23" s="69">
        <v>109504.84</v>
      </c>
      <c r="J23" s="429">
        <f t="shared" si="2"/>
        <v>0.14894756601394199</v>
      </c>
      <c r="K23" s="582">
        <v>471317.27</v>
      </c>
      <c r="L23" s="415">
        <v>0.71344841244774582</v>
      </c>
      <c r="M23" s="210">
        <f t="shared" si="3"/>
        <v>0.18324405978164138</v>
      </c>
      <c r="N23" s="582">
        <v>76385.679999999993</v>
      </c>
      <c r="O23" s="415">
        <v>0.11562750953246742</v>
      </c>
      <c r="P23" s="590">
        <f t="shared" si="4"/>
        <v>0.43357812616186697</v>
      </c>
      <c r="Q23" s="59">
        <v>223</v>
      </c>
    </row>
    <row r="24" spans="1:17" ht="15" customHeight="1" x14ac:dyDescent="0.2">
      <c r="A24" s="70"/>
      <c r="B24" s="70" t="s">
        <v>258</v>
      </c>
      <c r="C24" s="186">
        <v>2494771.27</v>
      </c>
      <c r="D24" s="394">
        <v>2494971.27</v>
      </c>
      <c r="E24" s="237">
        <v>2266882.7200000002</v>
      </c>
      <c r="F24" s="130">
        <f t="shared" si="5"/>
        <v>0.90858069079088044</v>
      </c>
      <c r="G24" s="82">
        <v>2266882.7200000002</v>
      </c>
      <c r="H24" s="130">
        <f t="shared" si="1"/>
        <v>0.90858069079088044</v>
      </c>
      <c r="I24" s="82">
        <v>1700162.04</v>
      </c>
      <c r="J24" s="194">
        <f t="shared" si="2"/>
        <v>0.68143551809316028</v>
      </c>
      <c r="K24" s="394">
        <v>1697331.24</v>
      </c>
      <c r="L24" s="130">
        <v>0.68810866729259768</v>
      </c>
      <c r="M24" s="210">
        <f t="shared" si="3"/>
        <v>0.33555705956369497</v>
      </c>
      <c r="N24" s="394">
        <v>0</v>
      </c>
      <c r="O24" s="130">
        <v>0</v>
      </c>
      <c r="P24" s="443" t="s">
        <v>129</v>
      </c>
      <c r="Q24" s="59">
        <v>224</v>
      </c>
    </row>
    <row r="25" spans="1:17" ht="15" customHeight="1" x14ac:dyDescent="0.2">
      <c r="A25" s="72"/>
      <c r="B25" s="72" t="s">
        <v>259</v>
      </c>
      <c r="C25" s="185">
        <v>634347.34</v>
      </c>
      <c r="D25" s="167">
        <v>634347.34</v>
      </c>
      <c r="E25" s="73">
        <v>538987.65</v>
      </c>
      <c r="F25" s="413">
        <f t="shared" si="5"/>
        <v>0.84967275183970981</v>
      </c>
      <c r="G25" s="62">
        <v>20142.650000000001</v>
      </c>
      <c r="H25" s="413">
        <f t="shared" si="1"/>
        <v>3.1753345099547518E-2</v>
      </c>
      <c r="I25" s="62">
        <v>20142.650000000001</v>
      </c>
      <c r="J25" s="430">
        <f t="shared" si="2"/>
        <v>3.1753345099547518E-2</v>
      </c>
      <c r="K25" s="583">
        <v>19352.830000000002</v>
      </c>
      <c r="L25" s="413">
        <v>2.2907776503836595E-2</v>
      </c>
      <c r="M25" s="646">
        <f t="shared" si="3"/>
        <v>4.0811602230784727E-2</v>
      </c>
      <c r="N25" s="583">
        <v>19352.830000000002</v>
      </c>
      <c r="O25" s="413">
        <v>2.2907776503836595E-2</v>
      </c>
      <c r="P25" s="590">
        <f t="shared" ref="P25" si="6">+I25/N25-1</f>
        <v>4.0811602230784727E-2</v>
      </c>
      <c r="Q25" s="59">
        <v>225</v>
      </c>
    </row>
    <row r="26" spans="1:17" ht="15" customHeight="1" x14ac:dyDescent="0.2">
      <c r="A26" s="68"/>
      <c r="B26" s="68" t="s">
        <v>261</v>
      </c>
      <c r="C26" s="186">
        <v>926305.47</v>
      </c>
      <c r="D26" s="188">
        <v>1035959.06</v>
      </c>
      <c r="E26" s="82">
        <v>621452.13</v>
      </c>
      <c r="F26" s="415">
        <f t="shared" si="5"/>
        <v>0.59988097406088614</v>
      </c>
      <c r="G26" s="82">
        <v>50943.89</v>
      </c>
      <c r="H26" s="415">
        <f t="shared" si="1"/>
        <v>4.9175582286041297E-2</v>
      </c>
      <c r="I26" s="82">
        <v>50766.02</v>
      </c>
      <c r="J26" s="429">
        <f t="shared" si="2"/>
        <v>4.9003886311877992E-2</v>
      </c>
      <c r="K26" s="582">
        <v>30798.45</v>
      </c>
      <c r="L26" s="415">
        <v>2.732434554300062E-2</v>
      </c>
      <c r="M26" s="210">
        <f t="shared" si="3"/>
        <v>0.65410564492693624</v>
      </c>
      <c r="N26" s="582">
        <v>30798.45</v>
      </c>
      <c r="O26" s="415">
        <v>2.732434554300062E-2</v>
      </c>
      <c r="P26" s="591">
        <f t="shared" si="4"/>
        <v>0.64833035428730978</v>
      </c>
      <c r="Q26" s="59">
        <v>22601</v>
      </c>
    </row>
    <row r="27" spans="1:17" ht="15" customHeight="1" x14ac:dyDescent="0.2">
      <c r="A27" s="70"/>
      <c r="B27" s="70" t="s">
        <v>260</v>
      </c>
      <c r="C27" s="186">
        <v>10000000</v>
      </c>
      <c r="D27" s="188">
        <v>10030918.24</v>
      </c>
      <c r="E27" s="82">
        <v>6473794.3399999999</v>
      </c>
      <c r="F27" s="130">
        <f t="shared" si="5"/>
        <v>0.64538402019713792</v>
      </c>
      <c r="G27" s="82">
        <v>4133634.64</v>
      </c>
      <c r="H27" s="130">
        <f t="shared" si="1"/>
        <v>0.41208935623823806</v>
      </c>
      <c r="I27" s="82">
        <v>499588.36</v>
      </c>
      <c r="J27" s="194">
        <f t="shared" si="2"/>
        <v>4.9804848175095881E-2</v>
      </c>
      <c r="K27" s="394">
        <v>1812935.12</v>
      </c>
      <c r="L27" s="130">
        <v>0.1437044961520797</v>
      </c>
      <c r="M27" s="210">
        <f t="shared" si="3"/>
        <v>1.2800786384457044</v>
      </c>
      <c r="N27" s="394">
        <v>198522.05</v>
      </c>
      <c r="O27" s="130">
        <v>1.5736090528340567E-2</v>
      </c>
      <c r="P27" s="591">
        <f t="shared" si="4"/>
        <v>1.5165383895642828</v>
      </c>
      <c r="Q27" s="59">
        <v>22602</v>
      </c>
    </row>
    <row r="28" spans="1:17" ht="15" customHeight="1" x14ac:dyDescent="0.2">
      <c r="A28" s="70"/>
      <c r="B28" s="70" t="s">
        <v>262</v>
      </c>
      <c r="C28" s="186">
        <v>932269.14</v>
      </c>
      <c r="D28" s="394">
        <v>1127193.1000000001</v>
      </c>
      <c r="E28" s="237">
        <v>670944.06999999995</v>
      </c>
      <c r="F28" s="130">
        <f t="shared" si="5"/>
        <v>0.59523436578878974</v>
      </c>
      <c r="G28" s="82">
        <v>78326.92</v>
      </c>
      <c r="H28" s="130">
        <f t="shared" si="1"/>
        <v>6.9488466528050949E-2</v>
      </c>
      <c r="I28" s="82">
        <v>64114.85</v>
      </c>
      <c r="J28" s="194">
        <f t="shared" si="2"/>
        <v>5.6880094457639953E-2</v>
      </c>
      <c r="K28" s="394">
        <v>58837.65</v>
      </c>
      <c r="L28" s="130">
        <v>7.2191540001280946E-2</v>
      </c>
      <c r="M28" s="210">
        <f t="shared" si="3"/>
        <v>0.33123807629978419</v>
      </c>
      <c r="N28" s="394">
        <v>17100.59</v>
      </c>
      <c r="O28" s="130">
        <v>2.0981768086089519E-2</v>
      </c>
      <c r="P28" s="443">
        <f t="shared" si="4"/>
        <v>2.7492770717267647</v>
      </c>
      <c r="Q28" s="59">
        <v>22606</v>
      </c>
    </row>
    <row r="29" spans="1:17" ht="15" customHeight="1" x14ac:dyDescent="0.2">
      <c r="A29" s="70"/>
      <c r="B29" s="70" t="s">
        <v>263</v>
      </c>
      <c r="C29" s="186">
        <v>29213929.91</v>
      </c>
      <c r="D29" s="394">
        <v>27747488.960000001</v>
      </c>
      <c r="E29" s="237">
        <v>16498119.859999999</v>
      </c>
      <c r="F29" s="130">
        <f t="shared" si="5"/>
        <v>0.59458064417227896</v>
      </c>
      <c r="G29" s="82">
        <v>9085812.1699999999</v>
      </c>
      <c r="H29" s="130">
        <f t="shared" si="1"/>
        <v>0.3274462847105859</v>
      </c>
      <c r="I29" s="82">
        <v>2677343.8199999998</v>
      </c>
      <c r="J29" s="194">
        <f t="shared" si="2"/>
        <v>9.648958952140077E-2</v>
      </c>
      <c r="K29" s="394">
        <v>8803815.4700000007</v>
      </c>
      <c r="L29" s="130">
        <v>0.41051691427014714</v>
      </c>
      <c r="M29" s="210">
        <f t="shared" si="3"/>
        <v>3.2031191585163876E-2</v>
      </c>
      <c r="N29" s="394">
        <v>1343052.29</v>
      </c>
      <c r="O29" s="130">
        <v>6.2625765348334222E-2</v>
      </c>
      <c r="P29" s="443">
        <f t="shared" si="4"/>
        <v>0.99347697772809695</v>
      </c>
      <c r="Q29" s="59">
        <v>22610</v>
      </c>
    </row>
    <row r="30" spans="1:17" ht="15" customHeight="1" x14ac:dyDescent="0.2">
      <c r="A30" s="72"/>
      <c r="B30" s="72" t="s">
        <v>264</v>
      </c>
      <c r="C30" s="185">
        <v>35032601.990000002</v>
      </c>
      <c r="D30" s="167">
        <v>35146955.060000002</v>
      </c>
      <c r="E30" s="73">
        <v>8637345.0600000005</v>
      </c>
      <c r="F30" s="413">
        <f t="shared" si="5"/>
        <v>0.24574945525878508</v>
      </c>
      <c r="G30" s="62">
        <v>7633441.2600000026</v>
      </c>
      <c r="H30" s="413">
        <f t="shared" si="1"/>
        <v>0.21718641762761004</v>
      </c>
      <c r="I30" s="62">
        <v>374923.77999999997</v>
      </c>
      <c r="J30" s="430">
        <f t="shared" si="2"/>
        <v>1.0667318957217228E-2</v>
      </c>
      <c r="K30" s="583">
        <v>3782994.3</v>
      </c>
      <c r="L30" s="413">
        <v>0.24416208573778436</v>
      </c>
      <c r="M30" s="646">
        <f t="shared" si="3"/>
        <v>1.0178304947485652</v>
      </c>
      <c r="N30" s="583">
        <v>487514.73</v>
      </c>
      <c r="O30" s="413">
        <v>3.1465184418779796E-2</v>
      </c>
      <c r="P30" s="590">
        <f t="shared" si="4"/>
        <v>-0.23094881666447287</v>
      </c>
      <c r="Q30" s="60" t="s">
        <v>265</v>
      </c>
    </row>
    <row r="31" spans="1:17" ht="15" customHeight="1" x14ac:dyDescent="0.2">
      <c r="A31" s="68"/>
      <c r="B31" s="68" t="s">
        <v>266</v>
      </c>
      <c r="C31" s="184">
        <v>14665963.23</v>
      </c>
      <c r="D31" s="188">
        <v>15434062.869999999</v>
      </c>
      <c r="E31" s="71">
        <v>6194049.8399999999</v>
      </c>
      <c r="F31" s="414">
        <f t="shared" si="5"/>
        <v>0.40132335161337851</v>
      </c>
      <c r="G31" s="71">
        <v>6140670.6900000004</v>
      </c>
      <c r="H31" s="130">
        <f t="shared" si="1"/>
        <v>0.39786482287408231</v>
      </c>
      <c r="I31" s="71">
        <v>1864061.17</v>
      </c>
      <c r="J31" s="429">
        <f t="shared" si="2"/>
        <v>0.12077579220072207</v>
      </c>
      <c r="K31" s="582">
        <v>12010697.199999999</v>
      </c>
      <c r="L31" s="415">
        <v>0.99368167573877486</v>
      </c>
      <c r="M31" s="210">
        <f t="shared" si="3"/>
        <v>-0.48873320276528154</v>
      </c>
      <c r="N31" s="582">
        <v>1760647.56</v>
      </c>
      <c r="O31" s="415">
        <v>0.14566375195989334</v>
      </c>
      <c r="P31" s="590">
        <f t="shared" si="4"/>
        <v>5.8736122066360474E-2</v>
      </c>
      <c r="Q31" s="59">
        <v>22700</v>
      </c>
    </row>
    <row r="32" spans="1:17" ht="15" customHeight="1" x14ac:dyDescent="0.2">
      <c r="A32" s="70"/>
      <c r="B32" s="70" t="s">
        <v>267</v>
      </c>
      <c r="C32" s="184">
        <v>8752849.1600000001</v>
      </c>
      <c r="D32" s="188">
        <v>9762458.2799999993</v>
      </c>
      <c r="E32" s="71">
        <v>4194760.28</v>
      </c>
      <c r="F32" s="130">
        <f t="shared" si="5"/>
        <v>0.42968278682364835</v>
      </c>
      <c r="G32" s="71">
        <v>2943602.75</v>
      </c>
      <c r="H32" s="130">
        <f t="shared" si="1"/>
        <v>0.30152269700659867</v>
      </c>
      <c r="I32" s="71">
        <v>444662.32</v>
      </c>
      <c r="J32" s="194">
        <f t="shared" si="2"/>
        <v>4.5548191577009234E-2</v>
      </c>
      <c r="K32" s="394">
        <v>2150573.56</v>
      </c>
      <c r="L32" s="130">
        <v>0.489475397348761</v>
      </c>
      <c r="M32" s="210">
        <f t="shared" si="3"/>
        <v>0.36875241319343655</v>
      </c>
      <c r="N32" s="394">
        <v>236675.48</v>
      </c>
      <c r="O32" s="130">
        <v>5.3867873561929562E-2</v>
      </c>
      <c r="P32" s="443">
        <f t="shared" si="4"/>
        <v>0.87878490834792</v>
      </c>
      <c r="Q32" s="59">
        <v>22703</v>
      </c>
    </row>
    <row r="33" spans="1:17" ht="15" customHeight="1" x14ac:dyDescent="0.2">
      <c r="A33" s="70"/>
      <c r="B33" s="70" t="s">
        <v>268</v>
      </c>
      <c r="C33" s="184">
        <v>2836163.11</v>
      </c>
      <c r="D33" s="188">
        <v>3263214.98</v>
      </c>
      <c r="E33" s="71">
        <v>1302031.8600000001</v>
      </c>
      <c r="F33" s="130">
        <f t="shared" si="5"/>
        <v>0.39900278344517776</v>
      </c>
      <c r="G33" s="684">
        <v>1092969.3599999999</v>
      </c>
      <c r="H33" s="130">
        <f t="shared" si="1"/>
        <v>0.3349363638922741</v>
      </c>
      <c r="I33" s="71">
        <v>151309.53999999998</v>
      </c>
      <c r="J33" s="194">
        <f t="shared" si="2"/>
        <v>4.6368241420612744E-2</v>
      </c>
      <c r="K33" s="394">
        <v>840193.15</v>
      </c>
      <c r="L33" s="130">
        <v>0.38571146974970016</v>
      </c>
      <c r="M33" s="210">
        <f t="shared" si="3"/>
        <v>0.30085488080925193</v>
      </c>
      <c r="N33" s="394">
        <v>158548.26999999999</v>
      </c>
      <c r="O33" s="130">
        <v>7.2785509198655438E-2</v>
      </c>
      <c r="P33" s="443">
        <f t="shared" si="4"/>
        <v>-4.5656316527452612E-2</v>
      </c>
      <c r="Q33" s="59" t="s">
        <v>269</v>
      </c>
    </row>
    <row r="34" spans="1:17" ht="15" customHeight="1" x14ac:dyDescent="0.2">
      <c r="A34" s="70"/>
      <c r="B34" s="70" t="s">
        <v>270</v>
      </c>
      <c r="C34" s="184">
        <v>2915000</v>
      </c>
      <c r="D34" s="188">
        <v>2915000</v>
      </c>
      <c r="E34" s="71">
        <v>918306.16</v>
      </c>
      <c r="F34" s="130">
        <f t="shared" si="5"/>
        <v>0.31502784219554031</v>
      </c>
      <c r="G34" s="71">
        <v>918306.16</v>
      </c>
      <c r="H34" s="130">
        <f t="shared" si="1"/>
        <v>0.31502784219554031</v>
      </c>
      <c r="I34" s="71">
        <v>279893.69</v>
      </c>
      <c r="J34" s="194">
        <f t="shared" si="2"/>
        <v>9.6018418524871349E-2</v>
      </c>
      <c r="K34" s="394">
        <v>351078.54</v>
      </c>
      <c r="L34" s="130">
        <v>9.3996931726907623E-2</v>
      </c>
      <c r="M34" s="210">
        <f t="shared" si="3"/>
        <v>1.615671581635266</v>
      </c>
      <c r="N34" s="394">
        <v>202466.72</v>
      </c>
      <c r="O34" s="130">
        <v>5.4207957161981256E-2</v>
      </c>
      <c r="P34" s="443">
        <f t="shared" si="4"/>
        <v>0.38241825619538861</v>
      </c>
      <c r="Q34" s="60">
        <v>22708</v>
      </c>
    </row>
    <row r="35" spans="1:17" ht="15" customHeight="1" x14ac:dyDescent="0.2">
      <c r="A35" s="70"/>
      <c r="B35" s="70" t="s">
        <v>271</v>
      </c>
      <c r="C35" s="184">
        <v>16665238.130000001</v>
      </c>
      <c r="D35" s="188">
        <v>17005875.18</v>
      </c>
      <c r="E35" s="71">
        <v>15258171.49</v>
      </c>
      <c r="F35" s="130">
        <f t="shared" si="5"/>
        <v>0.89722941798047473</v>
      </c>
      <c r="G35" s="71">
        <v>15161171.49</v>
      </c>
      <c r="H35" s="130">
        <f t="shared" si="1"/>
        <v>0.8915255068924951</v>
      </c>
      <c r="I35" s="71">
        <v>1375917.61</v>
      </c>
      <c r="J35" s="194">
        <f t="shared" si="2"/>
        <v>8.0908368163149141E-2</v>
      </c>
      <c r="K35" s="394">
        <v>14995056.82</v>
      </c>
      <c r="L35" s="130">
        <v>0.94524459009999373</v>
      </c>
      <c r="M35" s="210">
        <f t="shared" si="3"/>
        <v>1.1077962024021115E-2</v>
      </c>
      <c r="N35" s="394">
        <v>1818277.53</v>
      </c>
      <c r="O35" s="130">
        <v>0.11461890536089873</v>
      </c>
      <c r="P35" s="443">
        <f t="shared" si="4"/>
        <v>-0.24328514910482335</v>
      </c>
      <c r="Q35" s="59">
        <v>22712</v>
      </c>
    </row>
    <row r="36" spans="1:17" ht="15" customHeight="1" x14ac:dyDescent="0.2">
      <c r="A36" s="70"/>
      <c r="B36" s="70" t="s">
        <v>272</v>
      </c>
      <c r="C36" s="184">
        <v>12939002.66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932786.76</v>
      </c>
      <c r="J36" s="194">
        <f t="shared" si="2"/>
        <v>7.2091086501098217E-2</v>
      </c>
      <c r="K36" s="394">
        <v>12939002.66</v>
      </c>
      <c r="L36" s="130">
        <v>1</v>
      </c>
      <c r="M36" s="210">
        <f t="shared" si="3"/>
        <v>0</v>
      </c>
      <c r="N36" s="394">
        <v>1012521.86</v>
      </c>
      <c r="O36" s="130">
        <v>7.8253470271718764E-2</v>
      </c>
      <c r="P36" s="443">
        <f t="shared" si="4"/>
        <v>-7.8749015848408432E-2</v>
      </c>
      <c r="Q36" s="59">
        <v>22714</v>
      </c>
    </row>
    <row r="37" spans="1:17" ht="15" customHeight="1" x14ac:dyDescent="0.2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690217.18</v>
      </c>
      <c r="J37" s="194">
        <f t="shared" si="2"/>
        <v>0.13143283368105899</v>
      </c>
      <c r="K37" s="394">
        <v>3500988.09</v>
      </c>
      <c r="L37" s="130">
        <v>1</v>
      </c>
      <c r="M37" s="210">
        <f t="shared" si="3"/>
        <v>0.50000000428450497</v>
      </c>
      <c r="N37" s="394">
        <v>0</v>
      </c>
      <c r="O37" s="130">
        <v>0</v>
      </c>
      <c r="P37" s="443" t="s">
        <v>129</v>
      </c>
      <c r="Q37" s="59">
        <v>22715</v>
      </c>
    </row>
    <row r="38" spans="1:17" ht="15" customHeight="1" x14ac:dyDescent="0.2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740434.36</v>
      </c>
      <c r="J38" s="194">
        <f t="shared" si="2"/>
        <v>4.8712786842105261E-2</v>
      </c>
      <c r="K38" s="394">
        <v>9094141.8000000007</v>
      </c>
      <c r="L38" s="130">
        <v>0.6760478733272024</v>
      </c>
      <c r="M38" s="210">
        <f t="shared" si="3"/>
        <v>0.67140565149314013</v>
      </c>
      <c r="N38" s="394">
        <v>913251.4</v>
      </c>
      <c r="O38" s="130">
        <v>6.7890041783061947E-2</v>
      </c>
      <c r="P38" s="443">
        <f t="shared" si="4"/>
        <v>-0.18923271292001309</v>
      </c>
      <c r="Q38" s="59">
        <v>22716</v>
      </c>
    </row>
    <row r="39" spans="1:17" ht="15" customHeight="1" x14ac:dyDescent="0.2">
      <c r="A39" s="70"/>
      <c r="B39" s="70" t="s">
        <v>454</v>
      </c>
      <c r="C39" s="184">
        <v>315810.43</v>
      </c>
      <c r="D39" s="188">
        <v>315810.43</v>
      </c>
      <c r="E39" s="71">
        <v>270810.43</v>
      </c>
      <c r="F39" s="130">
        <f t="shared" si="5"/>
        <v>0.85750945590999006</v>
      </c>
      <c r="G39" s="71">
        <v>270810.43</v>
      </c>
      <c r="H39" s="130">
        <f t="shared" si="1"/>
        <v>0.85750945590999006</v>
      </c>
      <c r="I39" s="71">
        <v>28554.38</v>
      </c>
      <c r="J39" s="194">
        <f t="shared" si="2"/>
        <v>9.041620316339774E-2</v>
      </c>
      <c r="K39" s="394">
        <v>107764.5</v>
      </c>
      <c r="L39" s="130">
        <v>0.28566874391693597</v>
      </c>
      <c r="M39" s="210">
        <f t="shared" si="3"/>
        <v>1.5129836820103093</v>
      </c>
      <c r="N39" s="394">
        <v>32220.080000000002</v>
      </c>
      <c r="O39" s="130">
        <v>8.541096355945782E-2</v>
      </c>
      <c r="P39" s="443">
        <f t="shared" si="4"/>
        <v>-0.11377066723608387</v>
      </c>
      <c r="Q39" s="59" t="s">
        <v>455</v>
      </c>
    </row>
    <row r="40" spans="1:17" ht="15" customHeight="1" x14ac:dyDescent="0.2">
      <c r="A40" s="70"/>
      <c r="B40" s="70" t="s">
        <v>456</v>
      </c>
      <c r="C40" s="184">
        <v>190000.38</v>
      </c>
      <c r="D40" s="188">
        <v>637106.1</v>
      </c>
      <c r="E40" s="71">
        <v>569283.26</v>
      </c>
      <c r="F40" s="130">
        <f t="shared" si="5"/>
        <v>0.8935454549877957</v>
      </c>
      <c r="G40" s="71">
        <v>497497.59</v>
      </c>
      <c r="H40" s="130">
        <f t="shared" si="1"/>
        <v>0.78087086279663631</v>
      </c>
      <c r="I40" s="71">
        <v>32758.59</v>
      </c>
      <c r="J40" s="194">
        <f t="shared" si="2"/>
        <v>5.1417793676751804E-2</v>
      </c>
      <c r="K40" s="394">
        <v>110401.5</v>
      </c>
      <c r="L40" s="130">
        <v>0.92000958663630894</v>
      </c>
      <c r="M40" s="210">
        <f t="shared" si="3"/>
        <v>3.5062575236749502</v>
      </c>
      <c r="N40" s="394">
        <v>41557.19</v>
      </c>
      <c r="O40" s="130">
        <v>0.34630882002206992</v>
      </c>
      <c r="P40" s="443">
        <f t="shared" si="4"/>
        <v>-0.21172268866109578</v>
      </c>
      <c r="Q40" s="59" t="s">
        <v>457</v>
      </c>
    </row>
    <row r="41" spans="1:17" ht="15" customHeight="1" x14ac:dyDescent="0.2">
      <c r="A41" s="70"/>
      <c r="B41" s="70" t="s">
        <v>280</v>
      </c>
      <c r="C41" s="184">
        <v>73039557.629999995</v>
      </c>
      <c r="D41" s="188">
        <v>76440815.590000004</v>
      </c>
      <c r="E41" s="71">
        <v>53477229.700000003</v>
      </c>
      <c r="F41" s="130">
        <f t="shared" ref="F41:F55" si="7">+E41/D41</f>
        <v>0.69958999373884101</v>
      </c>
      <c r="G41" s="71">
        <v>48317445.619999997</v>
      </c>
      <c r="H41" s="130">
        <f t="shared" ref="H41:H55" si="8">+G41/D41</f>
        <v>0.63208961399832175</v>
      </c>
      <c r="I41" s="71">
        <v>7178632.9800000004</v>
      </c>
      <c r="J41" s="194">
        <f t="shared" ref="J41:J55" si="9">I41/D41</f>
        <v>9.3910994075514675E-2</v>
      </c>
      <c r="K41" s="394">
        <v>44427413.689999998</v>
      </c>
      <c r="L41" s="130">
        <v>0.76991822945795063</v>
      </c>
      <c r="M41" s="210">
        <f t="shared" si="3"/>
        <v>8.7559270434767411E-2</v>
      </c>
      <c r="N41" s="394">
        <v>6772749.7000000002</v>
      </c>
      <c r="O41" s="130">
        <v>0.11737040319228781</v>
      </c>
      <c r="P41" s="443">
        <f t="shared" si="4"/>
        <v>5.992887645028433E-2</v>
      </c>
      <c r="Q41" s="59">
        <v>22719</v>
      </c>
    </row>
    <row r="42" spans="1:17" ht="15" customHeight="1" x14ac:dyDescent="0.2">
      <c r="A42" s="70"/>
      <c r="B42" s="70" t="s">
        <v>275</v>
      </c>
      <c r="C42" s="184">
        <v>1620000</v>
      </c>
      <c r="D42" s="188">
        <v>1620000</v>
      </c>
      <c r="E42" s="71">
        <v>1620000</v>
      </c>
      <c r="F42" s="130">
        <f t="shared" si="7"/>
        <v>1</v>
      </c>
      <c r="G42" s="71">
        <v>1620000</v>
      </c>
      <c r="H42" s="130">
        <f t="shared" si="8"/>
        <v>1</v>
      </c>
      <c r="I42" s="71">
        <v>320000.49</v>
      </c>
      <c r="J42" s="194">
        <f t="shared" si="9"/>
        <v>0.19753116666666667</v>
      </c>
      <c r="K42" s="394">
        <v>1640000</v>
      </c>
      <c r="L42" s="130">
        <v>1</v>
      </c>
      <c r="M42" s="210">
        <f t="shared" si="3"/>
        <v>-1.2195121951219523E-2</v>
      </c>
      <c r="N42" s="394">
        <v>250534.99</v>
      </c>
      <c r="O42" s="130">
        <v>0.15276523780487805</v>
      </c>
      <c r="P42" s="443">
        <f t="shared" si="4"/>
        <v>0.27726865616654983</v>
      </c>
      <c r="Q42" s="59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767</v>
      </c>
      <c r="D44" s="742" t="s">
        <v>781</v>
      </c>
      <c r="E44" s="740"/>
      <c r="F44" s="740"/>
      <c r="G44" s="740"/>
      <c r="H44" s="740"/>
      <c r="I44" s="740"/>
      <c r="J44" s="741"/>
      <c r="K44" s="748" t="s">
        <v>782</v>
      </c>
      <c r="L44" s="749"/>
      <c r="M44" s="749"/>
      <c r="N44" s="749"/>
      <c r="O44" s="749"/>
      <c r="P44" s="750"/>
    </row>
    <row r="45" spans="1:17" x14ac:dyDescent="0.2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545</v>
      </c>
      <c r="L45" s="88" t="s">
        <v>546</v>
      </c>
      <c r="M45" s="149" t="s">
        <v>547</v>
      </c>
      <c r="N45" s="87" t="s">
        <v>39</v>
      </c>
      <c r="O45" s="88" t="s">
        <v>40</v>
      </c>
      <c r="P45" s="149" t="s">
        <v>362</v>
      </c>
    </row>
    <row r="46" spans="1:17" ht="25.5" x14ac:dyDescent="0.2">
      <c r="A46" s="681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7" t="s">
        <v>766</v>
      </c>
      <c r="N46" s="564" t="s">
        <v>17</v>
      </c>
      <c r="O46" s="89" t="s">
        <v>18</v>
      </c>
      <c r="P46" s="587" t="s">
        <v>766</v>
      </c>
      <c r="Q46" s="58" t="s">
        <v>163</v>
      </c>
    </row>
    <row r="47" spans="1:17" ht="15" customHeight="1" x14ac:dyDescent="0.2">
      <c r="A47" s="81"/>
      <c r="B47" s="699" t="s">
        <v>277</v>
      </c>
      <c r="C47" s="186">
        <v>2113545.42</v>
      </c>
      <c r="D47" s="190">
        <v>2048586.57</v>
      </c>
      <c r="E47" s="82">
        <v>1173809.3</v>
      </c>
      <c r="F47" s="414">
        <f t="shared" si="7"/>
        <v>0.5729849629932896</v>
      </c>
      <c r="G47" s="82">
        <v>1173809.3</v>
      </c>
      <c r="H47" s="414">
        <f t="shared" si="8"/>
        <v>0.5729849629932896</v>
      </c>
      <c r="I47" s="82">
        <v>153840.01999999999</v>
      </c>
      <c r="J47" s="431">
        <f t="shared" si="9"/>
        <v>7.5095689024262224E-2</v>
      </c>
      <c r="K47" s="584">
        <v>1288895.3999999999</v>
      </c>
      <c r="L47" s="414">
        <v>0.68207518949814028</v>
      </c>
      <c r="M47" s="210">
        <f t="shared" si="3"/>
        <v>-8.9290488584255812E-2</v>
      </c>
      <c r="N47" s="584">
        <v>186284.35</v>
      </c>
      <c r="O47" s="414">
        <v>9.8580484752127995E-2</v>
      </c>
      <c r="P47" s="591">
        <f t="shared" si="4"/>
        <v>-0.17416562368229005</v>
      </c>
      <c r="Q47" s="59">
        <v>22721</v>
      </c>
    </row>
    <row r="48" spans="1:17" ht="15" customHeight="1" x14ac:dyDescent="0.2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31247.279999999999</v>
      </c>
      <c r="J48" s="194">
        <f t="shared" si="9"/>
        <v>1.1561774623962543E-2</v>
      </c>
      <c r="K48" s="394">
        <v>2672486.9900000002</v>
      </c>
      <c r="L48" s="130">
        <v>1</v>
      </c>
      <c r="M48" s="210">
        <f t="shared" si="3"/>
        <v>9.0016078993147008E-3</v>
      </c>
      <c r="N48" s="394">
        <v>237840.58</v>
      </c>
      <c r="O48" s="130">
        <v>8.8995972998169762E-2</v>
      </c>
      <c r="P48" s="591">
        <f t="shared" si="4"/>
        <v>-0.86862090565033101</v>
      </c>
      <c r="Q48" s="59">
        <v>22723</v>
      </c>
    </row>
    <row r="49" spans="1:17" ht="15" customHeight="1" x14ac:dyDescent="0.2">
      <c r="A49" s="70"/>
      <c r="B49" s="70" t="s">
        <v>279</v>
      </c>
      <c r="C49" s="184">
        <v>8277660.2699999996</v>
      </c>
      <c r="D49" s="188">
        <v>8277660.2699999996</v>
      </c>
      <c r="E49" s="71">
        <v>7126421.71</v>
      </c>
      <c r="F49" s="130">
        <f t="shared" si="7"/>
        <v>0.86092222651703487</v>
      </c>
      <c r="G49" s="71">
        <v>7126421.71</v>
      </c>
      <c r="H49" s="130">
        <f t="shared" si="8"/>
        <v>0.86092222651703487</v>
      </c>
      <c r="I49" s="71">
        <v>785557.16</v>
      </c>
      <c r="J49" s="194">
        <f t="shared" si="9"/>
        <v>9.4900869856549455E-2</v>
      </c>
      <c r="K49" s="394">
        <v>6995670.5499999998</v>
      </c>
      <c r="L49" s="130">
        <v>0.77756391256149238</v>
      </c>
      <c r="M49" s="210">
        <f t="shared" si="3"/>
        <v>1.86902969580236E-2</v>
      </c>
      <c r="N49" s="394">
        <v>131485.09</v>
      </c>
      <c r="O49" s="130">
        <v>1.4614476238292833E-2</v>
      </c>
      <c r="P49" s="591">
        <f t="shared" si="4"/>
        <v>4.974496119674102</v>
      </c>
      <c r="Q49" s="59">
        <v>22724</v>
      </c>
    </row>
    <row r="50" spans="1:17" ht="15" customHeight="1" x14ac:dyDescent="0.2">
      <c r="A50" s="70"/>
      <c r="B50" s="70" t="s">
        <v>459</v>
      </c>
      <c r="C50" s="184">
        <v>205380.83</v>
      </c>
      <c r="D50" s="188">
        <v>315380.83</v>
      </c>
      <c r="E50" s="71">
        <v>160000</v>
      </c>
      <c r="F50" s="130">
        <f t="shared" si="7"/>
        <v>0.50732316228605268</v>
      </c>
      <c r="G50" s="71">
        <v>0</v>
      </c>
      <c r="H50" s="130">
        <f t="shared" si="8"/>
        <v>0</v>
      </c>
      <c r="I50" s="71">
        <v>0</v>
      </c>
      <c r="J50" s="194">
        <f t="shared" si="9"/>
        <v>0</v>
      </c>
      <c r="K50" s="394">
        <v>23157.46</v>
      </c>
      <c r="L50" s="130">
        <v>0.44699627442945261</v>
      </c>
      <c r="M50" s="210">
        <f t="shared" si="3"/>
        <v>-1</v>
      </c>
      <c r="N50" s="394">
        <v>23157.46</v>
      </c>
      <c r="O50" s="130">
        <v>0.44699627442945261</v>
      </c>
      <c r="P50" s="591">
        <f t="shared" si="4"/>
        <v>-1</v>
      </c>
      <c r="Q50" s="59" t="s">
        <v>458</v>
      </c>
    </row>
    <row r="51" spans="1:17" ht="15" customHeight="1" x14ac:dyDescent="0.2">
      <c r="A51" s="70"/>
      <c r="B51" s="70" t="s">
        <v>460</v>
      </c>
      <c r="C51" s="184"/>
      <c r="D51" s="188"/>
      <c r="E51" s="71"/>
      <c r="F51" s="130" t="s">
        <v>129</v>
      </c>
      <c r="G51" s="71"/>
      <c r="H51" s="130"/>
      <c r="I51" s="71"/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91" t="s">
        <v>129</v>
      </c>
      <c r="Q51" s="59" t="s">
        <v>461</v>
      </c>
    </row>
    <row r="52" spans="1:17" ht="15" customHeight="1" x14ac:dyDescent="0.2">
      <c r="A52" s="70"/>
      <c r="B52" s="70" t="s">
        <v>281</v>
      </c>
      <c r="C52" s="184">
        <v>263731432.25999999</v>
      </c>
      <c r="D52" s="188">
        <v>263633125.25999999</v>
      </c>
      <c r="E52" s="71">
        <v>256561922.77000001</v>
      </c>
      <c r="F52" s="130">
        <f t="shared" si="7"/>
        <v>0.97317786798215811</v>
      </c>
      <c r="G52" s="71">
        <v>256561922.77000001</v>
      </c>
      <c r="H52" s="130">
        <f t="shared" si="8"/>
        <v>0.97317786798215811</v>
      </c>
      <c r="I52" s="71">
        <v>19374923.07</v>
      </c>
      <c r="J52" s="194">
        <f t="shared" si="9"/>
        <v>7.3491990245505318E-2</v>
      </c>
      <c r="K52" s="394">
        <v>256436783.59999999</v>
      </c>
      <c r="L52" s="130">
        <v>1</v>
      </c>
      <c r="M52" s="210">
        <f t="shared" si="3"/>
        <v>4.8799227725160321E-4</v>
      </c>
      <c r="N52" s="394">
        <v>21374069.120000001</v>
      </c>
      <c r="O52" s="130">
        <v>8.3350246481565998E-2</v>
      </c>
      <c r="P52" s="591">
        <f t="shared" si="4"/>
        <v>-9.3531373870657797E-2</v>
      </c>
      <c r="Q52" s="59">
        <v>22727</v>
      </c>
    </row>
    <row r="53" spans="1:17" ht="15" customHeight="1" x14ac:dyDescent="0.2">
      <c r="A53" s="70"/>
      <c r="B53" s="70" t="s">
        <v>278</v>
      </c>
      <c r="C53" s="184">
        <v>2408945.5</v>
      </c>
      <c r="D53" s="188">
        <v>2284341.33</v>
      </c>
      <c r="E53" s="71">
        <v>2253200.09</v>
      </c>
      <c r="F53" s="130">
        <f t="shared" si="7"/>
        <v>0.98636751890314034</v>
      </c>
      <c r="G53" s="71">
        <v>2253200.09</v>
      </c>
      <c r="H53" s="130">
        <f t="shared" si="8"/>
        <v>0.98636751890314034</v>
      </c>
      <c r="I53" s="71">
        <v>118204.61</v>
      </c>
      <c r="J53" s="194">
        <f t="shared" si="9"/>
        <v>5.1745598806812287E-2</v>
      </c>
      <c r="K53" s="394">
        <v>643091.97</v>
      </c>
      <c r="L53" s="130">
        <v>0.34807547634921282</v>
      </c>
      <c r="M53" s="210">
        <f t="shared" si="3"/>
        <v>2.5036980635911221</v>
      </c>
      <c r="N53" s="394">
        <v>77111.960000000006</v>
      </c>
      <c r="O53" s="130">
        <v>4.1737081881494255E-2</v>
      </c>
      <c r="P53" s="591">
        <f t="shared" si="4"/>
        <v>0.53289593469028662</v>
      </c>
      <c r="Q53" s="59">
        <v>22729</v>
      </c>
    </row>
    <row r="54" spans="1:17" ht="15" customHeight="1" x14ac:dyDescent="0.2">
      <c r="A54" s="70"/>
      <c r="B54" s="70" t="s">
        <v>283</v>
      </c>
      <c r="C54" s="184">
        <v>51417192.420000002</v>
      </c>
      <c r="D54" s="188">
        <v>51079739.159999996</v>
      </c>
      <c r="E54" s="71">
        <v>46195460.899999999</v>
      </c>
      <c r="F54" s="130">
        <f t="shared" si="7"/>
        <v>0.90437934217516869</v>
      </c>
      <c r="G54" s="71">
        <v>45578023.119999997</v>
      </c>
      <c r="H54" s="130">
        <f t="shared" si="8"/>
        <v>0.89229161835054294</v>
      </c>
      <c r="I54" s="71">
        <v>6393620.79</v>
      </c>
      <c r="J54" s="194">
        <f t="shared" si="9"/>
        <v>0.12516940953776007</v>
      </c>
      <c r="K54" s="394">
        <v>38398508.359999999</v>
      </c>
      <c r="L54" s="130">
        <v>0.78990586735474688</v>
      </c>
      <c r="M54" s="210">
        <f t="shared" si="3"/>
        <v>0.18697379316637597</v>
      </c>
      <c r="N54" s="394">
        <v>6258400.3700000001</v>
      </c>
      <c r="O54" s="130">
        <v>0.12874320862077673</v>
      </c>
      <c r="P54" s="591">
        <f t="shared" si="4"/>
        <v>2.1606227151619528E-2</v>
      </c>
      <c r="Q54" s="59">
        <v>22731</v>
      </c>
    </row>
    <row r="55" spans="1:17" ht="15" customHeight="1" x14ac:dyDescent="0.2">
      <c r="A55" s="70"/>
      <c r="B55" s="70" t="s">
        <v>282</v>
      </c>
      <c r="C55" s="184">
        <v>4368274.93</v>
      </c>
      <c r="D55" s="188">
        <v>4310478.83</v>
      </c>
      <c r="E55" s="71">
        <v>4265884.72</v>
      </c>
      <c r="F55" s="130">
        <f t="shared" si="7"/>
        <v>0.98965448810706713</v>
      </c>
      <c r="G55" s="71">
        <v>4265884.72</v>
      </c>
      <c r="H55" s="130">
        <f t="shared" si="8"/>
        <v>0.98965448810706713</v>
      </c>
      <c r="I55" s="71">
        <v>265302.24</v>
      </c>
      <c r="J55" s="194">
        <f t="shared" si="9"/>
        <v>6.1548206234897568E-2</v>
      </c>
      <c r="K55" s="394">
        <v>2726070.64</v>
      </c>
      <c r="L55" s="130">
        <v>0.62127473347195528</v>
      </c>
      <c r="M55" s="210">
        <f t="shared" si="3"/>
        <v>0.56484746117950912</v>
      </c>
      <c r="N55" s="394">
        <v>656731.14</v>
      </c>
      <c r="O55" s="130">
        <v>0.14966980604957228</v>
      </c>
      <c r="P55" s="591">
        <f t="shared" si="4"/>
        <v>-0.5960260998130833</v>
      </c>
      <c r="Q55" s="59">
        <v>22732</v>
      </c>
    </row>
    <row r="56" spans="1:17" ht="15" customHeight="1" x14ac:dyDescent="0.2">
      <c r="A56" s="72"/>
      <c r="B56" s="72" t="s">
        <v>284</v>
      </c>
      <c r="C56" s="185">
        <v>6556162.8600000003</v>
      </c>
      <c r="D56" s="189">
        <v>8898422.3100000005</v>
      </c>
      <c r="E56" s="73">
        <v>5711116.2200000007</v>
      </c>
      <c r="F56" s="413">
        <f t="shared" si="5"/>
        <v>0.64181222480100519</v>
      </c>
      <c r="G56" s="73">
        <v>3402169.4</v>
      </c>
      <c r="H56" s="413">
        <f t="shared" si="1"/>
        <v>0.38233400050890592</v>
      </c>
      <c r="I56" s="73">
        <v>889030.32999999984</v>
      </c>
      <c r="J56" s="430">
        <f t="shared" si="2"/>
        <v>9.990875899437951E-2</v>
      </c>
      <c r="K56" s="583">
        <v>3144168.19</v>
      </c>
      <c r="L56" s="130">
        <v>0.74048426408623647</v>
      </c>
      <c r="M56" s="645">
        <f t="shared" si="3"/>
        <v>8.2057063874817704E-2</v>
      </c>
      <c r="N56" s="583">
        <v>417694.8</v>
      </c>
      <c r="O56" s="130">
        <v>9.8371463579576421E-2</v>
      </c>
      <c r="P56" s="591">
        <f t="shared" si="4"/>
        <v>1.1284208709325561</v>
      </c>
      <c r="Q56" s="60" t="s">
        <v>285</v>
      </c>
    </row>
    <row r="57" spans="1:17" ht="15" customHeight="1" x14ac:dyDescent="0.2">
      <c r="A57" s="68"/>
      <c r="B57" s="68" t="s">
        <v>286</v>
      </c>
      <c r="C57" s="184">
        <v>1927031.01</v>
      </c>
      <c r="D57" s="188">
        <v>1888331.94</v>
      </c>
      <c r="E57" s="71">
        <v>1019620.71</v>
      </c>
      <c r="F57" s="414">
        <f t="shared" si="5"/>
        <v>0.53995840900726388</v>
      </c>
      <c r="G57" s="472">
        <v>127448.5</v>
      </c>
      <c r="H57" s="414">
        <f t="shared" si="1"/>
        <v>6.7492635855113489E-2</v>
      </c>
      <c r="I57" s="71">
        <v>127448.5</v>
      </c>
      <c r="J57" s="431">
        <f t="shared" si="2"/>
        <v>6.7492635855113489E-2</v>
      </c>
      <c r="K57" s="584">
        <v>271762.96000000002</v>
      </c>
      <c r="L57" s="415">
        <v>0.14984092917743289</v>
      </c>
      <c r="M57" s="210">
        <f t="shared" si="3"/>
        <v>-0.53103064523583354</v>
      </c>
      <c r="N57" s="584">
        <v>271762.96000000002</v>
      </c>
      <c r="O57" s="415">
        <v>0.14984092917743289</v>
      </c>
      <c r="P57" s="591">
        <f t="shared" si="4"/>
        <v>-0.53103064523583354</v>
      </c>
      <c r="Q57" s="59">
        <v>230</v>
      </c>
    </row>
    <row r="58" spans="1:17" ht="15" customHeight="1" x14ac:dyDescent="0.2">
      <c r="A58" s="70"/>
      <c r="B58" s="70" t="s">
        <v>287</v>
      </c>
      <c r="C58" s="184">
        <v>823281.89</v>
      </c>
      <c r="D58" s="188">
        <v>977337.98</v>
      </c>
      <c r="E58" s="71">
        <v>355708.46</v>
      </c>
      <c r="F58" s="130">
        <f t="shared" si="5"/>
        <v>0.36395644831074714</v>
      </c>
      <c r="G58" s="473">
        <v>212735.29</v>
      </c>
      <c r="H58" s="130">
        <f t="shared" si="1"/>
        <v>0.21766808857668665</v>
      </c>
      <c r="I58" s="71">
        <v>122249.99</v>
      </c>
      <c r="J58" s="194">
        <f t="shared" si="2"/>
        <v>0.12508466109134531</v>
      </c>
      <c r="K58" s="394">
        <v>213524.38</v>
      </c>
      <c r="L58" s="130">
        <v>0.17191982111301179</v>
      </c>
      <c r="M58" s="210">
        <f t="shared" si="3"/>
        <v>-3.6955498945834275E-3</v>
      </c>
      <c r="N58" s="394">
        <v>154261.18</v>
      </c>
      <c r="O58" s="130">
        <v>0.12420387063192555</v>
      </c>
      <c r="P58" s="591">
        <f t="shared" si="4"/>
        <v>-0.2075129335844571</v>
      </c>
      <c r="Q58" s="59">
        <v>231</v>
      </c>
    </row>
    <row r="59" spans="1:17" ht="15" customHeight="1" x14ac:dyDescent="0.2">
      <c r="A59" s="72"/>
      <c r="B59" s="72" t="s">
        <v>288</v>
      </c>
      <c r="C59" s="185">
        <v>319336.93</v>
      </c>
      <c r="D59" s="189">
        <v>334150.93</v>
      </c>
      <c r="E59" s="73">
        <v>240000</v>
      </c>
      <c r="F59" s="413">
        <f t="shared" si="5"/>
        <v>0.71823831225009616</v>
      </c>
      <c r="G59" s="474">
        <v>31556.5</v>
      </c>
      <c r="H59" s="413">
        <f>+G59/D59</f>
        <v>9.4437863752167325E-2</v>
      </c>
      <c r="I59" s="73">
        <v>31556.5</v>
      </c>
      <c r="J59" s="430">
        <f t="shared" si="2"/>
        <v>9.4437863752167325E-2</v>
      </c>
      <c r="K59" s="583">
        <v>43581.45</v>
      </c>
      <c r="L59" s="130">
        <v>0.12722840820661904</v>
      </c>
      <c r="M59" s="646">
        <f t="shared" si="3"/>
        <v>-0.27591899764693462</v>
      </c>
      <c r="N59" s="583">
        <v>43581.45</v>
      </c>
      <c r="O59" s="130">
        <v>0.12722840820661904</v>
      </c>
      <c r="P59" s="591">
        <f t="shared" si="4"/>
        <v>-0.27591899764693462</v>
      </c>
      <c r="Q59" s="59">
        <v>233</v>
      </c>
    </row>
    <row r="60" spans="1:17" ht="15" customHeight="1" x14ac:dyDescent="0.2">
      <c r="A60" s="55"/>
      <c r="B60" s="55" t="s">
        <v>289</v>
      </c>
      <c r="C60" s="176"/>
      <c r="D60" s="562"/>
      <c r="E60" s="56"/>
      <c r="F60" s="243" t="s">
        <v>129</v>
      </c>
      <c r="G60" s="56"/>
      <c r="H60" s="78" t="s">
        <v>129</v>
      </c>
      <c r="I60" s="56"/>
      <c r="J60" s="172" t="s">
        <v>129</v>
      </c>
      <c r="K60" s="580">
        <v>0</v>
      </c>
      <c r="L60" s="586" t="s">
        <v>129</v>
      </c>
      <c r="M60" s="245" t="s">
        <v>129</v>
      </c>
      <c r="N60" s="580">
        <v>0</v>
      </c>
      <c r="O60" s="586" t="s">
        <v>129</v>
      </c>
      <c r="P60" s="245" t="s">
        <v>129</v>
      </c>
      <c r="Q60" s="59" t="s">
        <v>540</v>
      </c>
    </row>
    <row r="61" spans="1:17" ht="15" customHeight="1" x14ac:dyDescent="0.2">
      <c r="A61" s="527"/>
      <c r="B61" s="83" t="s">
        <v>240</v>
      </c>
      <c r="C61" s="162">
        <f>SUM(C12:C42,C47:C60)</f>
        <v>665063202.92999983</v>
      </c>
      <c r="D61" s="152">
        <f>SUM(D12:D42,D47:D60)</f>
        <v>671563363.53999996</v>
      </c>
      <c r="E61" s="84">
        <f>SUM(E12:E42,E47:E60)</f>
        <v>540114097.35000002</v>
      </c>
      <c r="F61" s="90">
        <f>+E61/D61</f>
        <v>0.80426379203133747</v>
      </c>
      <c r="G61" s="84">
        <f>SUM(G12:G42,G47:G60)</f>
        <v>512407145.60000002</v>
      </c>
      <c r="H61" s="90">
        <f t="shared" si="1"/>
        <v>0.76300640180690826</v>
      </c>
      <c r="I61" s="84">
        <f>SUM(I12:I42,I47:I60)</f>
        <v>59320776.119999997</v>
      </c>
      <c r="J61" s="170">
        <f t="shared" si="2"/>
        <v>8.8332359000799943E-2</v>
      </c>
      <c r="K61" s="152">
        <f>SUM(K12:K42,K47:K60)</f>
        <v>498259714.06000006</v>
      </c>
      <c r="L61" s="90">
        <v>0.82695212337742507</v>
      </c>
      <c r="M61" s="629">
        <f t="shared" si="3"/>
        <v>2.8393689356744467E-2</v>
      </c>
      <c r="N61" s="568">
        <f>SUM(N12:N42,N47:N60)</f>
        <v>55176732.129999995</v>
      </c>
      <c r="O61" s="90"/>
      <c r="P61" s="213">
        <f>+I61/N61-1</f>
        <v>7.5104918867546555E-2</v>
      </c>
    </row>
    <row r="62" spans="1:17" ht="15" customHeight="1" x14ac:dyDescent="0.2">
      <c r="A62" s="81"/>
      <c r="B62" s="81" t="s">
        <v>346</v>
      </c>
      <c r="C62" s="186">
        <v>21570000</v>
      </c>
      <c r="D62" s="190">
        <v>21570000</v>
      </c>
      <c r="E62" s="82">
        <v>3013335.35</v>
      </c>
      <c r="F62" s="414">
        <f>+E62/D62</f>
        <v>0.13970029439035697</v>
      </c>
      <c r="G62" s="82">
        <v>3013335.35</v>
      </c>
      <c r="H62" s="414">
        <f t="shared" si="1"/>
        <v>0.13970029439035697</v>
      </c>
      <c r="I62" s="82">
        <v>3013335.35</v>
      </c>
      <c r="J62" s="431">
        <f t="shared" si="2"/>
        <v>0.13970029439035697</v>
      </c>
      <c r="K62" s="584">
        <v>4738152.82</v>
      </c>
      <c r="L62" s="414">
        <v>0.14175073371596347</v>
      </c>
      <c r="M62" s="591">
        <f t="shared" si="3"/>
        <v>-0.3640274038269623</v>
      </c>
      <c r="N62" s="584">
        <v>4738152.82</v>
      </c>
      <c r="O62" s="414">
        <v>0.14175073371596347</v>
      </c>
      <c r="P62" s="591">
        <f>+I62/N62-1</f>
        <v>-0.3640274038269623</v>
      </c>
      <c r="Q62" s="59" t="s">
        <v>348</v>
      </c>
    </row>
    <row r="63" spans="1:17" ht="15" customHeight="1" x14ac:dyDescent="0.2">
      <c r="A63" s="70"/>
      <c r="B63" s="70" t="s">
        <v>347</v>
      </c>
      <c r="C63" s="184">
        <v>280000</v>
      </c>
      <c r="D63" s="188">
        <v>280000</v>
      </c>
      <c r="E63" s="71">
        <v>1145.3399999999999</v>
      </c>
      <c r="F63" s="130">
        <f>+E63/D63</f>
        <v>4.0904999999999995E-3</v>
      </c>
      <c r="G63" s="71">
        <v>1145.3399999999999</v>
      </c>
      <c r="H63" s="130">
        <f t="shared" si="1"/>
        <v>4.0904999999999995E-3</v>
      </c>
      <c r="I63" s="71">
        <v>1145.3399999999999</v>
      </c>
      <c r="J63" s="194">
        <f t="shared" si="2"/>
        <v>4.0904999999999995E-3</v>
      </c>
      <c r="K63" s="394">
        <v>1002.38</v>
      </c>
      <c r="L63" s="130">
        <v>9.7148386935828239E-4</v>
      </c>
      <c r="M63" s="591">
        <f t="shared" si="3"/>
        <v>0.14262056305991733</v>
      </c>
      <c r="N63" s="394">
        <v>1002.38</v>
      </c>
      <c r="O63" s="130">
        <v>9.7148386935828239E-4</v>
      </c>
      <c r="P63" s="591">
        <f t="shared" ref="P63" si="10">+I63/N63-1</f>
        <v>0.14262056305991733</v>
      </c>
      <c r="Q63" s="59" t="s">
        <v>349</v>
      </c>
    </row>
    <row r="64" spans="1:17" ht="15" customHeight="1" x14ac:dyDescent="0.2">
      <c r="A64" s="79"/>
      <c r="B64" s="550" t="s">
        <v>183</v>
      </c>
      <c r="C64" s="395">
        <v>250000</v>
      </c>
      <c r="D64" s="191">
        <v>250000</v>
      </c>
      <c r="E64" s="80">
        <v>3998.44</v>
      </c>
      <c r="F64" s="243">
        <f>+E64/D64</f>
        <v>1.5993759999999999E-2</v>
      </c>
      <c r="G64" s="80">
        <v>3998.44</v>
      </c>
      <c r="H64" s="243">
        <f t="shared" si="1"/>
        <v>1.5993759999999999E-2</v>
      </c>
      <c r="I64" s="80">
        <v>3998.44</v>
      </c>
      <c r="J64" s="195">
        <f t="shared" si="2"/>
        <v>1.5993759999999999E-2</v>
      </c>
      <c r="K64" s="585">
        <v>0</v>
      </c>
      <c r="L64" s="243">
        <v>0</v>
      </c>
      <c r="M64" s="245" t="s">
        <v>129</v>
      </c>
      <c r="N64" s="585">
        <v>0</v>
      </c>
      <c r="O64" s="243">
        <v>0</v>
      </c>
      <c r="P64" s="245" t="s">
        <v>129</v>
      </c>
      <c r="Q64" s="59">
        <v>352</v>
      </c>
    </row>
    <row r="65" spans="1:19" ht="15" customHeight="1" thickBot="1" x14ac:dyDescent="0.25">
      <c r="A65" s="527"/>
      <c r="B65" s="518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3018479.13</v>
      </c>
      <c r="F65" s="377">
        <f>+E65/D65</f>
        <v>0.1365827660633484</v>
      </c>
      <c r="G65" s="174">
        <f t="shared" si="11"/>
        <v>3018479.13</v>
      </c>
      <c r="H65" s="377">
        <f t="shared" si="1"/>
        <v>0.1365827660633484</v>
      </c>
      <c r="I65" s="174">
        <f t="shared" si="11"/>
        <v>3018479.13</v>
      </c>
      <c r="J65" s="175">
        <f t="shared" si="2"/>
        <v>0.1365827660633484</v>
      </c>
      <c r="K65" s="608">
        <f t="shared" ref="K65" si="12">SUM(K62:K64)</f>
        <v>4739155.2</v>
      </c>
      <c r="L65" s="377">
        <v>0.13700000000000001</v>
      </c>
      <c r="M65" s="609">
        <f t="shared" si="3"/>
        <v>-0.36307653946424889</v>
      </c>
      <c r="N65" s="608">
        <f t="shared" ref="N65" si="13">SUM(N62:N64)</f>
        <v>4739155.2</v>
      </c>
      <c r="O65" s="377">
        <v>0.13700000000000001</v>
      </c>
      <c r="P65" s="609">
        <f>+I65/N65-1</f>
        <v>-0.36307653946424889</v>
      </c>
      <c r="Q65" s="60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767</v>
      </c>
      <c r="D68" s="742" t="s">
        <v>781</v>
      </c>
      <c r="E68" s="740"/>
      <c r="F68" s="740"/>
      <c r="G68" s="740"/>
      <c r="H68" s="740"/>
      <c r="I68" s="740"/>
      <c r="J68" s="741"/>
      <c r="K68" s="748" t="s">
        <v>782</v>
      </c>
      <c r="L68" s="749"/>
      <c r="M68" s="749"/>
      <c r="N68" s="749"/>
      <c r="O68" s="749"/>
      <c r="P68" s="750"/>
    </row>
    <row r="69" spans="1:19" x14ac:dyDescent="0.2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545</v>
      </c>
      <c r="L69" s="88" t="s">
        <v>546</v>
      </c>
      <c r="M69" s="88" t="s">
        <v>547</v>
      </c>
      <c r="N69" s="87" t="s">
        <v>39</v>
      </c>
      <c r="O69" s="88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766</v>
      </c>
      <c r="N70" s="564" t="s">
        <v>17</v>
      </c>
      <c r="O70" s="89" t="s">
        <v>18</v>
      </c>
      <c r="P70" s="587" t="s">
        <v>766</v>
      </c>
      <c r="Q70" s="58" t="s">
        <v>163</v>
      </c>
      <c r="S70" s="358"/>
    </row>
    <row r="71" spans="1:19" ht="15" customHeight="1" x14ac:dyDescent="0.2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1" si="14">+E71/D71</f>
        <v>1</v>
      </c>
      <c r="G71" s="82">
        <v>25094829</v>
      </c>
      <c r="H71" s="417">
        <f>+G71/D71</f>
        <v>1</v>
      </c>
      <c r="I71" s="82">
        <v>5500000</v>
      </c>
      <c r="J71" s="348">
        <f>I71/D71</f>
        <v>0.21916865821241499</v>
      </c>
      <c r="K71" s="565">
        <v>24587855.940000001</v>
      </c>
      <c r="L71" s="417">
        <v>1</v>
      </c>
      <c r="M71" s="210">
        <f t="shared" ref="M71:M140" si="15">+G71/K71-1</f>
        <v>2.0618839692128077E-2</v>
      </c>
      <c r="N71" s="565">
        <v>2500000</v>
      </c>
      <c r="O71" s="417">
        <v>0.10167620983710708</v>
      </c>
      <c r="P71" s="210">
        <f t="shared" ref="P71:P83" si="16">+I71/N71-1</f>
        <v>1.2000000000000002</v>
      </c>
      <c r="Q71" s="60" t="s">
        <v>364</v>
      </c>
      <c r="S71" s="357"/>
    </row>
    <row r="72" spans="1:19" ht="15" customHeight="1" x14ac:dyDescent="0.2">
      <c r="A72" s="23"/>
      <c r="B72" s="23" t="s">
        <v>294</v>
      </c>
      <c r="C72" s="184">
        <v>858841</v>
      </c>
      <c r="D72" s="188">
        <v>858841</v>
      </c>
      <c r="E72" s="82">
        <v>858841</v>
      </c>
      <c r="F72" s="417">
        <f t="shared" si="14"/>
        <v>1</v>
      </c>
      <c r="G72" s="82">
        <v>858841</v>
      </c>
      <c r="H72" s="417">
        <f>+G72/D72</f>
        <v>1</v>
      </c>
      <c r="I72" s="82">
        <v>215000</v>
      </c>
      <c r="J72" s="348">
        <f>I72/D72</f>
        <v>0.25033737327398203</v>
      </c>
      <c r="K72" s="566">
        <v>858841</v>
      </c>
      <c r="L72" s="418">
        <v>1</v>
      </c>
      <c r="M72" s="210">
        <f t="shared" si="15"/>
        <v>0</v>
      </c>
      <c r="N72" s="566">
        <v>215000</v>
      </c>
      <c r="O72" s="418">
        <v>0.25033737327398203</v>
      </c>
      <c r="P72" s="210">
        <f t="shared" si="16"/>
        <v>0</v>
      </c>
      <c r="Q72" s="60" t="s">
        <v>365</v>
      </c>
      <c r="S72" s="357"/>
    </row>
    <row r="73" spans="1:19" ht="15" customHeight="1" x14ac:dyDescent="0.2">
      <c r="A73" s="23"/>
      <c r="B73" s="23" t="s">
        <v>295</v>
      </c>
      <c r="C73" s="184">
        <v>50143662.619999997</v>
      </c>
      <c r="D73" s="188">
        <v>50143662.619999997</v>
      </c>
      <c r="E73" s="82">
        <v>50143662.619999997</v>
      </c>
      <c r="F73" s="418">
        <f t="shared" si="14"/>
        <v>1</v>
      </c>
      <c r="G73" s="82">
        <v>50143662.619999997</v>
      </c>
      <c r="H73" s="418">
        <f t="shared" ref="H73:H94" si="17">+G73/D73</f>
        <v>1</v>
      </c>
      <c r="I73" s="82">
        <v>11200000</v>
      </c>
      <c r="J73" s="432">
        <f t="shared" ref="J73:J94" si="18">I73/D73</f>
        <v>0.22335823541403688</v>
      </c>
      <c r="K73" s="566">
        <v>43098862</v>
      </c>
      <c r="L73" s="418">
        <v>0.9993044101186811</v>
      </c>
      <c r="M73" s="211">
        <f t="shared" si="15"/>
        <v>0.16345676644548046</v>
      </c>
      <c r="N73" s="566">
        <v>16500000</v>
      </c>
      <c r="O73" s="418">
        <v>0.38257443472540498</v>
      </c>
      <c r="P73" s="210">
        <f t="shared" si="16"/>
        <v>-0.32121212121212117</v>
      </c>
      <c r="Q73" s="60" t="s">
        <v>366</v>
      </c>
      <c r="S73" s="357"/>
    </row>
    <row r="74" spans="1:19" ht="15" customHeight="1" x14ac:dyDescent="0.2">
      <c r="A74" s="23"/>
      <c r="B74" s="23" t="s">
        <v>296</v>
      </c>
      <c r="C74" s="184">
        <v>45958931.790000007</v>
      </c>
      <c r="D74" s="188">
        <v>48060982.130000003</v>
      </c>
      <c r="E74" s="82">
        <v>35334706.07</v>
      </c>
      <c r="F74" s="418">
        <f t="shared" si="14"/>
        <v>0.73520565964347673</v>
      </c>
      <c r="G74" s="82">
        <v>35334706.07</v>
      </c>
      <c r="H74" s="418">
        <f t="shared" si="17"/>
        <v>0.73520565964347673</v>
      </c>
      <c r="I74" s="82">
        <v>10407500</v>
      </c>
      <c r="J74" s="432">
        <f t="shared" si="18"/>
        <v>0.21654780112168298</v>
      </c>
      <c r="K74" s="566">
        <v>27048074.75</v>
      </c>
      <c r="L74" s="418">
        <v>0.7432596900323718</v>
      </c>
      <c r="M74" s="211">
        <f t="shared" si="15"/>
        <v>0.30636677089189135</v>
      </c>
      <c r="N74" s="566">
        <v>11000000</v>
      </c>
      <c r="O74" s="418">
        <v>0.30227129531117886</v>
      </c>
      <c r="P74" s="210">
        <f t="shared" si="16"/>
        <v>-5.3863636363636336E-2</v>
      </c>
      <c r="Q74" s="60" t="s">
        <v>504</v>
      </c>
      <c r="S74" s="358"/>
    </row>
    <row r="75" spans="1:19" ht="15" customHeight="1" x14ac:dyDescent="0.2">
      <c r="A75" s="23"/>
      <c r="B75" s="23" t="s">
        <v>297</v>
      </c>
      <c r="C75" s="184">
        <v>138280341</v>
      </c>
      <c r="D75" s="188">
        <v>143152893.16</v>
      </c>
      <c r="E75" s="82">
        <v>138280341</v>
      </c>
      <c r="F75" s="418">
        <f t="shared" si="14"/>
        <v>0.96596260087769226</v>
      </c>
      <c r="G75" s="82">
        <v>138280341</v>
      </c>
      <c r="H75" s="418">
        <f t="shared" si="17"/>
        <v>0.96596260087769226</v>
      </c>
      <c r="I75" s="82">
        <v>34025400</v>
      </c>
      <c r="J75" s="432">
        <f t="shared" si="18"/>
        <v>0.23768573061230613</v>
      </c>
      <c r="K75" s="566">
        <v>93914659.010000005</v>
      </c>
      <c r="L75" s="418">
        <v>0.9660545021336695</v>
      </c>
      <c r="M75" s="211">
        <f t="shared" si="15"/>
        <v>0.47240422802659543</v>
      </c>
      <c r="N75" s="566">
        <v>29000000</v>
      </c>
      <c r="O75" s="418">
        <v>0.29830892064351022</v>
      </c>
      <c r="P75" s="210">
        <f t="shared" si="16"/>
        <v>0.1732896551724139</v>
      </c>
      <c r="Q75" s="60" t="s">
        <v>446</v>
      </c>
      <c r="S75" s="357"/>
    </row>
    <row r="76" spans="1:19" ht="15" customHeight="1" x14ac:dyDescent="0.2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0</v>
      </c>
      <c r="J76" s="432">
        <f t="shared" si="18"/>
        <v>0</v>
      </c>
      <c r="K76" s="566">
        <v>752000</v>
      </c>
      <c r="L76" s="418">
        <v>0.33948957958405013</v>
      </c>
      <c r="M76" s="211">
        <f t="shared" si="15"/>
        <v>1.8791090425531913</v>
      </c>
      <c r="N76" s="566">
        <v>752000</v>
      </c>
      <c r="O76" s="418">
        <v>0.33948957958405013</v>
      </c>
      <c r="P76" s="210">
        <f t="shared" si="16"/>
        <v>-1</v>
      </c>
      <c r="Q76" s="60" t="s">
        <v>367</v>
      </c>
      <c r="S76" s="357"/>
    </row>
    <row r="77" spans="1:19" ht="15" customHeight="1" x14ac:dyDescent="0.2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1900000</v>
      </c>
      <c r="J77" s="432">
        <f t="shared" si="18"/>
        <v>0.21715658143880406</v>
      </c>
      <c r="K77" s="566">
        <v>7713147</v>
      </c>
      <c r="L77" s="418">
        <v>0.99531579479155097</v>
      </c>
      <c r="M77" s="211">
        <f t="shared" si="15"/>
        <v>0</v>
      </c>
      <c r="N77" s="566">
        <v>0</v>
      </c>
      <c r="O77" s="418">
        <v>0</v>
      </c>
      <c r="P77" s="210" t="s">
        <v>129</v>
      </c>
      <c r="Q77" s="60" t="s">
        <v>541</v>
      </c>
      <c r="S77" s="357"/>
    </row>
    <row r="78" spans="1:19" ht="15" customHeight="1" x14ac:dyDescent="0.2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2800000</v>
      </c>
      <c r="J78" s="432">
        <f t="shared" si="18"/>
        <v>0.11552271978109765</v>
      </c>
      <c r="K78" s="566">
        <v>22591226.289999999</v>
      </c>
      <c r="L78" s="418">
        <v>1</v>
      </c>
      <c r="M78" s="211">
        <f t="shared" si="15"/>
        <v>7.2879187205910689E-2</v>
      </c>
      <c r="N78" s="566">
        <v>3600000</v>
      </c>
      <c r="O78" s="418">
        <v>0.15935389933186314</v>
      </c>
      <c r="P78" s="210">
        <f t="shared" si="16"/>
        <v>-0.22222222222222221</v>
      </c>
      <c r="Q78" s="60" t="s">
        <v>542</v>
      </c>
      <c r="S78" s="357"/>
    </row>
    <row r="79" spans="1:19" ht="15" customHeight="1" x14ac:dyDescent="0.2">
      <c r="A79" s="65"/>
      <c r="B79" s="65" t="s">
        <v>301</v>
      </c>
      <c r="C79" s="395">
        <v>10484584.129999999</v>
      </c>
      <c r="D79" s="189">
        <v>10484584.129999999</v>
      </c>
      <c r="E79" s="62">
        <v>10484584.129999999</v>
      </c>
      <c r="F79" s="419">
        <f t="shared" si="14"/>
        <v>1</v>
      </c>
      <c r="G79" s="62">
        <v>10484584.129999999</v>
      </c>
      <c r="H79" s="419">
        <f t="shared" si="17"/>
        <v>1</v>
      </c>
      <c r="I79" s="62">
        <v>1800000</v>
      </c>
      <c r="J79" s="433">
        <f t="shared" si="18"/>
        <v>0.17168062916769214</v>
      </c>
      <c r="K79" s="602">
        <v>8717631.6300000008</v>
      </c>
      <c r="L79" s="419">
        <v>1</v>
      </c>
      <c r="M79" s="592">
        <f t="shared" si="15"/>
        <v>0.2026872176979102</v>
      </c>
      <c r="N79" s="602">
        <v>2754554.02</v>
      </c>
      <c r="O79" s="419">
        <v>0.31597504195070009</v>
      </c>
      <c r="P79" s="210">
        <f t="shared" si="16"/>
        <v>-0.346536685455891</v>
      </c>
      <c r="Q79" s="330" t="s">
        <v>368</v>
      </c>
      <c r="S79" s="357"/>
    </row>
    <row r="80" spans="1:19" ht="15" customHeight="1" x14ac:dyDescent="0.2">
      <c r="A80" s="55"/>
      <c r="B80" s="55" t="s">
        <v>768</v>
      </c>
      <c r="C80" s="176">
        <v>4718946</v>
      </c>
      <c r="D80" s="539">
        <v>4018946</v>
      </c>
      <c r="E80" s="56">
        <v>0</v>
      </c>
      <c r="F80" s="268">
        <f>E80/D80</f>
        <v>0</v>
      </c>
      <c r="G80" s="56">
        <v>0</v>
      </c>
      <c r="H80" s="268">
        <f t="shared" si="17"/>
        <v>0</v>
      </c>
      <c r="I80" s="56">
        <v>0</v>
      </c>
      <c r="J80" s="517">
        <f t="shared" si="18"/>
        <v>0</v>
      </c>
      <c r="K80" s="567">
        <v>0</v>
      </c>
      <c r="L80" s="268" t="s">
        <v>129</v>
      </c>
      <c r="M80" s="245" t="s">
        <v>129</v>
      </c>
      <c r="N80" s="567">
        <v>0</v>
      </c>
      <c r="O80" s="268" t="s">
        <v>129</v>
      </c>
      <c r="P80" s="245" t="s">
        <v>129</v>
      </c>
      <c r="Q80" s="60">
        <v>41099</v>
      </c>
      <c r="S80" s="357"/>
    </row>
    <row r="81" spans="1:19" ht="15" customHeight="1" x14ac:dyDescent="0.2">
      <c r="A81" s="68"/>
      <c r="B81" s="68" t="s">
        <v>302</v>
      </c>
      <c r="C81" s="488">
        <v>110721585.06999999</v>
      </c>
      <c r="D81" s="190">
        <v>110736042</v>
      </c>
      <c r="E81" s="82">
        <v>109354318.93000001</v>
      </c>
      <c r="F81" s="362">
        <f t="shared" si="14"/>
        <v>0.98752237261649656</v>
      </c>
      <c r="G81" s="82">
        <v>109354318.93000001</v>
      </c>
      <c r="H81" s="362">
        <f t="shared" si="17"/>
        <v>0.98752237261649656</v>
      </c>
      <c r="I81" s="82">
        <v>20000000</v>
      </c>
      <c r="J81" s="278">
        <f t="shared" si="18"/>
        <v>0.18060966997538164</v>
      </c>
      <c r="K81" s="584">
        <v>103023093</v>
      </c>
      <c r="L81" s="362">
        <v>1</v>
      </c>
      <c r="M81" s="210">
        <f t="shared" si="15"/>
        <v>6.1454434589728324E-2</v>
      </c>
      <c r="N81" s="584">
        <v>38000000</v>
      </c>
      <c r="O81" s="362">
        <v>0.36884934138018938</v>
      </c>
      <c r="P81" s="210">
        <f t="shared" si="16"/>
        <v>-0.47368421052631582</v>
      </c>
      <c r="Q81" s="331" t="s">
        <v>543</v>
      </c>
      <c r="S81" s="357"/>
    </row>
    <row r="82" spans="1:19" ht="15" customHeight="1" x14ac:dyDescent="0.2">
      <c r="A82" s="81"/>
      <c r="B82" s="81" t="s">
        <v>777</v>
      </c>
      <c r="C82" s="186"/>
      <c r="D82" s="190">
        <v>820000</v>
      </c>
      <c r="E82" s="82">
        <v>0</v>
      </c>
      <c r="F82" s="362">
        <f t="shared" si="14"/>
        <v>0</v>
      </c>
      <c r="G82" s="82">
        <v>0</v>
      </c>
      <c r="H82" s="362">
        <f t="shared" si="17"/>
        <v>0</v>
      </c>
      <c r="I82" s="82">
        <v>0</v>
      </c>
      <c r="J82" s="278">
        <f t="shared" si="18"/>
        <v>0</v>
      </c>
      <c r="K82" s="584">
        <v>0</v>
      </c>
      <c r="L82" s="362" t="s">
        <v>129</v>
      </c>
      <c r="M82" s="210" t="s">
        <v>129</v>
      </c>
      <c r="N82" s="584">
        <v>0</v>
      </c>
      <c r="O82" s="362" t="s">
        <v>129</v>
      </c>
      <c r="P82" s="210" t="s">
        <v>129</v>
      </c>
      <c r="Q82" s="331">
        <v>44304</v>
      </c>
      <c r="S82" s="357"/>
    </row>
    <row r="83" spans="1:19" ht="15" customHeight="1" x14ac:dyDescent="0.2">
      <c r="A83" s="70"/>
      <c r="B83" s="70" t="s">
        <v>303</v>
      </c>
      <c r="C83" s="184">
        <v>48727097.020000003</v>
      </c>
      <c r="D83" s="188">
        <v>48727097.020000003</v>
      </c>
      <c r="E83" s="82">
        <v>48727097.020000003</v>
      </c>
      <c r="F83" s="362">
        <f t="shared" si="14"/>
        <v>1</v>
      </c>
      <c r="G83" s="82">
        <v>48727097.020000003</v>
      </c>
      <c r="H83" s="362">
        <f t="shared" si="17"/>
        <v>1</v>
      </c>
      <c r="I83" s="82">
        <v>8000000</v>
      </c>
      <c r="J83" s="278">
        <f t="shared" si="18"/>
        <v>0.1641796964985705</v>
      </c>
      <c r="K83" s="394">
        <v>47794228</v>
      </c>
      <c r="L83" s="420">
        <v>1</v>
      </c>
      <c r="M83" s="210">
        <f t="shared" si="15"/>
        <v>1.9518445198026813E-2</v>
      </c>
      <c r="N83" s="394">
        <v>9000000</v>
      </c>
      <c r="O83" s="420">
        <v>0.18830725752071986</v>
      </c>
      <c r="P83" s="210">
        <f t="shared" si="16"/>
        <v>-0.11111111111111116</v>
      </c>
      <c r="Q83" s="60" t="s">
        <v>369</v>
      </c>
      <c r="S83" s="357"/>
    </row>
    <row r="84" spans="1:19" ht="15" customHeight="1" x14ac:dyDescent="0.2">
      <c r="A84" s="70"/>
      <c r="B84" s="70" t="s">
        <v>304</v>
      </c>
      <c r="C84" s="184">
        <v>2749627.35</v>
      </c>
      <c r="D84" s="188">
        <v>2748104.19</v>
      </c>
      <c r="E84" s="82">
        <v>1210740.28</v>
      </c>
      <c r="F84" s="362">
        <f t="shared" si="14"/>
        <v>0.44057291728811782</v>
      </c>
      <c r="G84" s="82">
        <v>1210740.28</v>
      </c>
      <c r="H84" s="362">
        <f t="shared" si="17"/>
        <v>0.44057291728811782</v>
      </c>
      <c r="I84" s="82">
        <v>760443.53</v>
      </c>
      <c r="J84" s="278">
        <f t="shared" si="18"/>
        <v>0.27671568376743388</v>
      </c>
      <c r="K84" s="394">
        <v>300254</v>
      </c>
      <c r="L84" s="420">
        <v>0.14744515762644775</v>
      </c>
      <c r="M84" s="211">
        <f t="shared" si="15"/>
        <v>3.0323868458038863</v>
      </c>
      <c r="N84" s="394">
        <v>0</v>
      </c>
      <c r="O84" s="420">
        <v>0</v>
      </c>
      <c r="P84" s="210" t="s">
        <v>129</v>
      </c>
      <c r="Q84" s="60" t="s">
        <v>370</v>
      </c>
      <c r="S84" s="357"/>
    </row>
    <row r="85" spans="1:19" ht="15" customHeight="1" x14ac:dyDescent="0.2">
      <c r="A85" s="72"/>
      <c r="B85" s="72" t="s">
        <v>305</v>
      </c>
      <c r="C85" s="185">
        <v>617526</v>
      </c>
      <c r="D85" s="189">
        <v>617526</v>
      </c>
      <c r="E85" s="62">
        <v>617526</v>
      </c>
      <c r="F85" s="268">
        <f t="shared" si="14"/>
        <v>1</v>
      </c>
      <c r="G85" s="62">
        <v>617526</v>
      </c>
      <c r="H85" s="421">
        <f t="shared" si="17"/>
        <v>1</v>
      </c>
      <c r="I85" s="62">
        <v>617526</v>
      </c>
      <c r="J85" s="278">
        <f t="shared" si="18"/>
        <v>1</v>
      </c>
      <c r="K85" s="583">
        <v>617526</v>
      </c>
      <c r="L85" s="421">
        <v>1</v>
      </c>
      <c r="M85" s="211">
        <f t="shared" si="15"/>
        <v>0</v>
      </c>
      <c r="N85" s="583">
        <v>400000</v>
      </c>
      <c r="O85" s="421">
        <v>0.64774600583619146</v>
      </c>
      <c r="P85" s="211">
        <f t="shared" ref="P85:P94" si="19">+I85/N85-1</f>
        <v>0.54381499999999994</v>
      </c>
      <c r="Q85" s="60" t="s">
        <v>371</v>
      </c>
      <c r="S85" s="357"/>
    </row>
    <row r="86" spans="1:19" ht="15" customHeight="1" x14ac:dyDescent="0.2">
      <c r="A86" s="68"/>
      <c r="B86" s="68" t="s">
        <v>306</v>
      </c>
      <c r="C86" s="186">
        <v>37061289.140000001</v>
      </c>
      <c r="D86" s="190">
        <v>38566929.980000004</v>
      </c>
      <c r="E86" s="82">
        <v>8367170</v>
      </c>
      <c r="F86" s="238">
        <f t="shared" si="14"/>
        <v>0.21695193276568908</v>
      </c>
      <c r="G86" s="82">
        <v>8367170</v>
      </c>
      <c r="H86" s="362">
        <f t="shared" si="17"/>
        <v>0.21695193276568908</v>
      </c>
      <c r="I86" s="82">
        <v>7310000</v>
      </c>
      <c r="J86" s="557">
        <f t="shared" si="18"/>
        <v>0.18954062466965382</v>
      </c>
      <c r="K86" s="582">
        <v>2007170</v>
      </c>
      <c r="L86" s="238">
        <v>6.8629504528800192E-2</v>
      </c>
      <c r="M86" s="211">
        <f t="shared" si="15"/>
        <v>3.1686404240796744</v>
      </c>
      <c r="N86" s="582">
        <v>2000000</v>
      </c>
      <c r="O86" s="238">
        <v>6.8384346646074026E-2</v>
      </c>
      <c r="P86" s="211">
        <f t="shared" si="19"/>
        <v>2.6549999999999998</v>
      </c>
      <c r="Q86" s="332" t="s">
        <v>544</v>
      </c>
      <c r="S86" s="357"/>
    </row>
    <row r="87" spans="1:19" ht="15" customHeight="1" x14ac:dyDescent="0.2">
      <c r="A87" s="70"/>
      <c r="B87" s="70" t="s">
        <v>307</v>
      </c>
      <c r="C87" s="184">
        <v>16869480</v>
      </c>
      <c r="D87" s="188">
        <v>16869480</v>
      </c>
      <c r="E87" s="82">
        <v>16869480</v>
      </c>
      <c r="F87" s="362">
        <f t="shared" si="14"/>
        <v>1</v>
      </c>
      <c r="G87" s="82">
        <v>16869480</v>
      </c>
      <c r="H87" s="362">
        <f t="shared" si="17"/>
        <v>1</v>
      </c>
      <c r="I87" s="82">
        <v>3900000</v>
      </c>
      <c r="J87" s="434">
        <f t="shared" si="18"/>
        <v>0.23118673486082558</v>
      </c>
      <c r="K87" s="394">
        <v>15669752</v>
      </c>
      <c r="L87" s="420">
        <v>0.91320892825922262</v>
      </c>
      <c r="M87" s="211">
        <f t="shared" si="15"/>
        <v>7.6563304894678552E-2</v>
      </c>
      <c r="N87" s="394">
        <v>3800000</v>
      </c>
      <c r="O87" s="420">
        <v>0.22145812693047381</v>
      </c>
      <c r="P87" s="211">
        <f t="shared" si="19"/>
        <v>2.6315789473684292E-2</v>
      </c>
      <c r="Q87" s="60" t="s">
        <v>372</v>
      </c>
      <c r="S87" s="357"/>
    </row>
    <row r="88" spans="1:19" ht="15" customHeight="1" x14ac:dyDescent="0.2">
      <c r="A88" s="70"/>
      <c r="B88" s="70" t="s">
        <v>769</v>
      </c>
      <c r="C88" s="184">
        <v>379378.92</v>
      </c>
      <c r="D88" s="188">
        <v>379378.92</v>
      </c>
      <c r="E88" s="82">
        <v>0</v>
      </c>
      <c r="F88" s="362">
        <f>E88/D88</f>
        <v>0</v>
      </c>
      <c r="G88" s="82">
        <v>0</v>
      </c>
      <c r="H88" s="362">
        <f t="shared" si="17"/>
        <v>0</v>
      </c>
      <c r="I88" s="82">
        <v>0</v>
      </c>
      <c r="J88" s="517">
        <f t="shared" si="18"/>
        <v>0</v>
      </c>
      <c r="K88" s="394">
        <v>0</v>
      </c>
      <c r="L88" s="420" t="s">
        <v>129</v>
      </c>
      <c r="M88" s="211" t="s">
        <v>129</v>
      </c>
      <c r="N88" s="394">
        <v>0</v>
      </c>
      <c r="O88" s="420" t="s">
        <v>129</v>
      </c>
      <c r="P88" s="211" t="s">
        <v>129</v>
      </c>
      <c r="Q88" s="60">
        <v>44411</v>
      </c>
      <c r="S88" s="357"/>
    </row>
    <row r="89" spans="1:19" ht="15" customHeight="1" x14ac:dyDescent="0.2">
      <c r="A89" s="70"/>
      <c r="B89" s="70" t="s">
        <v>308</v>
      </c>
      <c r="C89" s="184">
        <v>57148921</v>
      </c>
      <c r="D89" s="188">
        <v>57148921</v>
      </c>
      <c r="E89" s="82">
        <v>0</v>
      </c>
      <c r="F89" s="362">
        <f t="shared" si="14"/>
        <v>0</v>
      </c>
      <c r="G89" s="82">
        <v>0</v>
      </c>
      <c r="H89" s="362">
        <f t="shared" si="17"/>
        <v>0</v>
      </c>
      <c r="I89" s="82">
        <v>0</v>
      </c>
      <c r="J89" s="517">
        <f t="shared" si="18"/>
        <v>0</v>
      </c>
      <c r="K89" s="394">
        <v>0</v>
      </c>
      <c r="L89" s="420">
        <v>0</v>
      </c>
      <c r="M89" s="211" t="s">
        <v>129</v>
      </c>
      <c r="N89" s="394">
        <v>0</v>
      </c>
      <c r="O89" s="420">
        <v>0</v>
      </c>
      <c r="P89" s="211" t="s">
        <v>129</v>
      </c>
      <c r="Q89" s="59" t="s">
        <v>373</v>
      </c>
      <c r="S89" s="357"/>
    </row>
    <row r="90" spans="1:19" ht="15" customHeight="1" x14ac:dyDescent="0.2">
      <c r="A90" s="70"/>
      <c r="B90" s="70" t="s">
        <v>309</v>
      </c>
      <c r="C90" s="184">
        <v>2726590</v>
      </c>
      <c r="D90" s="188">
        <v>2726590</v>
      </c>
      <c r="E90" s="82">
        <v>2726590</v>
      </c>
      <c r="F90" s="362">
        <f t="shared" si="14"/>
        <v>1</v>
      </c>
      <c r="G90" s="82">
        <v>2726590</v>
      </c>
      <c r="H90" s="362">
        <f t="shared" si="17"/>
        <v>1</v>
      </c>
      <c r="I90" s="82">
        <v>0</v>
      </c>
      <c r="J90" s="434">
        <f t="shared" si="18"/>
        <v>0</v>
      </c>
      <c r="K90" s="394">
        <v>2726590</v>
      </c>
      <c r="L90" s="420">
        <v>1</v>
      </c>
      <c r="M90" s="211">
        <f t="shared" si="15"/>
        <v>0</v>
      </c>
      <c r="N90" s="394">
        <v>908000</v>
      </c>
      <c r="O90" s="420">
        <v>0.33301669851352789</v>
      </c>
      <c r="P90" s="211">
        <f t="shared" si="19"/>
        <v>-1</v>
      </c>
      <c r="Q90" s="60" t="s">
        <v>374</v>
      </c>
      <c r="S90" s="357"/>
    </row>
    <row r="91" spans="1:19" ht="15" customHeight="1" x14ac:dyDescent="0.2">
      <c r="A91" s="70"/>
      <c r="B91" s="70" t="s">
        <v>310</v>
      </c>
      <c r="C91" s="184">
        <v>3529897</v>
      </c>
      <c r="D91" s="188">
        <v>4131668.34</v>
      </c>
      <c r="E91" s="82">
        <v>3529897</v>
      </c>
      <c r="F91" s="420">
        <f t="shared" si="14"/>
        <v>0.85435148940343075</v>
      </c>
      <c r="G91" s="82">
        <v>3529897</v>
      </c>
      <c r="H91" s="420">
        <f t="shared" si="17"/>
        <v>0.85435148940343075</v>
      </c>
      <c r="I91" s="82">
        <v>950000</v>
      </c>
      <c r="J91" s="434">
        <f t="shared" si="18"/>
        <v>0.22993133083862197</v>
      </c>
      <c r="K91" s="394">
        <v>2437025.67</v>
      </c>
      <c r="L91" s="420">
        <v>0.88131069127170514</v>
      </c>
      <c r="M91" s="211">
        <f t="shared" si="15"/>
        <v>0.44844473468348811</v>
      </c>
      <c r="N91" s="394">
        <v>580000</v>
      </c>
      <c r="O91" s="420">
        <v>0.20974756533343739</v>
      </c>
      <c r="P91" s="211">
        <f t="shared" si="19"/>
        <v>0.63793103448275867</v>
      </c>
      <c r="Q91" s="60" t="s">
        <v>375</v>
      </c>
      <c r="S91" s="357"/>
    </row>
    <row r="92" spans="1:19" ht="15" customHeight="1" x14ac:dyDescent="0.2">
      <c r="A92" s="70"/>
      <c r="B92" s="70" t="s">
        <v>311</v>
      </c>
      <c r="C92" s="184"/>
      <c r="D92" s="188"/>
      <c r="E92" s="82"/>
      <c r="F92" s="420" t="s">
        <v>129</v>
      </c>
      <c r="G92" s="82"/>
      <c r="H92" s="420" t="s">
        <v>129</v>
      </c>
      <c r="I92" s="82"/>
      <c r="J92" s="434" t="s">
        <v>129</v>
      </c>
      <c r="K92" s="394">
        <v>0</v>
      </c>
      <c r="L92" s="420" t="s">
        <v>129</v>
      </c>
      <c r="M92" s="594" t="s">
        <v>129</v>
      </c>
      <c r="N92" s="394">
        <v>0</v>
      </c>
      <c r="O92" s="420" t="s">
        <v>129</v>
      </c>
      <c r="P92" s="211" t="s">
        <v>129</v>
      </c>
      <c r="Q92" s="60" t="s">
        <v>376</v>
      </c>
      <c r="S92" s="358"/>
    </row>
    <row r="93" spans="1:19" ht="15" customHeight="1" x14ac:dyDescent="0.2">
      <c r="A93" s="70"/>
      <c r="B93" s="70" t="s">
        <v>312</v>
      </c>
      <c r="C93" s="184"/>
      <c r="D93" s="188"/>
      <c r="E93" s="82"/>
      <c r="F93" s="420" t="s">
        <v>129</v>
      </c>
      <c r="G93" s="82"/>
      <c r="H93" s="420" t="s">
        <v>129</v>
      </c>
      <c r="I93" s="82"/>
      <c r="J93" s="434" t="s">
        <v>129</v>
      </c>
      <c r="K93" s="394">
        <v>0</v>
      </c>
      <c r="L93" s="420" t="s">
        <v>129</v>
      </c>
      <c r="M93" s="594" t="s">
        <v>129</v>
      </c>
      <c r="N93" s="394">
        <v>0</v>
      </c>
      <c r="O93" s="420" t="s">
        <v>129</v>
      </c>
      <c r="P93" s="211" t="s">
        <v>129</v>
      </c>
      <c r="Q93" s="60" t="s">
        <v>377</v>
      </c>
      <c r="S93" s="357"/>
    </row>
    <row r="94" spans="1:19" ht="15" customHeight="1" x14ac:dyDescent="0.2">
      <c r="A94" s="70"/>
      <c r="B94" s="70" t="s">
        <v>313</v>
      </c>
      <c r="C94" s="481">
        <v>6986478</v>
      </c>
      <c r="D94" s="188">
        <v>7686478</v>
      </c>
      <c r="E94" s="82">
        <v>7686478</v>
      </c>
      <c r="F94" s="420">
        <f t="shared" ref="F94" si="20">+E94/D94</f>
        <v>1</v>
      </c>
      <c r="G94" s="82">
        <v>7686478</v>
      </c>
      <c r="H94" s="420">
        <f t="shared" si="17"/>
        <v>1</v>
      </c>
      <c r="I94" s="82">
        <v>2696000</v>
      </c>
      <c r="J94" s="434">
        <f t="shared" si="18"/>
        <v>0.35074581622428375</v>
      </c>
      <c r="K94" s="394">
        <v>4893478</v>
      </c>
      <c r="L94" s="420">
        <v>1</v>
      </c>
      <c r="M94" s="594">
        <f t="shared" si="15"/>
        <v>0.57075969279927286</v>
      </c>
      <c r="N94" s="394">
        <v>1616000</v>
      </c>
      <c r="O94" s="420">
        <v>0.33023546851544033</v>
      </c>
      <c r="P94" s="211">
        <f t="shared" si="19"/>
        <v>0.66831683168316824</v>
      </c>
      <c r="Q94" s="60" t="s">
        <v>378</v>
      </c>
      <c r="S94" s="358"/>
    </row>
    <row r="95" spans="1:19" ht="15" customHeight="1" x14ac:dyDescent="0.2">
      <c r="A95" s="70"/>
      <c r="B95" s="70" t="s">
        <v>314</v>
      </c>
      <c r="C95" s="184"/>
      <c r="D95" s="188"/>
      <c r="E95" s="82"/>
      <c r="F95" s="420" t="s">
        <v>129</v>
      </c>
      <c r="G95" s="82"/>
      <c r="H95" s="420" t="s">
        <v>129</v>
      </c>
      <c r="I95" s="82"/>
      <c r="J95" s="434" t="s">
        <v>129</v>
      </c>
      <c r="K95" s="394">
        <v>0</v>
      </c>
      <c r="L95" s="420" t="s">
        <v>129</v>
      </c>
      <c r="M95" s="594" t="s">
        <v>129</v>
      </c>
      <c r="N95" s="394">
        <v>0</v>
      </c>
      <c r="O95" s="420" t="s">
        <v>129</v>
      </c>
      <c r="P95" s="211" t="s">
        <v>129</v>
      </c>
      <c r="Q95" s="60" t="s">
        <v>379</v>
      </c>
      <c r="S95" s="357"/>
    </row>
    <row r="96" spans="1:19" ht="15" customHeight="1" x14ac:dyDescent="0.2">
      <c r="A96" s="70"/>
      <c r="B96" s="74" t="s">
        <v>315</v>
      </c>
      <c r="C96" s="184"/>
      <c r="D96" s="188"/>
      <c r="E96" s="82"/>
      <c r="F96" s="420" t="s">
        <v>129</v>
      </c>
      <c r="G96" s="82"/>
      <c r="H96" s="420" t="s">
        <v>129</v>
      </c>
      <c r="I96" s="82"/>
      <c r="J96" s="434" t="s">
        <v>129</v>
      </c>
      <c r="K96" s="394">
        <v>0</v>
      </c>
      <c r="L96" s="420" t="s">
        <v>129</v>
      </c>
      <c r="M96" s="594" t="s">
        <v>129</v>
      </c>
      <c r="N96" s="394">
        <v>0</v>
      </c>
      <c r="O96" s="420" t="s">
        <v>129</v>
      </c>
      <c r="P96" s="211" t="s">
        <v>129</v>
      </c>
      <c r="Q96" s="60" t="s">
        <v>380</v>
      </c>
      <c r="S96" s="357"/>
    </row>
    <row r="97" spans="1:19" ht="15" customHeight="1" x14ac:dyDescent="0.2">
      <c r="A97" s="70"/>
      <c r="B97" s="74" t="s">
        <v>414</v>
      </c>
      <c r="C97" s="184"/>
      <c r="D97" s="188"/>
      <c r="E97" s="82"/>
      <c r="F97" s="420" t="s">
        <v>129</v>
      </c>
      <c r="G97" s="82"/>
      <c r="H97" s="420" t="s">
        <v>129</v>
      </c>
      <c r="I97" s="82"/>
      <c r="J97" s="434" t="s">
        <v>129</v>
      </c>
      <c r="K97" s="394">
        <v>0</v>
      </c>
      <c r="L97" s="420" t="s">
        <v>129</v>
      </c>
      <c r="M97" s="594" t="s">
        <v>129</v>
      </c>
      <c r="N97" s="394">
        <v>0</v>
      </c>
      <c r="O97" s="420" t="s">
        <v>129</v>
      </c>
      <c r="P97" s="211" t="s">
        <v>129</v>
      </c>
      <c r="Q97" s="60">
        <v>44438</v>
      </c>
      <c r="S97" s="357"/>
    </row>
    <row r="98" spans="1:19" ht="15" customHeight="1" x14ac:dyDescent="0.2">
      <c r="A98" s="70"/>
      <c r="B98" s="74" t="s">
        <v>449</v>
      </c>
      <c r="C98" s="184"/>
      <c r="D98" s="188"/>
      <c r="E98" s="82"/>
      <c r="F98" s="420" t="s">
        <v>129</v>
      </c>
      <c r="G98" s="82"/>
      <c r="H98" s="420" t="s">
        <v>129</v>
      </c>
      <c r="I98" s="82"/>
      <c r="J98" s="434" t="s">
        <v>129</v>
      </c>
      <c r="K98" s="394">
        <v>0</v>
      </c>
      <c r="L98" s="420" t="s">
        <v>129</v>
      </c>
      <c r="M98" s="595" t="s">
        <v>129</v>
      </c>
      <c r="N98" s="394">
        <v>0</v>
      </c>
      <c r="O98" s="420" t="s">
        <v>129</v>
      </c>
      <c r="P98" s="211" t="s">
        <v>129</v>
      </c>
      <c r="Q98" s="60" t="s">
        <v>462</v>
      </c>
      <c r="S98" s="357"/>
    </row>
    <row r="99" spans="1:19" ht="15" customHeight="1" x14ac:dyDescent="0.2">
      <c r="A99" s="70"/>
      <c r="B99" s="70" t="s">
        <v>316</v>
      </c>
      <c r="C99" s="184">
        <v>11864168</v>
      </c>
      <c r="D99" s="188">
        <v>11864168</v>
      </c>
      <c r="E99" s="82">
        <v>0</v>
      </c>
      <c r="F99" s="420">
        <f t="shared" ref="F99:F102" si="21">+E99/D99</f>
        <v>0</v>
      </c>
      <c r="G99" s="82">
        <v>0</v>
      </c>
      <c r="H99" s="420">
        <f t="shared" ref="H99:H102" si="22">+G99/D99</f>
        <v>0</v>
      </c>
      <c r="I99" s="82">
        <v>0</v>
      </c>
      <c r="J99" s="434">
        <f t="shared" ref="J99:J102" si="23">I99/D99</f>
        <v>0</v>
      </c>
      <c r="K99" s="394">
        <v>0</v>
      </c>
      <c r="L99" s="420" t="s">
        <v>129</v>
      </c>
      <c r="M99" s="594" t="s">
        <v>129</v>
      </c>
      <c r="N99" s="394">
        <v>0</v>
      </c>
      <c r="O99" s="420" t="s">
        <v>129</v>
      </c>
      <c r="P99" s="211" t="s">
        <v>129</v>
      </c>
      <c r="Q99" s="60" t="s">
        <v>382</v>
      </c>
      <c r="S99" s="358"/>
    </row>
    <row r="100" spans="1:19" ht="15" customHeight="1" x14ac:dyDescent="0.2">
      <c r="A100" s="70"/>
      <c r="B100" s="70" t="s">
        <v>317</v>
      </c>
      <c r="C100" s="184">
        <v>3884039.66</v>
      </c>
      <c r="D100" s="188">
        <v>3884039.66</v>
      </c>
      <c r="E100" s="82">
        <v>3884039.66</v>
      </c>
      <c r="F100" s="420">
        <f t="shared" si="21"/>
        <v>1</v>
      </c>
      <c r="G100" s="71">
        <v>3884039.66</v>
      </c>
      <c r="H100" s="420">
        <f t="shared" si="22"/>
        <v>1</v>
      </c>
      <c r="I100" s="71">
        <v>0</v>
      </c>
      <c r="J100" s="434">
        <f t="shared" si="23"/>
        <v>0</v>
      </c>
      <c r="K100" s="394">
        <v>0</v>
      </c>
      <c r="L100" s="420">
        <v>0</v>
      </c>
      <c r="M100" s="595" t="s">
        <v>129</v>
      </c>
      <c r="N100" s="394">
        <v>0</v>
      </c>
      <c r="O100" s="420">
        <v>0</v>
      </c>
      <c r="P100" s="211" t="s">
        <v>129</v>
      </c>
      <c r="Q100" s="60" t="s">
        <v>383</v>
      </c>
      <c r="S100" s="358"/>
    </row>
    <row r="101" spans="1:19" ht="15" customHeight="1" x14ac:dyDescent="0.2">
      <c r="A101" s="79"/>
      <c r="B101" s="123" t="s">
        <v>381</v>
      </c>
      <c r="C101" s="184"/>
      <c r="D101" s="188"/>
      <c r="E101" s="82"/>
      <c r="F101" s="130" t="s">
        <v>129</v>
      </c>
      <c r="G101" s="82"/>
      <c r="H101" s="414" t="s">
        <v>129</v>
      </c>
      <c r="I101" s="82"/>
      <c r="J101" s="434" t="s">
        <v>129</v>
      </c>
      <c r="K101" s="394">
        <v>0</v>
      </c>
      <c r="L101" s="243" t="s">
        <v>129</v>
      </c>
      <c r="M101" s="594" t="s">
        <v>129</v>
      </c>
      <c r="N101" s="394">
        <v>0</v>
      </c>
      <c r="O101" s="243" t="s">
        <v>129</v>
      </c>
      <c r="P101" s="211" t="s">
        <v>129</v>
      </c>
      <c r="Q101" s="122" t="s">
        <v>384</v>
      </c>
      <c r="S101" s="358"/>
    </row>
    <row r="102" spans="1:19" ht="15" customHeight="1" x14ac:dyDescent="0.2">
      <c r="A102" s="72"/>
      <c r="B102" s="72" t="s">
        <v>318</v>
      </c>
      <c r="C102" s="185">
        <v>2068219.33</v>
      </c>
      <c r="D102" s="189">
        <v>2068219.33</v>
      </c>
      <c r="E102" s="73">
        <v>1720850.18</v>
      </c>
      <c r="F102" s="513">
        <f t="shared" si="21"/>
        <v>0.83204433641958075</v>
      </c>
      <c r="G102" s="73">
        <v>1720850.18</v>
      </c>
      <c r="H102" s="513">
        <f t="shared" si="22"/>
        <v>0.83204433641958075</v>
      </c>
      <c r="I102" s="73">
        <v>0</v>
      </c>
      <c r="J102" s="435">
        <f t="shared" si="23"/>
        <v>0</v>
      </c>
      <c r="K102" s="583">
        <v>0</v>
      </c>
      <c r="L102" s="421">
        <v>0</v>
      </c>
      <c r="M102" s="590" t="s">
        <v>129</v>
      </c>
      <c r="N102" s="583">
        <v>0</v>
      </c>
      <c r="O102" s="421">
        <v>0</v>
      </c>
      <c r="P102" s="211" t="s">
        <v>129</v>
      </c>
      <c r="Q102" s="60" t="s">
        <v>385</v>
      </c>
      <c r="S102" s="357"/>
    </row>
    <row r="103" spans="1:19" ht="15" customHeight="1" x14ac:dyDescent="0.2">
      <c r="A103" s="55"/>
      <c r="B103" s="55" t="s">
        <v>463</v>
      </c>
      <c r="C103" s="489">
        <v>4677000</v>
      </c>
      <c r="D103" s="396">
        <v>4877000</v>
      </c>
      <c r="E103" s="82">
        <v>4877000</v>
      </c>
      <c r="F103" s="423">
        <f>+E103/D103</f>
        <v>1</v>
      </c>
      <c r="G103" s="80">
        <v>4877000</v>
      </c>
      <c r="H103" s="423">
        <f>+G103/D103</f>
        <v>1</v>
      </c>
      <c r="I103" s="56">
        <v>1900000</v>
      </c>
      <c r="J103" s="438">
        <f>I103/D103</f>
        <v>0.38958376050850935</v>
      </c>
      <c r="K103" s="603">
        <v>5871140.4000000004</v>
      </c>
      <c r="L103" s="421">
        <v>0.68580077093797454</v>
      </c>
      <c r="M103" s="596">
        <f t="shared" si="15"/>
        <v>-0.16932662690198996</v>
      </c>
      <c r="N103" s="603">
        <v>3500000</v>
      </c>
      <c r="O103" s="421">
        <v>0.40883074407195419</v>
      </c>
      <c r="P103" s="596">
        <f t="shared" ref="P103" si="24">+I103/N103-1</f>
        <v>-0.45714285714285718</v>
      </c>
      <c r="Q103" s="60">
        <v>44453</v>
      </c>
      <c r="R103" s="46"/>
      <c r="S103" s="358"/>
    </row>
    <row r="104" spans="1:19" ht="15" customHeight="1" x14ac:dyDescent="0.2">
      <c r="A104" s="68"/>
      <c r="B104" s="551" t="s">
        <v>363</v>
      </c>
      <c r="C104" s="553"/>
      <c r="D104" s="539"/>
      <c r="E104" s="555"/>
      <c r="F104" s="556" t="s">
        <v>129</v>
      </c>
      <c r="G104" s="555"/>
      <c r="H104" s="556" t="s">
        <v>129</v>
      </c>
      <c r="I104" s="555"/>
      <c r="J104" s="557" t="s">
        <v>129</v>
      </c>
      <c r="K104" s="567">
        <v>0</v>
      </c>
      <c r="L104" s="556" t="s">
        <v>129</v>
      </c>
      <c r="M104" s="597" t="s">
        <v>129</v>
      </c>
      <c r="N104" s="567">
        <v>0</v>
      </c>
      <c r="O104" s="556" t="s">
        <v>129</v>
      </c>
      <c r="P104" s="597" t="s">
        <v>129</v>
      </c>
      <c r="Q104" s="60">
        <v>449</v>
      </c>
      <c r="R104" s="476"/>
      <c r="S104" s="358"/>
    </row>
    <row r="105" spans="1:19" ht="15" customHeight="1" x14ac:dyDescent="0.2">
      <c r="A105" s="126"/>
      <c r="B105" s="552" t="s">
        <v>344</v>
      </c>
      <c r="C105" s="192">
        <f>SUM(C71:C104)</f>
        <v>620667325.52999997</v>
      </c>
      <c r="D105" s="554">
        <f>SUM(D71:D104)</f>
        <v>630818573.98000002</v>
      </c>
      <c r="E105" s="127">
        <f>SUM(E71:E104)</f>
        <v>503884044.38999999</v>
      </c>
      <c r="F105" s="426">
        <f>E105/D105</f>
        <v>0.7987780721338994</v>
      </c>
      <c r="G105" s="127">
        <f>SUM(G71:G104)</f>
        <v>503884044.38999999</v>
      </c>
      <c r="H105" s="426">
        <f>+G105/D105</f>
        <v>0.7987780721338994</v>
      </c>
      <c r="I105" s="127">
        <f>SUM(I71:I103)</f>
        <v>113981869.53</v>
      </c>
      <c r="J105" s="436">
        <f>I105/D105</f>
        <v>0.18068882913649556</v>
      </c>
      <c r="K105" s="604">
        <f>SUM(K71:K104)</f>
        <v>414622554.69</v>
      </c>
      <c r="L105" s="426">
        <v>0.78050493085673112</v>
      </c>
      <c r="M105" s="598">
        <f t="shared" si="15"/>
        <v>0.21528372899717896</v>
      </c>
      <c r="N105" s="604">
        <f>SUM(N71:N104)</f>
        <v>126125554.02000001</v>
      </c>
      <c r="O105" s="426">
        <v>0.23699999999999999</v>
      </c>
      <c r="P105" s="598">
        <f>+I105/N105-1</f>
        <v>-9.6282506620937069E-2</v>
      </c>
      <c r="S105" s="358"/>
    </row>
    <row r="106" spans="1:19" ht="15.75" thickBot="1" x14ac:dyDescent="0.3">
      <c r="A106" s="7" t="s">
        <v>233</v>
      </c>
    </row>
    <row r="107" spans="1:19" x14ac:dyDescent="0.2">
      <c r="A107" s="8" t="s">
        <v>290</v>
      </c>
      <c r="C107" s="164" t="s">
        <v>767</v>
      </c>
      <c r="D107" s="742" t="s">
        <v>781</v>
      </c>
      <c r="E107" s="740"/>
      <c r="F107" s="740"/>
      <c r="G107" s="740"/>
      <c r="H107" s="740"/>
      <c r="I107" s="740"/>
      <c r="J107" s="741"/>
      <c r="K107" s="748" t="s">
        <v>782</v>
      </c>
      <c r="L107" s="749"/>
      <c r="M107" s="749"/>
      <c r="N107" s="749"/>
      <c r="O107" s="749"/>
      <c r="P107" s="750"/>
    </row>
    <row r="108" spans="1:19" x14ac:dyDescent="0.2">
      <c r="C108" s="157">
        <v>1</v>
      </c>
      <c r="D108" s="148">
        <v>2</v>
      </c>
      <c r="E108" s="87">
        <v>3</v>
      </c>
      <c r="F108" s="88" t="s">
        <v>36</v>
      </c>
      <c r="G108" s="87">
        <v>4</v>
      </c>
      <c r="H108" s="88" t="s">
        <v>37</v>
      </c>
      <c r="I108" s="87">
        <v>5</v>
      </c>
      <c r="J108" s="149" t="s">
        <v>38</v>
      </c>
      <c r="K108" s="87" t="s">
        <v>545</v>
      </c>
      <c r="L108" s="88" t="s">
        <v>546</v>
      </c>
      <c r="M108" s="88" t="s">
        <v>547</v>
      </c>
      <c r="N108" s="87" t="s">
        <v>39</v>
      </c>
      <c r="O108" s="88" t="s">
        <v>40</v>
      </c>
      <c r="P108" s="149" t="s">
        <v>362</v>
      </c>
    </row>
    <row r="109" spans="1:19" ht="25.5" x14ac:dyDescent="0.2">
      <c r="A109" s="1"/>
      <c r="B109" s="2" t="s">
        <v>150</v>
      </c>
      <c r="C109" s="158" t="s">
        <v>13</v>
      </c>
      <c r="D109" s="112" t="s">
        <v>350</v>
      </c>
      <c r="E109" s="89" t="s">
        <v>15</v>
      </c>
      <c r="F109" s="89" t="s">
        <v>18</v>
      </c>
      <c r="G109" s="89" t="s">
        <v>16</v>
      </c>
      <c r="H109" s="89" t="s">
        <v>18</v>
      </c>
      <c r="I109" s="89" t="s">
        <v>17</v>
      </c>
      <c r="J109" s="113" t="s">
        <v>18</v>
      </c>
      <c r="K109" s="89" t="s">
        <v>16</v>
      </c>
      <c r="L109" s="89" t="s">
        <v>18</v>
      </c>
      <c r="M109" s="89" t="s">
        <v>766</v>
      </c>
      <c r="N109" s="564" t="s">
        <v>17</v>
      </c>
      <c r="O109" s="89" t="s">
        <v>18</v>
      </c>
      <c r="P109" s="587" t="s">
        <v>766</v>
      </c>
      <c r="Q109" s="58" t="s">
        <v>163</v>
      </c>
      <c r="S109" s="358"/>
    </row>
    <row r="110" spans="1:19" ht="15" customHeight="1" x14ac:dyDescent="0.2">
      <c r="A110" s="81"/>
      <c r="B110" s="240" t="s">
        <v>429</v>
      </c>
      <c r="C110" s="186">
        <v>2000000</v>
      </c>
      <c r="D110" s="464">
        <v>2000000</v>
      </c>
      <c r="E110" s="82">
        <v>0</v>
      </c>
      <c r="F110" s="362">
        <f>+E110/D110</f>
        <v>0</v>
      </c>
      <c r="G110" s="82">
        <v>0</v>
      </c>
      <c r="H110" s="362">
        <f>+G110/D110</f>
        <v>0</v>
      </c>
      <c r="I110" s="82">
        <v>0</v>
      </c>
      <c r="J110" s="278">
        <f>I110/D110</f>
        <v>0</v>
      </c>
      <c r="K110" s="605">
        <v>3500000</v>
      </c>
      <c r="L110" s="362">
        <v>0.86805555555555558</v>
      </c>
      <c r="M110" s="661">
        <f t="shared" si="15"/>
        <v>-1</v>
      </c>
      <c r="N110" s="605">
        <v>1500000</v>
      </c>
      <c r="O110" s="362">
        <v>0.37202380952380953</v>
      </c>
      <c r="P110" s="661">
        <f>+I110/N110-1</f>
        <v>-1</v>
      </c>
      <c r="Q110" s="122" t="s">
        <v>450</v>
      </c>
      <c r="S110" s="358"/>
    </row>
    <row r="111" spans="1:19" ht="15" customHeight="1" x14ac:dyDescent="0.2">
      <c r="A111" s="70"/>
      <c r="B111" s="241" t="s">
        <v>396</v>
      </c>
      <c r="C111" s="186">
        <v>105000</v>
      </c>
      <c r="D111" s="464">
        <v>105000</v>
      </c>
      <c r="E111" s="82">
        <v>18246.740000000002</v>
      </c>
      <c r="F111" s="362">
        <f>+E111/D111</f>
        <v>0.17377847619047621</v>
      </c>
      <c r="G111" s="82">
        <v>18246.740000000002</v>
      </c>
      <c r="H111" s="362">
        <f>+G111/D111</f>
        <v>0.17377847619047621</v>
      </c>
      <c r="I111" s="82">
        <v>0</v>
      </c>
      <c r="J111" s="278">
        <f>I111/D111</f>
        <v>0</v>
      </c>
      <c r="K111" s="605">
        <v>0</v>
      </c>
      <c r="L111" s="362">
        <v>0</v>
      </c>
      <c r="M111" s="648" t="s">
        <v>129</v>
      </c>
      <c r="N111" s="605">
        <v>0</v>
      </c>
      <c r="O111" s="362" t="s">
        <v>129</v>
      </c>
      <c r="P111" s="599" t="s">
        <v>129</v>
      </c>
      <c r="Q111" s="122">
        <v>46101</v>
      </c>
      <c r="S111" s="358"/>
    </row>
    <row r="112" spans="1:19" ht="15" customHeight="1" x14ac:dyDescent="0.2">
      <c r="A112" s="70"/>
      <c r="B112" s="241" t="s">
        <v>411</v>
      </c>
      <c r="C112" s="186"/>
      <c r="D112" s="464"/>
      <c r="E112" s="82"/>
      <c r="F112" s="420" t="s">
        <v>129</v>
      </c>
      <c r="G112" s="82"/>
      <c r="H112" s="362" t="s">
        <v>129</v>
      </c>
      <c r="I112" s="82"/>
      <c r="J112" s="278" t="s">
        <v>129</v>
      </c>
      <c r="K112" s="394">
        <v>0</v>
      </c>
      <c r="L112" s="362" t="s">
        <v>129</v>
      </c>
      <c r="M112" s="594" t="s">
        <v>129</v>
      </c>
      <c r="N112" s="394"/>
      <c r="O112" s="362" t="s">
        <v>129</v>
      </c>
      <c r="P112" s="594" t="s">
        <v>129</v>
      </c>
      <c r="Q112" s="122">
        <v>46102</v>
      </c>
      <c r="S112" s="358"/>
    </row>
    <row r="113" spans="1:19" ht="15" customHeight="1" x14ac:dyDescent="0.2">
      <c r="A113" s="81"/>
      <c r="B113" s="240" t="s">
        <v>426</v>
      </c>
      <c r="C113" s="186"/>
      <c r="D113" s="464"/>
      <c r="E113" s="82"/>
      <c r="F113" s="420" t="s">
        <v>129</v>
      </c>
      <c r="G113" s="82"/>
      <c r="H113" s="362" t="s">
        <v>129</v>
      </c>
      <c r="I113" s="82"/>
      <c r="J113" s="278" t="s">
        <v>129</v>
      </c>
      <c r="K113" s="584">
        <v>0</v>
      </c>
      <c r="L113" s="362" t="s">
        <v>129</v>
      </c>
      <c r="M113" s="594" t="s">
        <v>129</v>
      </c>
      <c r="N113" s="584"/>
      <c r="O113" s="362" t="s">
        <v>129</v>
      </c>
      <c r="P113" s="594" t="s">
        <v>129</v>
      </c>
      <c r="Q113" s="122">
        <v>462</v>
      </c>
      <c r="S113" s="358"/>
    </row>
    <row r="114" spans="1:19" ht="15" customHeight="1" x14ac:dyDescent="0.2">
      <c r="A114" s="81"/>
      <c r="B114" s="81" t="s">
        <v>319</v>
      </c>
      <c r="C114" s="186"/>
      <c r="D114" s="464"/>
      <c r="E114" s="82"/>
      <c r="F114" s="78" t="s">
        <v>129</v>
      </c>
      <c r="G114" s="82"/>
      <c r="H114" s="78" t="s">
        <v>129</v>
      </c>
      <c r="I114" s="82"/>
      <c r="J114" s="172" t="s">
        <v>129</v>
      </c>
      <c r="K114" s="584">
        <v>0</v>
      </c>
      <c r="L114" s="78" t="s">
        <v>129</v>
      </c>
      <c r="M114" s="594" t="s">
        <v>129</v>
      </c>
      <c r="N114" s="584"/>
      <c r="O114" s="78" t="s">
        <v>129</v>
      </c>
      <c r="P114" s="594" t="s">
        <v>129</v>
      </c>
      <c r="Q114" s="60">
        <v>463</v>
      </c>
      <c r="S114" s="358"/>
    </row>
    <row r="115" spans="1:19" ht="15" customHeight="1" x14ac:dyDescent="0.2">
      <c r="A115" s="70"/>
      <c r="B115" s="70" t="s">
        <v>320</v>
      </c>
      <c r="C115" s="186"/>
      <c r="D115" s="464">
        <v>398251.18</v>
      </c>
      <c r="E115" s="82">
        <v>398251.18</v>
      </c>
      <c r="F115" s="420">
        <f>+E115/D115</f>
        <v>1</v>
      </c>
      <c r="G115" s="82">
        <v>398251.18</v>
      </c>
      <c r="H115" s="420">
        <f>+G115/D115</f>
        <v>1</v>
      </c>
      <c r="I115" s="82">
        <v>398251.18</v>
      </c>
      <c r="J115" s="434">
        <f>I115/D115</f>
        <v>1</v>
      </c>
      <c r="K115" s="394">
        <v>3584260.62</v>
      </c>
      <c r="L115" s="420">
        <v>6.53127505253841E-2</v>
      </c>
      <c r="M115" s="594">
        <f t="shared" si="15"/>
        <v>-0.88888888888888884</v>
      </c>
      <c r="N115" s="394">
        <v>3584260.62</v>
      </c>
      <c r="O115" s="420">
        <v>6.53127505253841E-2</v>
      </c>
      <c r="P115" s="594">
        <f>+I115/N115-1</f>
        <v>-0.88888888888888884</v>
      </c>
      <c r="Q115" s="60">
        <v>46401</v>
      </c>
      <c r="S115" s="358"/>
    </row>
    <row r="116" spans="1:19" ht="15" customHeight="1" x14ac:dyDescent="0.2">
      <c r="A116" s="70"/>
      <c r="B116" s="70" t="s">
        <v>321</v>
      </c>
      <c r="C116" s="186">
        <v>1997000</v>
      </c>
      <c r="D116" s="464">
        <v>1997000</v>
      </c>
      <c r="E116" s="82">
        <v>110000</v>
      </c>
      <c r="F116" s="420">
        <f t="shared" ref="F116:F124" si="25">+E116/D116</f>
        <v>5.5082623935903859E-2</v>
      </c>
      <c r="G116" s="82">
        <v>110000</v>
      </c>
      <c r="H116" s="420">
        <f t="shared" ref="H116:H120" si="26">+G116/D116</f>
        <v>5.5082623935903859E-2</v>
      </c>
      <c r="I116" s="82">
        <v>0</v>
      </c>
      <c r="J116" s="434">
        <f t="shared" ref="J116:J123" si="27">I116/D116</f>
        <v>0</v>
      </c>
      <c r="K116" s="394">
        <v>110000</v>
      </c>
      <c r="L116" s="420">
        <v>0.6875</v>
      </c>
      <c r="M116" s="594">
        <f t="shared" si="15"/>
        <v>0</v>
      </c>
      <c r="N116" s="394">
        <v>0</v>
      </c>
      <c r="O116" s="420">
        <v>0</v>
      </c>
      <c r="P116" s="594" t="s">
        <v>129</v>
      </c>
      <c r="Q116" s="60">
        <v>46410</v>
      </c>
      <c r="S116" s="358"/>
    </row>
    <row r="117" spans="1:19" ht="15" customHeight="1" x14ac:dyDescent="0.2">
      <c r="A117" s="72"/>
      <c r="B117" s="72" t="s">
        <v>322</v>
      </c>
      <c r="C117" s="185">
        <v>108534406.23999999</v>
      </c>
      <c r="D117" s="490">
        <v>108579406.23999999</v>
      </c>
      <c r="E117" s="82">
        <v>95519247.310000002</v>
      </c>
      <c r="F117" s="421">
        <f t="shared" si="25"/>
        <v>0.8797179006382454</v>
      </c>
      <c r="G117" s="82">
        <v>95519247.310000002</v>
      </c>
      <c r="H117" s="421">
        <f t="shared" si="26"/>
        <v>0.8797179006382454</v>
      </c>
      <c r="I117" s="82">
        <v>22432102.539999999</v>
      </c>
      <c r="J117" s="435">
        <f t="shared" si="27"/>
        <v>0.20659629037219904</v>
      </c>
      <c r="K117" s="583">
        <v>90365277.209999993</v>
      </c>
      <c r="L117" s="421">
        <v>0.94883261783042194</v>
      </c>
      <c r="M117" s="590">
        <f t="shared" si="15"/>
        <v>5.7034850764887235E-2</v>
      </c>
      <c r="N117" s="583">
        <v>16253391.82</v>
      </c>
      <c r="O117" s="421">
        <v>0.17066011177452092</v>
      </c>
      <c r="P117" s="590">
        <f>+I117/N117-1</f>
        <v>0.38014900449252798</v>
      </c>
      <c r="Q117" s="60" t="s">
        <v>328</v>
      </c>
      <c r="S117" s="358"/>
    </row>
    <row r="118" spans="1:19" ht="15" customHeight="1" x14ac:dyDescent="0.2">
      <c r="A118" s="63"/>
      <c r="B118" s="63" t="s">
        <v>323</v>
      </c>
      <c r="C118" s="489"/>
      <c r="D118" s="491"/>
      <c r="E118" s="64"/>
      <c r="F118" s="423" t="s">
        <v>129</v>
      </c>
      <c r="G118" s="64"/>
      <c r="H118" s="423" t="s">
        <v>129</v>
      </c>
      <c r="I118" s="64"/>
      <c r="J118" s="437" t="s">
        <v>129</v>
      </c>
      <c r="K118" s="603">
        <v>0</v>
      </c>
      <c r="L118" s="423" t="s">
        <v>129</v>
      </c>
      <c r="M118" s="590" t="s">
        <v>129</v>
      </c>
      <c r="N118" s="603">
        <v>0</v>
      </c>
      <c r="O118" s="423" t="s">
        <v>129</v>
      </c>
      <c r="P118" s="590" t="s">
        <v>129</v>
      </c>
      <c r="Q118" s="60">
        <v>465</v>
      </c>
      <c r="S118" s="358"/>
    </row>
    <row r="119" spans="1:19" ht="15" customHeight="1" x14ac:dyDescent="0.2">
      <c r="A119" s="68"/>
      <c r="B119" s="68" t="s">
        <v>324</v>
      </c>
      <c r="C119" s="186">
        <v>132984242.02</v>
      </c>
      <c r="D119" s="464">
        <v>132984242.02</v>
      </c>
      <c r="E119" s="71">
        <v>112255416.90000001</v>
      </c>
      <c r="F119" s="362">
        <f t="shared" si="25"/>
        <v>0.84412570387939267</v>
      </c>
      <c r="G119" s="71">
        <v>112255416.90000001</v>
      </c>
      <c r="H119" s="362">
        <f t="shared" si="26"/>
        <v>0.84412570387939267</v>
      </c>
      <c r="I119" s="71">
        <v>36261555.640000001</v>
      </c>
      <c r="J119" s="239">
        <f t="shared" si="27"/>
        <v>0.272675582378749</v>
      </c>
      <c r="K119" s="582">
        <v>110924325</v>
      </c>
      <c r="L119" s="238">
        <v>0.95136971527631864</v>
      </c>
      <c r="M119" s="593">
        <f t="shared" si="15"/>
        <v>1.2000000000000011E-2</v>
      </c>
      <c r="N119" s="582">
        <v>42981164.079999998</v>
      </c>
      <c r="O119" s="238">
        <v>0.36863850947963245</v>
      </c>
      <c r="P119" s="593">
        <f>+I119/N119-1</f>
        <v>-0.15633844694138399</v>
      </c>
      <c r="Q119" s="60">
        <v>46701</v>
      </c>
      <c r="S119" s="358"/>
    </row>
    <row r="120" spans="1:19" ht="15" customHeight="1" x14ac:dyDescent="0.2">
      <c r="A120" s="70"/>
      <c r="B120" s="70" t="s">
        <v>325</v>
      </c>
      <c r="C120" s="186">
        <v>69600900.939999998</v>
      </c>
      <c r="D120" s="464">
        <v>69612434.280000001</v>
      </c>
      <c r="E120" s="71">
        <v>69362105.189999998</v>
      </c>
      <c r="F120" s="420">
        <f t="shared" si="25"/>
        <v>0.99640396011733889</v>
      </c>
      <c r="G120" s="71">
        <v>69362105.189999998</v>
      </c>
      <c r="H120" s="420">
        <f t="shared" si="26"/>
        <v>0.99640396011733889</v>
      </c>
      <c r="I120" s="71">
        <v>23120700</v>
      </c>
      <c r="J120" s="434">
        <f t="shared" si="27"/>
        <v>0.33213462852056436</v>
      </c>
      <c r="K120" s="394">
        <v>63091007.549999997</v>
      </c>
      <c r="L120" s="420">
        <v>0.99953802894898658</v>
      </c>
      <c r="M120" s="594">
        <f t="shared" si="15"/>
        <v>9.9397646091324843E-2</v>
      </c>
      <c r="N120" s="394">
        <v>21069830</v>
      </c>
      <c r="O120" s="420">
        <v>0.3338050407865174</v>
      </c>
      <c r="P120" s="594">
        <f>+I120/N120-1</f>
        <v>9.7336808128019925E-2</v>
      </c>
      <c r="Q120" s="60">
        <v>46703</v>
      </c>
      <c r="S120" s="358"/>
    </row>
    <row r="121" spans="1:19" ht="15" customHeight="1" x14ac:dyDescent="0.2">
      <c r="A121" s="70"/>
      <c r="B121" s="70" t="s">
        <v>336</v>
      </c>
      <c r="C121" s="186"/>
      <c r="D121" s="464"/>
      <c r="E121" s="71"/>
      <c r="F121" s="420" t="s">
        <v>129</v>
      </c>
      <c r="G121" s="71"/>
      <c r="H121" s="420" t="s">
        <v>129</v>
      </c>
      <c r="I121" s="71"/>
      <c r="J121" s="434" t="s">
        <v>129</v>
      </c>
      <c r="K121" s="394">
        <v>0</v>
      </c>
      <c r="L121" s="420" t="s">
        <v>129</v>
      </c>
      <c r="M121" s="594" t="s">
        <v>129</v>
      </c>
      <c r="N121" s="394"/>
      <c r="O121" s="420" t="s">
        <v>129</v>
      </c>
      <c r="P121" s="594" t="s">
        <v>129</v>
      </c>
      <c r="Q121" s="60" t="s">
        <v>393</v>
      </c>
      <c r="S121" s="358"/>
    </row>
    <row r="122" spans="1:19" ht="15" customHeight="1" x14ac:dyDescent="0.2">
      <c r="A122" s="70"/>
      <c r="B122" s="70" t="s">
        <v>337</v>
      </c>
      <c r="C122" s="186">
        <v>1142000</v>
      </c>
      <c r="D122" s="464">
        <v>1142000</v>
      </c>
      <c r="E122" s="71">
        <v>1142000</v>
      </c>
      <c r="F122" s="420">
        <f t="shared" si="25"/>
        <v>1</v>
      </c>
      <c r="G122" s="71">
        <v>1142000</v>
      </c>
      <c r="H122" s="420">
        <f t="shared" ref="H122:H124" si="28">+G122/D122</f>
        <v>1</v>
      </c>
      <c r="I122" s="71">
        <v>380000</v>
      </c>
      <c r="J122" s="434">
        <f t="shared" si="27"/>
        <v>0.33274956217162871</v>
      </c>
      <c r="K122" s="394">
        <v>1142000</v>
      </c>
      <c r="L122" s="420">
        <v>0.75428529156891344</v>
      </c>
      <c r="M122" s="594">
        <f t="shared" si="15"/>
        <v>0</v>
      </c>
      <c r="N122" s="394">
        <v>380000</v>
      </c>
      <c r="O122" s="420">
        <v>0.25098810052205522</v>
      </c>
      <c r="P122" s="594">
        <f>+I122/N122-1</f>
        <v>0</v>
      </c>
      <c r="Q122" s="60" t="s">
        <v>394</v>
      </c>
      <c r="S122" s="358"/>
    </row>
    <row r="123" spans="1:19" ht="15" customHeight="1" x14ac:dyDescent="0.2">
      <c r="A123" s="70"/>
      <c r="B123" s="70" t="s">
        <v>335</v>
      </c>
      <c r="C123" s="186">
        <v>421003.62</v>
      </c>
      <c r="D123" s="464">
        <v>421003.62</v>
      </c>
      <c r="E123" s="71">
        <v>421003.62</v>
      </c>
      <c r="F123" s="420">
        <f t="shared" si="25"/>
        <v>1</v>
      </c>
      <c r="G123" s="71">
        <v>421003.62</v>
      </c>
      <c r="H123" s="420">
        <f t="shared" si="28"/>
        <v>1</v>
      </c>
      <c r="I123" s="71">
        <v>0</v>
      </c>
      <c r="J123" s="434">
        <f t="shared" si="27"/>
        <v>0</v>
      </c>
      <c r="K123" s="394">
        <v>271003.62</v>
      </c>
      <c r="L123" s="420">
        <v>1</v>
      </c>
      <c r="M123" s="594">
        <f t="shared" si="15"/>
        <v>0.55349814146394061</v>
      </c>
      <c r="N123" s="394">
        <v>0</v>
      </c>
      <c r="O123" s="420">
        <v>0</v>
      </c>
      <c r="P123" s="594" t="s">
        <v>129</v>
      </c>
      <c r="Q123" s="60" t="s">
        <v>389</v>
      </c>
      <c r="S123" s="358"/>
    </row>
    <row r="124" spans="1:19" ht="15" customHeight="1" x14ac:dyDescent="0.2">
      <c r="A124" s="70"/>
      <c r="B124" s="70" t="s">
        <v>332</v>
      </c>
      <c r="C124" s="186">
        <v>17276353.23</v>
      </c>
      <c r="D124" s="464">
        <v>17276353.23</v>
      </c>
      <c r="E124" s="71">
        <v>17276353.23</v>
      </c>
      <c r="F124" s="420">
        <f t="shared" si="25"/>
        <v>1</v>
      </c>
      <c r="G124" s="71">
        <v>17276353.23</v>
      </c>
      <c r="H124" s="420">
        <f t="shared" si="28"/>
        <v>1</v>
      </c>
      <c r="I124" s="71">
        <v>5758784.4000000004</v>
      </c>
      <c r="J124" s="434">
        <f>I124/D124</f>
        <v>0.33333333275450749</v>
      </c>
      <c r="K124" s="394">
        <v>15409576.619999999</v>
      </c>
      <c r="L124" s="420">
        <v>0.9963869840726397</v>
      </c>
      <c r="M124" s="594">
        <f t="shared" si="15"/>
        <v>0.12114392601657364</v>
      </c>
      <c r="N124" s="394">
        <v>5180000</v>
      </c>
      <c r="O124" s="420">
        <v>0.3349400638819286</v>
      </c>
      <c r="P124" s="594">
        <f>+I124/N124-1</f>
        <v>0.11173444015444023</v>
      </c>
      <c r="Q124" s="60" t="s">
        <v>386</v>
      </c>
      <c r="S124" s="358"/>
    </row>
    <row r="125" spans="1:19" ht="15" customHeight="1" x14ac:dyDescent="0.2">
      <c r="A125" s="70"/>
      <c r="B125" s="70" t="s">
        <v>334</v>
      </c>
      <c r="C125" s="186"/>
      <c r="D125" s="464"/>
      <c r="E125" s="71"/>
      <c r="F125" s="130" t="s">
        <v>129</v>
      </c>
      <c r="G125" s="71"/>
      <c r="H125" s="130" t="s">
        <v>129</v>
      </c>
      <c r="I125" s="71"/>
      <c r="J125" s="194" t="s">
        <v>129</v>
      </c>
      <c r="K125" s="394">
        <v>0</v>
      </c>
      <c r="L125" s="130" t="s">
        <v>129</v>
      </c>
      <c r="M125" s="594" t="s">
        <v>129</v>
      </c>
      <c r="N125" s="394"/>
      <c r="O125" s="130" t="s">
        <v>129</v>
      </c>
      <c r="P125" s="594" t="s">
        <v>129</v>
      </c>
      <c r="Q125" s="60" t="s">
        <v>387</v>
      </c>
      <c r="S125" s="358"/>
    </row>
    <row r="126" spans="1:19" ht="15" customHeight="1" x14ac:dyDescent="0.2">
      <c r="A126" s="70"/>
      <c r="B126" s="70" t="s">
        <v>333</v>
      </c>
      <c r="C126" s="186">
        <v>2248848</v>
      </c>
      <c r="D126" s="464">
        <v>2248848</v>
      </c>
      <c r="E126" s="71">
        <v>2248848</v>
      </c>
      <c r="F126" s="420">
        <f t="shared" ref="F126:F140" si="29">+E126/D126</f>
        <v>1</v>
      </c>
      <c r="G126" s="71">
        <v>2248848</v>
      </c>
      <c r="H126" s="420">
        <f t="shared" ref="H126:H140" si="30">+G126/D126</f>
        <v>1</v>
      </c>
      <c r="I126" s="71">
        <v>750000</v>
      </c>
      <c r="J126" s="434">
        <f t="shared" ref="J126:J140" si="31">I126/D126</f>
        <v>0.3335040874260955</v>
      </c>
      <c r="K126" s="394">
        <v>2248848</v>
      </c>
      <c r="L126" s="420">
        <v>1</v>
      </c>
      <c r="M126" s="594">
        <f t="shared" si="15"/>
        <v>0</v>
      </c>
      <c r="N126" s="394">
        <v>750000</v>
      </c>
      <c r="O126" s="420">
        <v>0.3335040874260955</v>
      </c>
      <c r="P126" s="594">
        <f>+I126/N126-1</f>
        <v>0</v>
      </c>
      <c r="Q126" s="60" t="s">
        <v>388</v>
      </c>
      <c r="S126" s="358"/>
    </row>
    <row r="127" spans="1:19" ht="15" customHeight="1" x14ac:dyDescent="0.2">
      <c r="A127" s="70"/>
      <c r="B127" s="70" t="s">
        <v>331</v>
      </c>
      <c r="C127" s="186">
        <v>1237126</v>
      </c>
      <c r="D127" s="464">
        <v>1542126</v>
      </c>
      <c r="E127" s="71">
        <v>666451.71</v>
      </c>
      <c r="F127" s="420">
        <f t="shared" si="29"/>
        <v>0.43216423949793981</v>
      </c>
      <c r="G127" s="71">
        <v>666451.71</v>
      </c>
      <c r="H127" s="420">
        <f t="shared" si="30"/>
        <v>0.43216423949793981</v>
      </c>
      <c r="I127" s="71">
        <v>0</v>
      </c>
      <c r="J127" s="434">
        <f t="shared" si="31"/>
        <v>0</v>
      </c>
      <c r="K127" s="394">
        <v>525880</v>
      </c>
      <c r="L127" s="420">
        <v>0.27389897175905142</v>
      </c>
      <c r="M127" s="594">
        <f t="shared" si="15"/>
        <v>0.26730757967597163</v>
      </c>
      <c r="N127" s="394">
        <v>0</v>
      </c>
      <c r="O127" s="420">
        <v>0</v>
      </c>
      <c r="P127" s="594" t="s">
        <v>129</v>
      </c>
      <c r="Q127" s="60" t="s">
        <v>392</v>
      </c>
      <c r="S127" s="358"/>
    </row>
    <row r="128" spans="1:19" ht="15" customHeight="1" x14ac:dyDescent="0.2">
      <c r="A128" s="70"/>
      <c r="B128" s="70" t="s">
        <v>329</v>
      </c>
      <c r="C128" s="186">
        <v>185101.56</v>
      </c>
      <c r="D128" s="464">
        <v>260101.56</v>
      </c>
      <c r="E128" s="71">
        <v>260101.56</v>
      </c>
      <c r="F128" s="420">
        <f t="shared" si="29"/>
        <v>1</v>
      </c>
      <c r="G128" s="71">
        <v>260101.56</v>
      </c>
      <c r="H128" s="420">
        <f t="shared" si="30"/>
        <v>1</v>
      </c>
      <c r="I128" s="71">
        <v>69000</v>
      </c>
      <c r="J128" s="434">
        <f t="shared" si="31"/>
        <v>0.26528099254768023</v>
      </c>
      <c r="K128" s="394">
        <v>155101.56</v>
      </c>
      <c r="L128" s="420">
        <v>1</v>
      </c>
      <c r="M128" s="594">
        <f t="shared" si="15"/>
        <v>0.67697578283545301</v>
      </c>
      <c r="N128" s="394">
        <v>77500</v>
      </c>
      <c r="O128" s="420">
        <v>0.49967260161664395</v>
      </c>
      <c r="P128" s="594">
        <f>+I128/N128-1</f>
        <v>-0.10967741935483866</v>
      </c>
      <c r="Q128" s="60" t="s">
        <v>390</v>
      </c>
      <c r="S128" s="358"/>
    </row>
    <row r="129" spans="1:19" ht="15" customHeight="1" x14ac:dyDescent="0.2">
      <c r="A129" s="70"/>
      <c r="B129" s="70" t="s">
        <v>330</v>
      </c>
      <c r="C129" s="186">
        <v>1108512.45</v>
      </c>
      <c r="D129" s="464">
        <v>1108512.45</v>
      </c>
      <c r="E129" s="71">
        <v>1108512.45</v>
      </c>
      <c r="F129" s="420">
        <f t="shared" si="29"/>
        <v>1</v>
      </c>
      <c r="G129" s="71">
        <v>1108512.45</v>
      </c>
      <c r="H129" s="420">
        <f t="shared" si="30"/>
        <v>1</v>
      </c>
      <c r="I129" s="71">
        <v>360000</v>
      </c>
      <c r="J129" s="434">
        <f t="shared" si="31"/>
        <v>0.32475954600239271</v>
      </c>
      <c r="K129" s="394">
        <v>1008512.45</v>
      </c>
      <c r="L129" s="420">
        <v>1</v>
      </c>
      <c r="M129" s="594">
        <f t="shared" si="15"/>
        <v>9.9155940018390565E-2</v>
      </c>
      <c r="N129" s="394">
        <v>335000</v>
      </c>
      <c r="O129" s="420">
        <v>0.332172399061608</v>
      </c>
      <c r="P129" s="594">
        <f>+I129/N129-1</f>
        <v>7.4626865671641784E-2</v>
      </c>
      <c r="Q129" s="60" t="s">
        <v>391</v>
      </c>
      <c r="S129" s="358"/>
    </row>
    <row r="130" spans="1:19" ht="15" customHeight="1" x14ac:dyDescent="0.2">
      <c r="A130" s="70"/>
      <c r="B130" s="70" t="s">
        <v>327</v>
      </c>
      <c r="C130" s="186">
        <v>11341014</v>
      </c>
      <c r="D130" s="464">
        <v>11341014</v>
      </c>
      <c r="E130" s="71">
        <v>11341014</v>
      </c>
      <c r="F130" s="420">
        <f t="shared" si="29"/>
        <v>1</v>
      </c>
      <c r="G130" s="71">
        <v>11341014</v>
      </c>
      <c r="H130" s="420">
        <f t="shared" si="30"/>
        <v>1</v>
      </c>
      <c r="I130" s="71">
        <v>1270000</v>
      </c>
      <c r="J130" s="434">
        <f t="shared" si="31"/>
        <v>0.11198293203764673</v>
      </c>
      <c r="K130" s="394">
        <v>8541014</v>
      </c>
      <c r="L130" s="420">
        <v>1</v>
      </c>
      <c r="M130" s="594">
        <f t="shared" si="15"/>
        <v>0.32782992745357875</v>
      </c>
      <c r="N130" s="394">
        <v>7270000</v>
      </c>
      <c r="O130" s="420">
        <v>0.85118699020982758</v>
      </c>
      <c r="P130" s="594">
        <f>+I130/N130-1</f>
        <v>-0.82530949105914719</v>
      </c>
      <c r="Q130" s="60">
        <v>46743</v>
      </c>
      <c r="S130" s="358"/>
    </row>
    <row r="131" spans="1:19" ht="15" customHeight="1" x14ac:dyDescent="0.2">
      <c r="A131" s="70"/>
      <c r="B131" s="70" t="s">
        <v>326</v>
      </c>
      <c r="C131" s="186">
        <v>1136412.6100000001</v>
      </c>
      <c r="D131" s="464">
        <v>1136412.6100000001</v>
      </c>
      <c r="E131" s="71">
        <v>480412.61</v>
      </c>
      <c r="F131" s="420">
        <f t="shared" si="29"/>
        <v>0.42274487784854831</v>
      </c>
      <c r="G131" s="71">
        <v>480412.61</v>
      </c>
      <c r="H131" s="420">
        <f t="shared" si="30"/>
        <v>0.42274487784854831</v>
      </c>
      <c r="I131" s="71">
        <v>284000</v>
      </c>
      <c r="J131" s="434">
        <f t="shared" si="31"/>
        <v>0.24990922971190893</v>
      </c>
      <c r="K131" s="394">
        <v>1172912.6100000001</v>
      </c>
      <c r="L131" s="420">
        <v>1</v>
      </c>
      <c r="M131" s="594">
        <f t="shared" si="15"/>
        <v>-0.59041056775747347</v>
      </c>
      <c r="N131" s="394">
        <v>568000</v>
      </c>
      <c r="O131" s="420">
        <v>0.4842645523267074</v>
      </c>
      <c r="P131" s="594">
        <f t="shared" ref="P131:P136" si="32">+I131/N131-1</f>
        <v>-0.5</v>
      </c>
      <c r="Q131" s="60">
        <v>46746</v>
      </c>
      <c r="S131" s="358"/>
    </row>
    <row r="132" spans="1:19" ht="15" customHeight="1" x14ac:dyDescent="0.2">
      <c r="A132" s="70"/>
      <c r="B132" s="70" t="s">
        <v>338</v>
      </c>
      <c r="C132" s="186">
        <v>1490399</v>
      </c>
      <c r="D132" s="464">
        <v>1490399</v>
      </c>
      <c r="E132" s="71">
        <v>1241399</v>
      </c>
      <c r="F132" s="420">
        <f t="shared" si="29"/>
        <v>0.83293064474680945</v>
      </c>
      <c r="G132" s="71">
        <v>1241399</v>
      </c>
      <c r="H132" s="420">
        <f t="shared" si="30"/>
        <v>0.83293064474680945</v>
      </c>
      <c r="I132" s="71">
        <v>620000</v>
      </c>
      <c r="J132" s="434">
        <f t="shared" si="31"/>
        <v>0.41599598496778378</v>
      </c>
      <c r="K132" s="394">
        <v>1241399</v>
      </c>
      <c r="L132" s="420">
        <v>0.6566862339643641</v>
      </c>
      <c r="M132" s="594">
        <f t="shared" si="15"/>
        <v>0</v>
      </c>
      <c r="N132" s="394">
        <v>620000</v>
      </c>
      <c r="O132" s="420">
        <v>0.32797308927903579</v>
      </c>
      <c r="P132" s="594">
        <f t="shared" si="32"/>
        <v>0</v>
      </c>
      <c r="Q132" s="60" t="s">
        <v>395</v>
      </c>
      <c r="S132" s="358"/>
    </row>
    <row r="133" spans="1:19" ht="15" customHeight="1" x14ac:dyDescent="0.2">
      <c r="A133" s="72"/>
      <c r="B133" s="72" t="s">
        <v>339</v>
      </c>
      <c r="C133" s="176">
        <v>6277211.96</v>
      </c>
      <c r="D133" s="493">
        <v>7484110.3499999996</v>
      </c>
      <c r="E133" s="73">
        <v>2032754.23</v>
      </c>
      <c r="F133" s="513">
        <f t="shared" si="29"/>
        <v>0.27160933430117051</v>
      </c>
      <c r="G133" s="71">
        <v>2032754.23</v>
      </c>
      <c r="H133" s="421">
        <f t="shared" si="30"/>
        <v>0.27160933430117051</v>
      </c>
      <c r="I133" s="71">
        <v>1599902.72</v>
      </c>
      <c r="J133" s="435">
        <f t="shared" si="31"/>
        <v>0.21377326698556764</v>
      </c>
      <c r="K133" s="583">
        <v>2534557.73</v>
      </c>
      <c r="L133" s="421">
        <v>0.75229808771072326</v>
      </c>
      <c r="M133" s="590">
        <f t="shared" si="15"/>
        <v>-0.19798464010523842</v>
      </c>
      <c r="N133" s="583">
        <v>2463080.7000000002</v>
      </c>
      <c r="O133" s="421">
        <v>0.73108253899870324</v>
      </c>
      <c r="P133" s="590">
        <f t="shared" si="32"/>
        <v>-0.35044648760391817</v>
      </c>
      <c r="Q133" s="60" t="s">
        <v>340</v>
      </c>
      <c r="S133" s="358"/>
    </row>
    <row r="134" spans="1:19" ht="15" customHeight="1" x14ac:dyDescent="0.2">
      <c r="A134" s="68"/>
      <c r="B134" s="68" t="s">
        <v>341</v>
      </c>
      <c r="C134" s="488">
        <v>3977488.74</v>
      </c>
      <c r="D134" s="494">
        <v>4619480.2</v>
      </c>
      <c r="E134" s="82">
        <v>3370291.46</v>
      </c>
      <c r="F134" s="238">
        <f t="shared" si="29"/>
        <v>0.72958240193344692</v>
      </c>
      <c r="G134" s="69">
        <v>125000</v>
      </c>
      <c r="H134" s="420">
        <f t="shared" si="30"/>
        <v>2.705932152279817E-2</v>
      </c>
      <c r="I134" s="69">
        <v>0</v>
      </c>
      <c r="J134" s="434">
        <f t="shared" si="31"/>
        <v>0</v>
      </c>
      <c r="K134" s="582">
        <v>125000</v>
      </c>
      <c r="L134" s="238">
        <v>9.8918250586581269E-2</v>
      </c>
      <c r="M134" s="590">
        <f t="shared" si="15"/>
        <v>0</v>
      </c>
      <c r="N134" s="582">
        <v>0</v>
      </c>
      <c r="O134" s="238">
        <v>0</v>
      </c>
      <c r="P134" s="600" t="s">
        <v>129</v>
      </c>
      <c r="Q134" s="60">
        <v>47</v>
      </c>
      <c r="S134" s="358"/>
    </row>
    <row r="135" spans="1:19" ht="15" customHeight="1" x14ac:dyDescent="0.2">
      <c r="A135" s="70"/>
      <c r="B135" s="70" t="s">
        <v>342</v>
      </c>
      <c r="C135" s="186">
        <v>92249396.719999999</v>
      </c>
      <c r="D135" s="464">
        <v>90020373.519999996</v>
      </c>
      <c r="E135" s="71">
        <v>55799140.200000003</v>
      </c>
      <c r="F135" s="420">
        <f t="shared" si="29"/>
        <v>0.61985012967762243</v>
      </c>
      <c r="G135" s="82">
        <v>31334446.850000001</v>
      </c>
      <c r="H135" s="420">
        <f t="shared" si="30"/>
        <v>0.34808172444472663</v>
      </c>
      <c r="I135" s="71">
        <v>11984185.5</v>
      </c>
      <c r="J135" s="434">
        <f t="shared" si="31"/>
        <v>0.13312748027353441</v>
      </c>
      <c r="K135" s="394">
        <v>34162783.719999999</v>
      </c>
      <c r="L135" s="420">
        <v>0.35125609819130099</v>
      </c>
      <c r="M135" s="594">
        <f t="shared" si="15"/>
        <v>-8.2790000170395839E-2</v>
      </c>
      <c r="N135" s="394">
        <v>15817744.560000001</v>
      </c>
      <c r="O135" s="420">
        <v>0.162635436323638</v>
      </c>
      <c r="P135" s="594">
        <f t="shared" si="32"/>
        <v>-0.24235813427499175</v>
      </c>
      <c r="Q135" s="60">
        <v>48</v>
      </c>
      <c r="S135" s="358"/>
    </row>
    <row r="136" spans="1:19" ht="15" customHeight="1" x14ac:dyDescent="0.2">
      <c r="A136" s="72"/>
      <c r="B136" s="72" t="s">
        <v>343</v>
      </c>
      <c r="C136" s="176">
        <v>125828.35</v>
      </c>
      <c r="D136" s="493">
        <v>142693.53</v>
      </c>
      <c r="E136" s="73">
        <v>14914.93</v>
      </c>
      <c r="F136" s="421">
        <f t="shared" si="29"/>
        <v>0.10452422054454746</v>
      </c>
      <c r="G136" s="73">
        <v>14914.93</v>
      </c>
      <c r="H136" s="421">
        <f t="shared" si="30"/>
        <v>0.10452422054454746</v>
      </c>
      <c r="I136" s="73">
        <v>14914.93</v>
      </c>
      <c r="J136" s="435">
        <f t="shared" si="31"/>
        <v>0.10452422054454746</v>
      </c>
      <c r="K136" s="583">
        <v>46854.85</v>
      </c>
      <c r="L136" s="421">
        <v>0.37237117072583403</v>
      </c>
      <c r="M136" s="594">
        <f t="shared" si="15"/>
        <v>-0.68167799064557877</v>
      </c>
      <c r="N136" s="583">
        <v>46854.85</v>
      </c>
      <c r="O136" s="421">
        <v>0.37237117072583403</v>
      </c>
      <c r="P136" s="594">
        <f t="shared" si="32"/>
        <v>-0.68167799064557877</v>
      </c>
      <c r="Q136" s="60">
        <v>49</v>
      </c>
      <c r="S136" s="358"/>
    </row>
    <row r="137" spans="1:19" ht="15" customHeight="1" x14ac:dyDescent="0.2">
      <c r="A137" s="61"/>
      <c r="B137" s="61" t="s">
        <v>453</v>
      </c>
      <c r="C137" s="489">
        <v>13647818.9</v>
      </c>
      <c r="D137" s="491">
        <v>10266413.83</v>
      </c>
      <c r="E137" s="62">
        <v>0</v>
      </c>
      <c r="F137" s="422">
        <f>+E137/D137</f>
        <v>0</v>
      </c>
      <c r="G137" s="62">
        <v>0</v>
      </c>
      <c r="H137" s="422">
        <f>+G137/D137</f>
        <v>0</v>
      </c>
      <c r="I137" s="62">
        <v>0</v>
      </c>
      <c r="J137" s="438">
        <f>I137/D137</f>
        <v>0</v>
      </c>
      <c r="K137" s="581">
        <v>0</v>
      </c>
      <c r="L137" s="422" t="s">
        <v>129</v>
      </c>
      <c r="M137" s="245" t="s">
        <v>129</v>
      </c>
      <c r="N137" s="581">
        <v>0</v>
      </c>
      <c r="O137" s="422" t="s">
        <v>129</v>
      </c>
      <c r="P137" s="245" t="s">
        <v>129</v>
      </c>
      <c r="Q137" s="60">
        <v>5</v>
      </c>
      <c r="S137" s="357"/>
    </row>
    <row r="138" spans="1:19" ht="15" customHeight="1" x14ac:dyDescent="0.2">
      <c r="A138" s="75"/>
      <c r="B138" s="76" t="s">
        <v>345</v>
      </c>
      <c r="C138" s="193">
        <f>SUM(C110:C137)</f>
        <v>469086064.34000003</v>
      </c>
      <c r="D138" s="196">
        <f>SUM(D110:D137)</f>
        <v>466176175.62</v>
      </c>
      <c r="E138" s="77">
        <f>SUM(E110:E137)</f>
        <v>375066464.31999999</v>
      </c>
      <c r="F138" s="424">
        <f>+E138/D138</f>
        <v>0.80455948616673323</v>
      </c>
      <c r="G138" s="77">
        <f>SUM(G110:G137)</f>
        <v>347356479.51000005</v>
      </c>
      <c r="H138" s="424">
        <f t="shared" si="30"/>
        <v>0.74511847167656431</v>
      </c>
      <c r="I138" s="77">
        <f>SUM(I110:I137)</f>
        <v>105303396.91000001</v>
      </c>
      <c r="J138" s="439">
        <f t="shared" si="31"/>
        <v>0.2258875558579323</v>
      </c>
      <c r="K138" s="606">
        <f>SUM(K110:K137)</f>
        <v>340160314.54000008</v>
      </c>
      <c r="L138" s="424">
        <v>0.71410377723296925</v>
      </c>
      <c r="M138" s="601">
        <f t="shared" si="15"/>
        <v>2.1155216121349518E-2</v>
      </c>
      <c r="N138" s="606">
        <f>SUM(N110:N137)</f>
        <v>118896826.63</v>
      </c>
      <c r="O138" s="424">
        <v>0.24960193581756696</v>
      </c>
      <c r="P138" s="601">
        <f>+I138/N138-1</f>
        <v>-0.11432962598995133</v>
      </c>
      <c r="S138" s="357"/>
    </row>
    <row r="139" spans="1:19" ht="21" customHeight="1" thickBot="1" x14ac:dyDescent="0.25">
      <c r="A139" s="9"/>
      <c r="B139" s="2" t="s">
        <v>3</v>
      </c>
      <c r="C139" s="162">
        <f>C105+C138</f>
        <v>1089753389.8699999</v>
      </c>
      <c r="D139" s="152">
        <f>D105+D138</f>
        <v>1096994749.5999999</v>
      </c>
      <c r="E139" s="84">
        <f>E105+E138</f>
        <v>878950508.71000004</v>
      </c>
      <c r="F139" s="90">
        <f>+E139/D139</f>
        <v>0.80123492754226411</v>
      </c>
      <c r="G139" s="84">
        <f>G105+G138</f>
        <v>851240523.9000001</v>
      </c>
      <c r="H139" s="90">
        <f t="shared" si="30"/>
        <v>0.77597502103851468</v>
      </c>
      <c r="I139" s="84">
        <f>I105+I138</f>
        <v>219285266.44</v>
      </c>
      <c r="J139" s="170">
        <f t="shared" si="31"/>
        <v>0.19989636825514304</v>
      </c>
      <c r="K139" s="568">
        <f>K105+K138</f>
        <v>754782869.23000002</v>
      </c>
      <c r="L139" s="90">
        <v>0.74911263863655375</v>
      </c>
      <c r="M139" s="213">
        <f t="shared" si="15"/>
        <v>0.12779523569262041</v>
      </c>
      <c r="N139" s="568">
        <f>N105+N138</f>
        <v>245022380.65000001</v>
      </c>
      <c r="O139" s="90">
        <v>0.24318167459335882</v>
      </c>
      <c r="P139" s="213">
        <f>+I139/N139-1</f>
        <v>-0.10503985040764074</v>
      </c>
      <c r="S139" s="357"/>
    </row>
    <row r="140" spans="1:19" s="6" customFormat="1" ht="19.5" customHeight="1" thickBot="1" x14ac:dyDescent="0.25">
      <c r="A140" s="5"/>
      <c r="B140" s="4" t="s">
        <v>292</v>
      </c>
      <c r="C140" s="163">
        <f>+C11+C61+C65+C139</f>
        <v>2151399911.2599998</v>
      </c>
      <c r="D140" s="154">
        <f>+D11+D61+D65+D139</f>
        <v>2165348003.1599998</v>
      </c>
      <c r="E140" s="155">
        <f>+E11+E61+E65+E139</f>
        <v>1500775279.9400001</v>
      </c>
      <c r="F140" s="181">
        <f t="shared" si="29"/>
        <v>0.69308733642344977</v>
      </c>
      <c r="G140" s="155">
        <f>+G11+G61+G65+G139</f>
        <v>1445020068.4900002</v>
      </c>
      <c r="H140" s="181">
        <f t="shared" si="30"/>
        <v>0.66733849080203766</v>
      </c>
      <c r="I140" s="155">
        <f>+I11+I61+I65+I139</f>
        <v>358951455.87</v>
      </c>
      <c r="J140" s="173">
        <f t="shared" si="31"/>
        <v>0.1657707931224747</v>
      </c>
      <c r="K140" s="576">
        <f>K139+K65+K61+K11</f>
        <v>1341199989.5400002</v>
      </c>
      <c r="L140" s="181">
        <v>0.67039922815110808</v>
      </c>
      <c r="M140" s="607">
        <f t="shared" si="15"/>
        <v>7.7408350551514626E-2</v>
      </c>
      <c r="N140" s="576">
        <f>N139+N65+N61+N11</f>
        <v>388022450.75</v>
      </c>
      <c r="O140" s="181">
        <v>0.19395314160218552</v>
      </c>
      <c r="P140" s="607">
        <f>+I140/N140-1</f>
        <v>-7.4920909405652436E-2</v>
      </c>
      <c r="Q140" s="14"/>
      <c r="S140" s="359"/>
    </row>
    <row r="141" spans="1:19" x14ac:dyDescent="0.2">
      <c r="S141" s="358"/>
    </row>
    <row r="142" spans="1:19" x14ac:dyDescent="0.2">
      <c r="S142" s="358"/>
    </row>
    <row r="143" spans="1:19" x14ac:dyDescent="0.2">
      <c r="B143" s="477"/>
      <c r="S143" s="358"/>
    </row>
    <row r="144" spans="1:19" x14ac:dyDescent="0.2">
      <c r="B144" s="478"/>
      <c r="D144" s="350"/>
      <c r="E144" s="350"/>
      <c r="F144" s="425"/>
      <c r="G144" s="350"/>
      <c r="H144" s="425"/>
      <c r="I144" s="350"/>
      <c r="J144" s="425"/>
      <c r="K144" s="425"/>
      <c r="L144" s="425"/>
      <c r="M144" s="425"/>
      <c r="N144" s="350"/>
      <c r="S144" s="357"/>
    </row>
    <row r="145" spans="2:19" x14ac:dyDescent="0.2">
      <c r="B145" s="479"/>
      <c r="D145" s="46"/>
      <c r="S145" s="358"/>
    </row>
    <row r="146" spans="2:19" x14ac:dyDescent="0.2">
      <c r="B146" s="254"/>
      <c r="I146" s="351"/>
      <c r="N146" s="351"/>
      <c r="S146" s="358"/>
    </row>
    <row r="147" spans="2:19" x14ac:dyDescent="0.2">
      <c r="B147" s="480"/>
      <c r="S147" s="358"/>
    </row>
    <row r="148" spans="2:19" x14ac:dyDescent="0.2">
      <c r="B148" s="254"/>
      <c r="C148" s="254"/>
      <c r="S148" s="358"/>
    </row>
    <row r="149" spans="2:19" x14ac:dyDescent="0.2">
      <c r="S149" s="358"/>
    </row>
    <row r="150" spans="2:19" x14ac:dyDescent="0.2">
      <c r="B150" s="254"/>
      <c r="C150" s="254"/>
      <c r="S150" s="358"/>
    </row>
    <row r="151" spans="2:19" x14ac:dyDescent="0.2">
      <c r="S151" s="358"/>
    </row>
    <row r="152" spans="2:19" x14ac:dyDescent="0.2">
      <c r="C152" s="46"/>
      <c r="D152" s="342"/>
      <c r="S152" s="358"/>
    </row>
    <row r="153" spans="2:19" x14ac:dyDescent="0.2">
      <c r="S153" s="358"/>
    </row>
    <row r="154" spans="2:19" x14ac:dyDescent="0.2">
      <c r="S154" s="358"/>
    </row>
    <row r="155" spans="2:19" x14ac:dyDescent="0.2">
      <c r="S155" s="357"/>
    </row>
    <row r="156" spans="2:19" x14ac:dyDescent="0.2">
      <c r="S156" s="357"/>
    </row>
    <row r="157" spans="2:19" x14ac:dyDescent="0.2">
      <c r="S157" s="357"/>
    </row>
    <row r="158" spans="2:19" x14ac:dyDescent="0.2">
      <c r="S158" s="357"/>
    </row>
    <row r="159" spans="2:19" x14ac:dyDescent="0.2">
      <c r="S159" s="357"/>
    </row>
    <row r="160" spans="2:19" x14ac:dyDescent="0.2">
      <c r="S160" s="358"/>
    </row>
    <row r="161" spans="19:19" x14ac:dyDescent="0.2">
      <c r="S161" s="358"/>
    </row>
    <row r="162" spans="19:19" x14ac:dyDescent="0.2">
      <c r="S162" s="358"/>
    </row>
    <row r="163" spans="19:19" x14ac:dyDescent="0.2">
      <c r="S163" s="358"/>
    </row>
    <row r="164" spans="19:19" x14ac:dyDescent="0.2">
      <c r="S164" s="358"/>
    </row>
    <row r="165" spans="19:19" x14ac:dyDescent="0.2">
      <c r="S165" s="357"/>
    </row>
    <row r="166" spans="19:19" x14ac:dyDescent="0.2">
      <c r="S166" s="357"/>
    </row>
    <row r="167" spans="19:19" x14ac:dyDescent="0.2">
      <c r="S167" s="358"/>
    </row>
    <row r="168" spans="19:19" x14ac:dyDescent="0.2">
      <c r="S168" s="357"/>
    </row>
    <row r="169" spans="19:19" x14ac:dyDescent="0.2">
      <c r="S169" s="358"/>
    </row>
    <row r="170" spans="19:19" x14ac:dyDescent="0.2">
      <c r="S170" s="357"/>
    </row>
    <row r="171" spans="19:19" x14ac:dyDescent="0.2">
      <c r="S171" s="358"/>
    </row>
    <row r="172" spans="19:19" x14ac:dyDescent="0.2">
      <c r="S172" s="358"/>
    </row>
    <row r="173" spans="19:19" x14ac:dyDescent="0.2">
      <c r="S173" s="358"/>
    </row>
    <row r="174" spans="19:19" x14ac:dyDescent="0.2">
      <c r="S174" s="357"/>
    </row>
    <row r="175" spans="19:19" x14ac:dyDescent="0.2">
      <c r="S175" s="358"/>
    </row>
    <row r="176" spans="19:19" x14ac:dyDescent="0.2">
      <c r="S176" s="358"/>
    </row>
    <row r="177" spans="19:19" x14ac:dyDescent="0.2">
      <c r="S177" s="358"/>
    </row>
    <row r="178" spans="19:19" x14ac:dyDescent="0.2">
      <c r="S178" s="358"/>
    </row>
    <row r="179" spans="19:19" x14ac:dyDescent="0.2">
      <c r="S179" s="358"/>
    </row>
    <row r="180" spans="19:19" x14ac:dyDescent="0.2">
      <c r="S180" s="358"/>
    </row>
    <row r="181" spans="19:19" x14ac:dyDescent="0.2">
      <c r="S181" s="358"/>
    </row>
    <row r="182" spans="19:19" x14ac:dyDescent="0.2">
      <c r="S182" s="358"/>
    </row>
    <row r="183" spans="19:19" x14ac:dyDescent="0.2">
      <c r="S183" s="358"/>
    </row>
    <row r="184" spans="19:19" x14ac:dyDescent="0.2">
      <c r="S184" s="358"/>
    </row>
    <row r="185" spans="19:19" x14ac:dyDescent="0.2">
      <c r="S185" s="358"/>
    </row>
    <row r="186" spans="19:19" x14ac:dyDescent="0.2">
      <c r="S186" s="358"/>
    </row>
    <row r="187" spans="19:19" x14ac:dyDescent="0.2">
      <c r="S187" s="358"/>
    </row>
    <row r="188" spans="19:19" x14ac:dyDescent="0.2">
      <c r="S188" s="358"/>
    </row>
    <row r="189" spans="19:19" x14ac:dyDescent="0.2">
      <c r="S189" s="358"/>
    </row>
    <row r="190" spans="19:19" x14ac:dyDescent="0.2">
      <c r="S190" s="358"/>
    </row>
    <row r="191" spans="19:19" x14ac:dyDescent="0.2">
      <c r="S191" s="357"/>
    </row>
    <row r="192" spans="19:19" x14ac:dyDescent="0.2">
      <c r="S192" s="358"/>
    </row>
    <row r="193" spans="19:19" x14ac:dyDescent="0.2">
      <c r="S193" s="358"/>
    </row>
    <row r="194" spans="19:19" x14ac:dyDescent="0.2">
      <c r="S194" s="358"/>
    </row>
    <row r="195" spans="19:19" x14ac:dyDescent="0.2">
      <c r="S195" s="358"/>
    </row>
    <row r="196" spans="19:19" x14ac:dyDescent="0.2">
      <c r="S196" s="358"/>
    </row>
    <row r="197" spans="19:19" x14ac:dyDescent="0.2">
      <c r="S197" s="358"/>
    </row>
    <row r="198" spans="19:19" x14ac:dyDescent="0.2">
      <c r="S198" s="358"/>
    </row>
    <row r="199" spans="19:19" x14ac:dyDescent="0.2">
      <c r="S199" s="358"/>
    </row>
    <row r="200" spans="19:19" x14ac:dyDescent="0.2">
      <c r="S200" s="358"/>
    </row>
    <row r="201" spans="19:19" x14ac:dyDescent="0.2">
      <c r="S201" s="358"/>
    </row>
    <row r="202" spans="19:19" x14ac:dyDescent="0.2">
      <c r="S202" s="358"/>
    </row>
    <row r="203" spans="19:19" x14ac:dyDescent="0.2">
      <c r="S203" s="358"/>
    </row>
    <row r="204" spans="19:19" x14ac:dyDescent="0.2">
      <c r="S204" s="358"/>
    </row>
    <row r="205" spans="19:19" x14ac:dyDescent="0.2">
      <c r="S205" s="358"/>
    </row>
    <row r="206" spans="19:19" x14ac:dyDescent="0.2">
      <c r="S206" s="358"/>
    </row>
    <row r="207" spans="19:19" x14ac:dyDescent="0.2">
      <c r="S207" s="358"/>
    </row>
    <row r="208" spans="19:19" x14ac:dyDescent="0.2">
      <c r="S208" s="358"/>
    </row>
    <row r="209" spans="19:19" x14ac:dyDescent="0.2">
      <c r="S209" s="358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7"/>
    </row>
    <row r="214" spans="19:19" x14ac:dyDescent="0.2">
      <c r="S214" s="357"/>
    </row>
    <row r="215" spans="19:19" x14ac:dyDescent="0.2">
      <c r="S215" s="357"/>
    </row>
    <row r="216" spans="19:19" x14ac:dyDescent="0.2">
      <c r="S216" s="358"/>
    </row>
    <row r="217" spans="19:19" x14ac:dyDescent="0.2">
      <c r="S217" s="358"/>
    </row>
    <row r="218" spans="19:19" x14ac:dyDescent="0.2">
      <c r="S218" s="358"/>
    </row>
    <row r="219" spans="19:19" x14ac:dyDescent="0.2">
      <c r="S219" s="358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7"/>
    </row>
    <row r="224" spans="19:19" x14ac:dyDescent="0.2">
      <c r="S224" s="357"/>
    </row>
    <row r="225" spans="19:19" x14ac:dyDescent="0.2">
      <c r="S225" s="357"/>
    </row>
    <row r="226" spans="19:19" x14ac:dyDescent="0.2">
      <c r="S226" s="358"/>
    </row>
    <row r="227" spans="19:19" x14ac:dyDescent="0.2">
      <c r="S227" s="358"/>
    </row>
  </sheetData>
  <sortState ref="B16:Q18">
    <sortCondition ref="Q16:Q18"/>
  </sortState>
  <mergeCells count="8">
    <mergeCell ref="D107:J107"/>
    <mergeCell ref="K107:P107"/>
    <mergeCell ref="D2:J2"/>
    <mergeCell ref="D68:J68"/>
    <mergeCell ref="K2:P2"/>
    <mergeCell ref="K68:P68"/>
    <mergeCell ref="D44:J44"/>
    <mergeCell ref="K44:P44"/>
  </mergeCells>
  <hyperlinks>
    <hyperlink ref="B9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rowBreaks count="3" manualBreakCount="3">
    <brk id="42" max="15" man="1"/>
    <brk id="66" max="15" man="1"/>
    <brk id="10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32"/>
  <sheetViews>
    <sheetView topLeftCell="A30" zoomScale="85" zoomScaleNormal="85" workbookViewId="0">
      <selection activeCell="J37" sqref="J3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7" customWidth="1"/>
    <col min="7" max="7" width="12.28515625" customWidth="1"/>
    <col min="8" max="8" width="8.140625" style="97" customWidth="1"/>
    <col min="9" max="9" width="12.5703125" customWidth="1"/>
    <col min="10" max="10" width="8.42578125" style="97" customWidth="1"/>
    <col min="11" max="11" width="11.140625" customWidth="1"/>
    <col min="12" max="12" width="6.28515625" style="97" bestFit="1" customWidth="1"/>
    <col min="13" max="13" width="6.85546875" style="97" bestFit="1" customWidth="1"/>
    <col min="14" max="14" width="15.42578125" style="60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8"/>
    </row>
    <row r="56" spans="3:16" x14ac:dyDescent="0.2">
      <c r="P56" s="358"/>
    </row>
    <row r="57" spans="3:16" x14ac:dyDescent="0.2">
      <c r="C57" s="46"/>
      <c r="D57" s="342"/>
      <c r="P57" s="358"/>
    </row>
    <row r="58" spans="3:16" x14ac:dyDescent="0.2">
      <c r="P58" s="358"/>
    </row>
    <row r="59" spans="3:16" x14ac:dyDescent="0.2">
      <c r="P59" s="358"/>
    </row>
    <row r="60" spans="3:16" x14ac:dyDescent="0.2">
      <c r="P60" s="357"/>
    </row>
    <row r="61" spans="3:16" x14ac:dyDescent="0.2">
      <c r="P61" s="357"/>
    </row>
    <row r="62" spans="3:16" x14ac:dyDescent="0.2">
      <c r="P62" s="357"/>
    </row>
    <row r="63" spans="3:16" x14ac:dyDescent="0.2">
      <c r="P63" s="357"/>
    </row>
    <row r="64" spans="3:16" x14ac:dyDescent="0.2">
      <c r="P64" s="357"/>
    </row>
    <row r="65" spans="16:16" customFormat="1" x14ac:dyDescent="0.2">
      <c r="P65" s="358"/>
    </row>
    <row r="66" spans="16:16" customFormat="1" x14ac:dyDescent="0.2">
      <c r="P66" s="358"/>
    </row>
    <row r="67" spans="16:16" customFormat="1" x14ac:dyDescent="0.2">
      <c r="P67" s="358"/>
    </row>
    <row r="68" spans="16:16" customFormat="1" x14ac:dyDescent="0.2">
      <c r="P68" s="358"/>
    </row>
    <row r="69" spans="16:16" customFormat="1" x14ac:dyDescent="0.2">
      <c r="P69" s="358"/>
    </row>
    <row r="70" spans="16:16" customFormat="1" x14ac:dyDescent="0.2">
      <c r="P70" s="357"/>
    </row>
    <row r="71" spans="16:16" customFormat="1" x14ac:dyDescent="0.2">
      <c r="P71" s="357"/>
    </row>
    <row r="72" spans="16:16" customFormat="1" x14ac:dyDescent="0.2">
      <c r="P72" s="358"/>
    </row>
    <row r="73" spans="16:16" customFormat="1" x14ac:dyDescent="0.2">
      <c r="P73" s="357"/>
    </row>
    <row r="74" spans="16:16" customFormat="1" x14ac:dyDescent="0.2">
      <c r="P74" s="358"/>
    </row>
    <row r="75" spans="16:16" customFormat="1" x14ac:dyDescent="0.2">
      <c r="P75" s="357"/>
    </row>
    <row r="76" spans="16:16" customFormat="1" x14ac:dyDescent="0.2">
      <c r="P76" s="358"/>
    </row>
    <row r="77" spans="16:16" customFormat="1" x14ac:dyDescent="0.2">
      <c r="P77" s="358"/>
    </row>
    <row r="78" spans="16:16" customFormat="1" x14ac:dyDescent="0.2">
      <c r="P78" s="358"/>
    </row>
    <row r="79" spans="16:16" customFormat="1" x14ac:dyDescent="0.2">
      <c r="P79" s="357"/>
    </row>
    <row r="80" spans="16:16" customFormat="1" x14ac:dyDescent="0.2">
      <c r="P80" s="358"/>
    </row>
    <row r="81" spans="16:16" customFormat="1" x14ac:dyDescent="0.2">
      <c r="P81" s="358"/>
    </row>
    <row r="82" spans="16:16" customFormat="1" x14ac:dyDescent="0.2">
      <c r="P82" s="358"/>
    </row>
    <row r="83" spans="16:16" customFormat="1" x14ac:dyDescent="0.2">
      <c r="P83" s="358"/>
    </row>
    <row r="84" spans="16:16" customFormat="1" x14ac:dyDescent="0.2">
      <c r="P84" s="358"/>
    </row>
    <row r="85" spans="16:16" customFormat="1" x14ac:dyDescent="0.2">
      <c r="P85" s="358"/>
    </row>
    <row r="86" spans="16:16" customFormat="1" x14ac:dyDescent="0.2">
      <c r="P86" s="358"/>
    </row>
    <row r="87" spans="16:16" customFormat="1" x14ac:dyDescent="0.2">
      <c r="P87" s="358"/>
    </row>
    <row r="88" spans="16:16" customFormat="1" x14ac:dyDescent="0.2">
      <c r="P88" s="358"/>
    </row>
    <row r="89" spans="16:16" customFormat="1" x14ac:dyDescent="0.2">
      <c r="P89" s="358"/>
    </row>
    <row r="90" spans="16:16" customFormat="1" x14ac:dyDescent="0.2">
      <c r="P90" s="358"/>
    </row>
    <row r="91" spans="16:16" customFormat="1" x14ac:dyDescent="0.2">
      <c r="P91" s="358"/>
    </row>
    <row r="92" spans="16:16" customFormat="1" x14ac:dyDescent="0.2">
      <c r="P92" s="358"/>
    </row>
    <row r="93" spans="16:16" customFormat="1" x14ac:dyDescent="0.2">
      <c r="P93" s="358"/>
    </row>
    <row r="94" spans="16:16" customFormat="1" x14ac:dyDescent="0.2">
      <c r="P94" s="358"/>
    </row>
    <row r="95" spans="16:16" customFormat="1" x14ac:dyDescent="0.2">
      <c r="P95" s="358"/>
    </row>
    <row r="96" spans="16:16" customFormat="1" x14ac:dyDescent="0.2">
      <c r="P96" s="357"/>
    </row>
    <row r="97" spans="16:16" customFormat="1" x14ac:dyDescent="0.2">
      <c r="P97" s="358"/>
    </row>
    <row r="98" spans="16:16" customFormat="1" x14ac:dyDescent="0.2">
      <c r="P98" s="358"/>
    </row>
    <row r="99" spans="16:16" customFormat="1" x14ac:dyDescent="0.2">
      <c r="P99" s="358"/>
    </row>
    <row r="100" spans="16:16" customFormat="1" x14ac:dyDescent="0.2">
      <c r="P100" s="358"/>
    </row>
    <row r="101" spans="16:16" customFormat="1" x14ac:dyDescent="0.2">
      <c r="P101" s="358"/>
    </row>
    <row r="102" spans="16:16" customFormat="1" x14ac:dyDescent="0.2">
      <c r="P102" s="358"/>
    </row>
    <row r="103" spans="16:16" customFormat="1" x14ac:dyDescent="0.2">
      <c r="P103" s="358"/>
    </row>
    <row r="104" spans="16:16" customFormat="1" x14ac:dyDescent="0.2">
      <c r="P104" s="358"/>
    </row>
    <row r="105" spans="16:16" customFormat="1" x14ac:dyDescent="0.2">
      <c r="P105" s="358"/>
    </row>
    <row r="106" spans="16:16" customFormat="1" x14ac:dyDescent="0.2">
      <c r="P106" s="358"/>
    </row>
    <row r="107" spans="16:16" customFormat="1" x14ac:dyDescent="0.2">
      <c r="P107" s="358"/>
    </row>
    <row r="108" spans="16:16" customFormat="1" x14ac:dyDescent="0.2">
      <c r="P108" s="358"/>
    </row>
    <row r="109" spans="16:16" customFormat="1" x14ac:dyDescent="0.2">
      <c r="P109" s="358"/>
    </row>
    <row r="110" spans="16:16" customFormat="1" x14ac:dyDescent="0.2">
      <c r="P110" s="358"/>
    </row>
    <row r="111" spans="16:16" customFormat="1" x14ac:dyDescent="0.2">
      <c r="P111" s="358"/>
    </row>
    <row r="112" spans="16:16" customFormat="1" x14ac:dyDescent="0.2">
      <c r="P112" s="358"/>
    </row>
    <row r="113" spans="16:16" customFormat="1" x14ac:dyDescent="0.2">
      <c r="P113" s="358"/>
    </row>
    <row r="114" spans="16:16" customFormat="1" x14ac:dyDescent="0.2">
      <c r="P114" s="358"/>
    </row>
    <row r="115" spans="16:16" customFormat="1" x14ac:dyDescent="0.2">
      <c r="P115" s="358"/>
    </row>
    <row r="116" spans="16:16" customFormat="1" x14ac:dyDescent="0.2">
      <c r="P116" s="358"/>
    </row>
    <row r="117" spans="16:16" customFormat="1" x14ac:dyDescent="0.2">
      <c r="P117" s="358"/>
    </row>
    <row r="118" spans="16:16" customFormat="1" x14ac:dyDescent="0.2">
      <c r="P118" s="357"/>
    </row>
    <row r="119" spans="16:16" customFormat="1" x14ac:dyDescent="0.2">
      <c r="P119" s="357"/>
    </row>
    <row r="120" spans="16:16" customFormat="1" x14ac:dyDescent="0.2">
      <c r="P120" s="357"/>
    </row>
    <row r="121" spans="16:16" customFormat="1" x14ac:dyDescent="0.2">
      <c r="P121" s="358"/>
    </row>
    <row r="122" spans="16:16" customFormat="1" x14ac:dyDescent="0.2">
      <c r="P122" s="358"/>
    </row>
    <row r="123" spans="16:16" customFormat="1" x14ac:dyDescent="0.2">
      <c r="P123" s="358"/>
    </row>
    <row r="124" spans="16:16" customFormat="1" x14ac:dyDescent="0.2">
      <c r="P124" s="358"/>
    </row>
    <row r="125" spans="16:16" customFormat="1" x14ac:dyDescent="0.2">
      <c r="P125" s="358"/>
    </row>
    <row r="126" spans="16:16" customFormat="1" x14ac:dyDescent="0.2">
      <c r="P126" s="358"/>
    </row>
    <row r="127" spans="16:16" customFormat="1" x14ac:dyDescent="0.2">
      <c r="P127" s="358"/>
    </row>
    <row r="128" spans="16:16" customFormat="1" x14ac:dyDescent="0.2">
      <c r="P128" s="357"/>
    </row>
    <row r="129" spans="16:16" customFormat="1" x14ac:dyDescent="0.2">
      <c r="P129" s="357"/>
    </row>
    <row r="130" spans="16:16" customFormat="1" x14ac:dyDescent="0.2">
      <c r="P130" s="357"/>
    </row>
    <row r="131" spans="16:16" customFormat="1" x14ac:dyDescent="0.2">
      <c r="P131" s="358"/>
    </row>
    <row r="132" spans="16:16" customFormat="1" x14ac:dyDescent="0.2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50"/>
  </sheetPr>
  <dimension ref="A1:U303"/>
  <sheetViews>
    <sheetView topLeftCell="A201" zoomScaleNormal="100" workbookViewId="0">
      <pane xSplit="1" topLeftCell="B1" activePane="topRight" state="frozen"/>
      <selection activeCell="N21" sqref="N21"/>
      <selection pane="topRight" activeCell="B217" sqref="B21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">
      <c r="A2" s="8" t="s">
        <v>534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0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3" t="s">
        <v>766</v>
      </c>
      <c r="N4" s="564" t="s">
        <v>17</v>
      </c>
      <c r="O4" s="89" t="s">
        <v>18</v>
      </c>
      <c r="P4" s="649" t="s">
        <v>766</v>
      </c>
      <c r="R4"/>
    </row>
    <row r="5" spans="1:19" ht="14.1" customHeight="1" x14ac:dyDescent="0.2">
      <c r="A5" s="17" t="s">
        <v>53</v>
      </c>
      <c r="B5" s="13" t="s">
        <v>96</v>
      </c>
      <c r="C5" s="530">
        <v>155185000</v>
      </c>
      <c r="D5" s="516">
        <v>155185000</v>
      </c>
      <c r="E5" s="180">
        <v>38499948.289999999</v>
      </c>
      <c r="F5" s="78">
        <f t="shared" ref="F5:F33" si="0">+E5/D5</f>
        <v>0.24809065496020877</v>
      </c>
      <c r="G5" s="180">
        <v>38499948.289999999</v>
      </c>
      <c r="H5" s="78">
        <f t="shared" ref="H5:H32" si="1">+G5/D5</f>
        <v>0.24809065496020877</v>
      </c>
      <c r="I5" s="180">
        <v>38499948.289999999</v>
      </c>
      <c r="J5" s="172">
        <f t="shared" ref="J5:J32" si="2">+I5/D5</f>
        <v>0.24809065496020877</v>
      </c>
      <c r="K5" s="650">
        <v>130087577.93000001</v>
      </c>
      <c r="L5" s="78">
        <v>0.65758422228707858</v>
      </c>
      <c r="M5" s="245">
        <f>+G5/K5-1</f>
        <v>-0.70404592888402617</v>
      </c>
      <c r="N5" s="614">
        <v>130087577.93000001</v>
      </c>
      <c r="O5" s="78">
        <v>0.65758422228707858</v>
      </c>
      <c r="P5" s="172">
        <f>+I5/N5-1</f>
        <v>-0.70404592888402617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38499948.289999999</v>
      </c>
      <c r="F6" s="90">
        <f t="shared" si="0"/>
        <v>0.24809065496020877</v>
      </c>
      <c r="G6" s="203">
        <f>SUBTOTAL(9,G5:G5)</f>
        <v>38499948.289999999</v>
      </c>
      <c r="H6" s="90">
        <f t="shared" si="1"/>
        <v>0.24809065496020877</v>
      </c>
      <c r="I6" s="203">
        <f>SUBTOTAL(9,I5:I5)</f>
        <v>38499948.289999999</v>
      </c>
      <c r="J6" s="170">
        <f t="shared" si="2"/>
        <v>0.24809065496020877</v>
      </c>
      <c r="K6" s="152">
        <f>SUBTOTAL(9,K5:K5)</f>
        <v>130087577.93000001</v>
      </c>
      <c r="L6" s="90">
        <v>0.65758422228707858</v>
      </c>
      <c r="M6" s="213">
        <f>+G6/K6-1</f>
        <v>-0.70404592888402617</v>
      </c>
      <c r="N6" s="568">
        <f>SUBTOTAL(9,N5:N5)</f>
        <v>130087577.93000001</v>
      </c>
      <c r="O6" s="90">
        <v>0.65758422228707858</v>
      </c>
      <c r="P6" s="170">
        <f>+I6/N6-1</f>
        <v>-0.70404592888402617</v>
      </c>
      <c r="R6"/>
    </row>
    <row r="7" spans="1:19" ht="14.1" customHeight="1" x14ac:dyDescent="0.2">
      <c r="A7" s="37" t="s">
        <v>54</v>
      </c>
      <c r="B7" s="38" t="s">
        <v>551</v>
      </c>
      <c r="C7" s="198">
        <v>8321253.9400000004</v>
      </c>
      <c r="D7" s="204">
        <v>19908763.07</v>
      </c>
      <c r="E7" s="30">
        <v>2406313.4</v>
      </c>
      <c r="F7" s="48">
        <f t="shared" si="0"/>
        <v>0.12086704691493422</v>
      </c>
      <c r="G7" s="30">
        <v>1999951.56</v>
      </c>
      <c r="H7" s="48">
        <f t="shared" si="1"/>
        <v>0.10045584213183366</v>
      </c>
      <c r="I7" s="30">
        <v>1664064.25</v>
      </c>
      <c r="J7" s="153">
        <f t="shared" si="2"/>
        <v>8.3584512214499918E-2</v>
      </c>
      <c r="K7" s="651">
        <v>2060666.17</v>
      </c>
      <c r="L7" s="48">
        <v>0.21762711516788519</v>
      </c>
      <c r="M7" s="210">
        <f>+G7/K7-1</f>
        <v>-2.946358361383683E-2</v>
      </c>
      <c r="N7" s="615">
        <v>1736195.29</v>
      </c>
      <c r="O7" s="48">
        <v>0.18335972018736538</v>
      </c>
      <c r="P7" s="153">
        <f>+I7/N7-1</f>
        <v>-4.1545464623395034E-2</v>
      </c>
    </row>
    <row r="8" spans="1:19" ht="14.1" customHeight="1" x14ac:dyDescent="0.2">
      <c r="A8" s="39" t="s">
        <v>55</v>
      </c>
      <c r="B8" s="40" t="s">
        <v>106</v>
      </c>
      <c r="C8" s="199">
        <v>169539288.22</v>
      </c>
      <c r="D8" s="205">
        <v>170178791.12</v>
      </c>
      <c r="E8" s="32">
        <v>42786334.899999999</v>
      </c>
      <c r="F8" s="280">
        <f t="shared" si="0"/>
        <v>0.25141990149541965</v>
      </c>
      <c r="G8" s="32">
        <v>41772226.090000004</v>
      </c>
      <c r="H8" s="280">
        <f t="shared" si="1"/>
        <v>0.2454608227916292</v>
      </c>
      <c r="I8" s="32">
        <v>36094765.740000002</v>
      </c>
      <c r="J8" s="178">
        <f t="shared" si="2"/>
        <v>0.21209908415995335</v>
      </c>
      <c r="K8" s="652">
        <v>46113552.82</v>
      </c>
      <c r="L8" s="280">
        <v>0.25597042551304616</v>
      </c>
      <c r="M8" s="443">
        <f>+G8/K8-1</f>
        <v>-9.4144269190143848E-2</v>
      </c>
      <c r="N8" s="616">
        <v>39033949.75</v>
      </c>
      <c r="O8" s="280">
        <v>0.21667245562196008</v>
      </c>
      <c r="P8" s="427">
        <f>+I8/N8-1</f>
        <v>-7.5298145046159393E-2</v>
      </c>
      <c r="Q8" s="53" t="s">
        <v>148</v>
      </c>
    </row>
    <row r="9" spans="1:19" ht="14.1" customHeight="1" x14ac:dyDescent="0.2">
      <c r="A9" s="39" t="s">
        <v>56</v>
      </c>
      <c r="B9" s="40" t="s">
        <v>122</v>
      </c>
      <c r="C9" s="199">
        <v>60818645.530000001</v>
      </c>
      <c r="D9" s="205">
        <v>61163668.909999996</v>
      </c>
      <c r="E9" s="32">
        <v>1757463.36</v>
      </c>
      <c r="F9" s="280">
        <f t="shared" si="0"/>
        <v>2.8733779240516791E-2</v>
      </c>
      <c r="G9" s="32">
        <v>1285696.56</v>
      </c>
      <c r="H9" s="280">
        <f t="shared" si="1"/>
        <v>2.102059250062081E-2</v>
      </c>
      <c r="I9" s="32">
        <v>0</v>
      </c>
      <c r="J9" s="178">
        <f t="shared" si="2"/>
        <v>0</v>
      </c>
      <c r="K9" s="652">
        <v>0</v>
      </c>
      <c r="L9" s="280">
        <v>0</v>
      </c>
      <c r="M9" s="224" t="s">
        <v>129</v>
      </c>
      <c r="N9" s="616">
        <v>0</v>
      </c>
      <c r="O9" s="280">
        <v>0</v>
      </c>
      <c r="P9" s="348" t="s">
        <v>129</v>
      </c>
      <c r="R9" s="276"/>
    </row>
    <row r="10" spans="1:19" ht="14.1" customHeight="1" x14ac:dyDescent="0.2">
      <c r="A10" s="39">
        <v>134</v>
      </c>
      <c r="B10" s="40" t="s">
        <v>468</v>
      </c>
      <c r="C10" s="199">
        <v>14713359.07</v>
      </c>
      <c r="D10" s="205">
        <v>14962406.300000001</v>
      </c>
      <c r="E10" s="32">
        <v>10359913.470000001</v>
      </c>
      <c r="F10" s="280">
        <f t="shared" si="0"/>
        <v>0.69239621370260473</v>
      </c>
      <c r="G10" s="32">
        <v>9946091.8399999999</v>
      </c>
      <c r="H10" s="280">
        <f t="shared" si="1"/>
        <v>0.66473878870673353</v>
      </c>
      <c r="I10" s="32">
        <v>1398688.67</v>
      </c>
      <c r="J10" s="178">
        <f t="shared" si="2"/>
        <v>9.3480195762362092E-2</v>
      </c>
      <c r="K10" s="652">
        <v>9990036.4299999997</v>
      </c>
      <c r="L10" s="280">
        <v>0.57653116452372333</v>
      </c>
      <c r="M10" s="210">
        <f t="shared" ref="M10:M20" si="3">+G10/K10-1</f>
        <v>-4.3988418168360299E-3</v>
      </c>
      <c r="N10" s="616">
        <v>888623.61</v>
      </c>
      <c r="O10" s="280">
        <v>5.1283016662290085E-2</v>
      </c>
      <c r="P10" s="153">
        <f t="shared" ref="P10:P20" si="4">+I10/N10-1</f>
        <v>0.57399449469950503</v>
      </c>
      <c r="R10" s="276"/>
    </row>
    <row r="11" spans="1:19" ht="14.1" customHeight="1" x14ac:dyDescent="0.2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69769.86</v>
      </c>
      <c r="F11" s="280">
        <f t="shared" si="0"/>
        <v>0.21429654124319827</v>
      </c>
      <c r="G11" s="32">
        <v>69769.86</v>
      </c>
      <c r="H11" s="280">
        <f t="shared" si="1"/>
        <v>0.21429654124319827</v>
      </c>
      <c r="I11" s="32">
        <v>69769.86</v>
      </c>
      <c r="J11" s="178">
        <f t="shared" si="2"/>
        <v>0.21429654124319827</v>
      </c>
      <c r="K11" s="652">
        <v>101964.29</v>
      </c>
      <c r="L11" s="280">
        <v>0.22913457986798527</v>
      </c>
      <c r="M11" s="210">
        <f t="shared" si="3"/>
        <v>-0.31574220739437298</v>
      </c>
      <c r="N11" s="616">
        <v>101964.29</v>
      </c>
      <c r="O11" s="280">
        <v>0.22913457986798527</v>
      </c>
      <c r="P11" s="153">
        <f t="shared" si="4"/>
        <v>-0.31574220739437298</v>
      </c>
      <c r="R11" s="275"/>
    </row>
    <row r="12" spans="1:19" ht="14.1" customHeight="1" x14ac:dyDescent="0.2">
      <c r="A12" s="39">
        <v>136</v>
      </c>
      <c r="B12" s="40" t="s">
        <v>743</v>
      </c>
      <c r="C12" s="199">
        <v>41868192.539999999</v>
      </c>
      <c r="D12" s="205">
        <v>42679437.520000003</v>
      </c>
      <c r="E12" s="32">
        <v>11779134.49</v>
      </c>
      <c r="F12" s="280">
        <f t="shared" si="0"/>
        <v>0.27599085588886174</v>
      </c>
      <c r="G12" s="32">
        <v>11351065</v>
      </c>
      <c r="H12" s="280">
        <f t="shared" si="1"/>
        <v>0.26596097932829549</v>
      </c>
      <c r="I12" s="32">
        <v>8497439.2599999998</v>
      </c>
      <c r="J12" s="178">
        <f t="shared" si="2"/>
        <v>0.199099138924172</v>
      </c>
      <c r="K12" s="652">
        <v>11459957.390000001</v>
      </c>
      <c r="L12" s="280">
        <v>0.25943334392286377</v>
      </c>
      <c r="M12" s="211">
        <f t="shared" si="3"/>
        <v>-9.5019890820030595E-3</v>
      </c>
      <c r="N12" s="616">
        <v>9776119.1500000004</v>
      </c>
      <c r="O12" s="280">
        <v>0.22131419824352808</v>
      </c>
      <c r="P12" s="178">
        <f t="shared" si="4"/>
        <v>-0.13079626694197977</v>
      </c>
      <c r="R12" s="275"/>
    </row>
    <row r="13" spans="1:19" ht="14.1" customHeight="1" x14ac:dyDescent="0.2">
      <c r="A13" s="39" t="s">
        <v>58</v>
      </c>
      <c r="B13" s="40" t="s">
        <v>744</v>
      </c>
      <c r="C13" s="199">
        <v>27281948.489999998</v>
      </c>
      <c r="D13" s="205">
        <v>28237703.109999999</v>
      </c>
      <c r="E13" s="32">
        <v>10482020.289999999</v>
      </c>
      <c r="F13" s="280">
        <f t="shared" si="0"/>
        <v>0.37120654782604939</v>
      </c>
      <c r="G13" s="32">
        <v>9486972.9000000004</v>
      </c>
      <c r="H13" s="280">
        <f t="shared" si="1"/>
        <v>0.33596829257122962</v>
      </c>
      <c r="I13" s="32">
        <v>4172181.41</v>
      </c>
      <c r="J13" s="178">
        <f t="shared" si="2"/>
        <v>0.14775215228190705</v>
      </c>
      <c r="K13" s="652">
        <v>10305643.699999999</v>
      </c>
      <c r="L13" s="280">
        <v>0.47896034015967121</v>
      </c>
      <c r="M13" s="211">
        <f t="shared" si="3"/>
        <v>-7.9439074727568837E-2</v>
      </c>
      <c r="N13" s="616">
        <v>4703082.22</v>
      </c>
      <c r="O13" s="280">
        <v>0.21857827860768189</v>
      </c>
      <c r="P13" s="178">
        <f t="shared" si="4"/>
        <v>-0.1128835910506365</v>
      </c>
      <c r="R13" s="275"/>
      <c r="S13" s="275"/>
    </row>
    <row r="14" spans="1:19" ht="14.1" customHeight="1" x14ac:dyDescent="0.2">
      <c r="A14" s="39" t="s">
        <v>59</v>
      </c>
      <c r="B14" s="40" t="s">
        <v>476</v>
      </c>
      <c r="C14" s="199">
        <v>214257422.94</v>
      </c>
      <c r="D14" s="205">
        <v>240058216.84999999</v>
      </c>
      <c r="E14" s="32">
        <v>97195821.799999997</v>
      </c>
      <c r="F14" s="280">
        <f t="shared" si="0"/>
        <v>0.4048843779454242</v>
      </c>
      <c r="G14" s="32">
        <v>95319494.549999997</v>
      </c>
      <c r="H14" s="280">
        <f t="shared" si="1"/>
        <v>0.39706824369840354</v>
      </c>
      <c r="I14" s="32">
        <v>48791831.43</v>
      </c>
      <c r="J14" s="178">
        <f t="shared" si="2"/>
        <v>0.20324999523131299</v>
      </c>
      <c r="K14" s="652">
        <v>76436673.510000005</v>
      </c>
      <c r="L14" s="280">
        <v>0.35545858229522481</v>
      </c>
      <c r="M14" s="211">
        <f t="shared" si="3"/>
        <v>0.24703875996814029</v>
      </c>
      <c r="N14" s="616">
        <v>50659234.600000001</v>
      </c>
      <c r="O14" s="280">
        <v>0.2355840316457696</v>
      </c>
      <c r="P14" s="178">
        <f t="shared" si="4"/>
        <v>-3.6862048642164136E-2</v>
      </c>
      <c r="R14" s="275"/>
      <c r="S14" s="275"/>
    </row>
    <row r="15" spans="1:19" ht="14.1" customHeight="1" x14ac:dyDescent="0.2">
      <c r="A15" s="39">
        <v>152</v>
      </c>
      <c r="B15" s="40" t="s">
        <v>470</v>
      </c>
      <c r="C15" s="199">
        <v>49948909.390000001</v>
      </c>
      <c r="D15" s="205">
        <v>55653117.719999999</v>
      </c>
      <c r="E15" s="32">
        <v>25961540.190000001</v>
      </c>
      <c r="F15" s="280">
        <f t="shared" si="0"/>
        <v>0.46648851409577424</v>
      </c>
      <c r="G15" s="32">
        <v>25878418.469999999</v>
      </c>
      <c r="H15" s="280">
        <f t="shared" si="1"/>
        <v>0.46499494601899188</v>
      </c>
      <c r="I15" s="32">
        <v>4343537.53</v>
      </c>
      <c r="J15" s="178">
        <f t="shared" si="2"/>
        <v>7.8046616397181065E-2</v>
      </c>
      <c r="K15" s="652">
        <v>19324142.559999999</v>
      </c>
      <c r="L15" s="280">
        <v>0.66137288738415223</v>
      </c>
      <c r="M15" s="211">
        <f t="shared" si="3"/>
        <v>0.33917551009828606</v>
      </c>
      <c r="N15" s="616">
        <v>7544339.1500000004</v>
      </c>
      <c r="O15" s="280">
        <v>0.25820661131785821</v>
      </c>
      <c r="P15" s="178">
        <f t="shared" si="4"/>
        <v>-0.42426534072238786</v>
      </c>
      <c r="R15" s="275"/>
      <c r="S15" s="275"/>
    </row>
    <row r="16" spans="1:19" ht="14.1" customHeight="1" x14ac:dyDescent="0.2">
      <c r="A16" s="39" t="s">
        <v>60</v>
      </c>
      <c r="B16" s="40" t="s">
        <v>477</v>
      </c>
      <c r="C16" s="199">
        <v>129037696.42</v>
      </c>
      <c r="D16" s="205">
        <v>114111223.42</v>
      </c>
      <c r="E16" s="32">
        <v>34348751.409999996</v>
      </c>
      <c r="F16" s="280">
        <f t="shared" si="0"/>
        <v>0.30101115718981741</v>
      </c>
      <c r="G16" s="32">
        <v>32689136.940000001</v>
      </c>
      <c r="H16" s="280">
        <f t="shared" si="1"/>
        <v>0.28646732512615103</v>
      </c>
      <c r="I16" s="32">
        <v>3741230.48</v>
      </c>
      <c r="J16" s="178">
        <f t="shared" si="2"/>
        <v>3.2785823934513028E-2</v>
      </c>
      <c r="K16" s="653">
        <v>21677070.190000001</v>
      </c>
      <c r="L16" s="280">
        <v>0.43205533194433099</v>
      </c>
      <c r="M16" s="211">
        <f t="shared" si="3"/>
        <v>0.50800530945736622</v>
      </c>
      <c r="N16" s="617">
        <v>4239612.7699999996</v>
      </c>
      <c r="O16" s="280">
        <v>8.4501608686158636E-2</v>
      </c>
      <c r="P16" s="178">
        <f t="shared" si="4"/>
        <v>-0.11755372885151483</v>
      </c>
      <c r="R16" s="275"/>
    </row>
    <row r="17" spans="1:18" ht="14.1" customHeight="1" x14ac:dyDescent="0.2">
      <c r="A17" s="39">
        <v>160</v>
      </c>
      <c r="B17" s="40" t="s">
        <v>162</v>
      </c>
      <c r="C17" s="199">
        <v>18375699.07</v>
      </c>
      <c r="D17" s="205">
        <v>18538061.57</v>
      </c>
      <c r="E17" s="32">
        <v>18158298.059999999</v>
      </c>
      <c r="F17" s="280">
        <f t="shared" si="0"/>
        <v>0.97951438943246527</v>
      </c>
      <c r="G17" s="32">
        <v>18158298.059999999</v>
      </c>
      <c r="H17" s="280">
        <f t="shared" si="1"/>
        <v>0.97951438943246527</v>
      </c>
      <c r="I17" s="32">
        <v>2989378.54</v>
      </c>
      <c r="J17" s="178">
        <f t="shared" si="2"/>
        <v>0.16125626342927288</v>
      </c>
      <c r="K17" s="652">
        <v>19340617.449999999</v>
      </c>
      <c r="L17" s="280">
        <v>0.87660527272242961</v>
      </c>
      <c r="M17" s="211">
        <f t="shared" si="3"/>
        <v>-6.1131419048878421E-2</v>
      </c>
      <c r="N17" s="616">
        <v>4564460.07</v>
      </c>
      <c r="O17" s="280">
        <v>0.20688221432625414</v>
      </c>
      <c r="P17" s="178">
        <f t="shared" si="4"/>
        <v>-0.34507510326407564</v>
      </c>
      <c r="R17" s="275"/>
    </row>
    <row r="18" spans="1:18" ht="14.1" customHeight="1" x14ac:dyDescent="0.2">
      <c r="A18" s="39" t="s">
        <v>61</v>
      </c>
      <c r="B18" s="40" t="s">
        <v>478</v>
      </c>
      <c r="C18" s="199">
        <v>8493454.4900000002</v>
      </c>
      <c r="D18" s="205">
        <v>8455161.5800000001</v>
      </c>
      <c r="E18" s="32">
        <v>6341788.7300000004</v>
      </c>
      <c r="F18" s="280">
        <f t="shared" si="0"/>
        <v>0.7500493834441897</v>
      </c>
      <c r="G18" s="32">
        <v>6341788.7300000004</v>
      </c>
      <c r="H18" s="280">
        <f t="shared" si="1"/>
        <v>0.7500493834441897</v>
      </c>
      <c r="I18" s="32">
        <v>1004660.59</v>
      </c>
      <c r="J18" s="178">
        <f t="shared" si="2"/>
        <v>0.11882216330157938</v>
      </c>
      <c r="K18" s="652">
        <v>6140658.3200000003</v>
      </c>
      <c r="L18" s="280">
        <v>0.99583507764852397</v>
      </c>
      <c r="M18" s="211">
        <f t="shared" si="3"/>
        <v>3.2753883951647689E-2</v>
      </c>
      <c r="N18" s="616">
        <v>494119.82</v>
      </c>
      <c r="O18" s="280">
        <v>8.0131774750394305E-2</v>
      </c>
      <c r="P18" s="178">
        <f t="shared" si="4"/>
        <v>1.0332327288551184</v>
      </c>
    </row>
    <row r="19" spans="1:18" ht="14.1" customHeight="1" x14ac:dyDescent="0.2">
      <c r="A19" s="39" t="s">
        <v>62</v>
      </c>
      <c r="B19" s="40" t="s">
        <v>121</v>
      </c>
      <c r="C19" s="199">
        <v>108819137.34</v>
      </c>
      <c r="D19" s="205">
        <v>102194673.68000001</v>
      </c>
      <c r="E19" s="32">
        <v>92900893.670000002</v>
      </c>
      <c r="F19" s="280">
        <f t="shared" si="0"/>
        <v>0.90905807831921437</v>
      </c>
      <c r="G19" s="32">
        <v>92900893.670000002</v>
      </c>
      <c r="H19" s="280">
        <f t="shared" si="1"/>
        <v>0.90905807831921437</v>
      </c>
      <c r="I19" s="32">
        <v>4537837.92</v>
      </c>
      <c r="J19" s="178">
        <f t="shared" si="2"/>
        <v>4.440385938516947E-2</v>
      </c>
      <c r="K19" s="652">
        <v>89327989.739999995</v>
      </c>
      <c r="L19" s="280">
        <v>0.61185942821129569</v>
      </c>
      <c r="M19" s="211">
        <f t="shared" si="3"/>
        <v>3.999758575558876E-2</v>
      </c>
      <c r="N19" s="616">
        <v>10965773.83</v>
      </c>
      <c r="O19" s="280">
        <v>7.5110971656779046E-2</v>
      </c>
      <c r="P19" s="178">
        <f t="shared" si="4"/>
        <v>-0.58618169676403031</v>
      </c>
    </row>
    <row r="20" spans="1:18" ht="14.1" customHeight="1" x14ac:dyDescent="0.2">
      <c r="A20" s="39" t="s">
        <v>63</v>
      </c>
      <c r="B20" s="40" t="s">
        <v>98</v>
      </c>
      <c r="C20" s="199">
        <v>171073344.52000001</v>
      </c>
      <c r="D20" s="205">
        <v>174535316.71000001</v>
      </c>
      <c r="E20" s="32">
        <v>173631387.11000001</v>
      </c>
      <c r="F20" s="280">
        <f t="shared" si="0"/>
        <v>0.99482093585963505</v>
      </c>
      <c r="G20" s="32">
        <v>173608137.11000001</v>
      </c>
      <c r="H20" s="280">
        <f t="shared" si="1"/>
        <v>0.99468772499756852</v>
      </c>
      <c r="I20" s="32">
        <v>15851685.91</v>
      </c>
      <c r="J20" s="178">
        <f t="shared" si="2"/>
        <v>9.0822225603420112E-2</v>
      </c>
      <c r="K20" s="652">
        <v>174329012.34</v>
      </c>
      <c r="L20" s="280">
        <v>0.98543521457595007</v>
      </c>
      <c r="M20" s="211">
        <f t="shared" si="3"/>
        <v>-4.1351420530855165E-3</v>
      </c>
      <c r="N20" s="616">
        <v>15127785.09</v>
      </c>
      <c r="O20" s="280">
        <v>8.5513317296540867E-2</v>
      </c>
      <c r="P20" s="178">
        <f t="shared" si="4"/>
        <v>4.7852399785777155E-2</v>
      </c>
    </row>
    <row r="21" spans="1:18" ht="14.1" customHeight="1" x14ac:dyDescent="0.2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52">
        <v>0</v>
      </c>
      <c r="L21" s="280">
        <v>0</v>
      </c>
      <c r="M21" s="212" t="s">
        <v>129</v>
      </c>
      <c r="N21" s="616">
        <v>0</v>
      </c>
      <c r="O21" s="280">
        <v>0</v>
      </c>
      <c r="P21" s="432" t="s">
        <v>129</v>
      </c>
    </row>
    <row r="22" spans="1:18" ht="14.1" customHeight="1" x14ac:dyDescent="0.2">
      <c r="A22" s="39" t="s">
        <v>65</v>
      </c>
      <c r="B22" s="40" t="s">
        <v>99</v>
      </c>
      <c r="C22" s="199">
        <v>31920925.68</v>
      </c>
      <c r="D22" s="205">
        <v>31749630.02</v>
      </c>
      <c r="E22" s="32">
        <v>26364746.690000001</v>
      </c>
      <c r="F22" s="280">
        <f t="shared" si="0"/>
        <v>0.83039539904534621</v>
      </c>
      <c r="G22" s="32">
        <v>26262426.620000001</v>
      </c>
      <c r="H22" s="280">
        <f t="shared" si="1"/>
        <v>0.82717268212122619</v>
      </c>
      <c r="I22" s="32">
        <v>2833691.69</v>
      </c>
      <c r="J22" s="178">
        <f t="shared" si="2"/>
        <v>8.9251172004680884E-2</v>
      </c>
      <c r="K22" s="652">
        <v>21801903.789999999</v>
      </c>
      <c r="L22" s="280">
        <v>0.70863984782917588</v>
      </c>
      <c r="M22" s="211">
        <f t="shared" ref="M22:M27" si="5">+G22/K22-1</f>
        <v>0.20459327189793108</v>
      </c>
      <c r="N22" s="616">
        <v>1174659.3500000001</v>
      </c>
      <c r="O22" s="280">
        <v>3.8180630051992299E-2</v>
      </c>
      <c r="P22" s="178">
        <f>+I22/N22-1</f>
        <v>1.4123518788659877</v>
      </c>
    </row>
    <row r="23" spans="1:18" ht="14.1" customHeight="1" x14ac:dyDescent="0.2">
      <c r="A23" s="39" t="s">
        <v>66</v>
      </c>
      <c r="B23" s="40" t="s">
        <v>112</v>
      </c>
      <c r="C23" s="199">
        <v>2348598.2599999998</v>
      </c>
      <c r="D23" s="205">
        <v>2406840.9</v>
      </c>
      <c r="E23" s="32">
        <v>2243741.7999999998</v>
      </c>
      <c r="F23" s="280">
        <f t="shared" si="0"/>
        <v>0.93223519676767996</v>
      </c>
      <c r="G23" s="32">
        <v>1479784.45</v>
      </c>
      <c r="H23" s="280">
        <f t="shared" si="1"/>
        <v>0.61482437414122393</v>
      </c>
      <c r="I23" s="32">
        <v>297905.19</v>
      </c>
      <c r="J23" s="178">
        <f t="shared" si="2"/>
        <v>0.12377435916100646</v>
      </c>
      <c r="K23" s="652">
        <v>713920.4</v>
      </c>
      <c r="L23" s="280">
        <v>0.42433348113751601</v>
      </c>
      <c r="M23" s="211">
        <f t="shared" si="5"/>
        <v>1.072758321515956</v>
      </c>
      <c r="N23" s="616">
        <v>185964.19</v>
      </c>
      <c r="O23" s="280">
        <v>0.11053169528370171</v>
      </c>
      <c r="P23" s="178">
        <f>+I23/N23-1</f>
        <v>0.6019492247405267</v>
      </c>
    </row>
    <row r="24" spans="1:18" ht="14.1" customHeight="1" x14ac:dyDescent="0.2">
      <c r="A24" s="39" t="s">
        <v>67</v>
      </c>
      <c r="B24" s="40" t="s">
        <v>109</v>
      </c>
      <c r="C24" s="199">
        <v>56423741.060000002</v>
      </c>
      <c r="D24" s="205">
        <v>51303061.450000003</v>
      </c>
      <c r="E24" s="32">
        <v>48748731.82</v>
      </c>
      <c r="F24" s="280">
        <f t="shared" si="0"/>
        <v>0.9502109706944204</v>
      </c>
      <c r="G24" s="32">
        <v>48748731.82</v>
      </c>
      <c r="H24" s="280">
        <f t="shared" si="1"/>
        <v>0.9502109706944204</v>
      </c>
      <c r="I24" s="32">
        <v>8000000</v>
      </c>
      <c r="J24" s="178">
        <f t="shared" si="2"/>
        <v>0.15593611324339396</v>
      </c>
      <c r="K24" s="652">
        <v>48152759.93</v>
      </c>
      <c r="L24" s="280">
        <v>0.9494949825879877</v>
      </c>
      <c r="M24" s="211">
        <f t="shared" si="5"/>
        <v>1.2376692236672815E-2</v>
      </c>
      <c r="N24" s="616">
        <v>9328886.9299999997</v>
      </c>
      <c r="O24" s="280">
        <v>0.18395064677584838</v>
      </c>
      <c r="P24" s="178">
        <f>+I24/N24-1</f>
        <v>-0.14244860506632806</v>
      </c>
    </row>
    <row r="25" spans="1:18" ht="14.1" customHeight="1" x14ac:dyDescent="0.2">
      <c r="A25" s="41">
        <v>172</v>
      </c>
      <c r="B25" s="42" t="s">
        <v>471</v>
      </c>
      <c r="C25" s="199">
        <v>16330544.140000001</v>
      </c>
      <c r="D25" s="205">
        <v>9801909.3599999994</v>
      </c>
      <c r="E25" s="32">
        <v>4388283.6399999997</v>
      </c>
      <c r="F25" s="280">
        <f t="shared" si="0"/>
        <v>0.44769681893895824</v>
      </c>
      <c r="G25" s="32">
        <v>2997782.5</v>
      </c>
      <c r="H25" s="280">
        <f t="shared" si="1"/>
        <v>0.30583658651583373</v>
      </c>
      <c r="I25" s="32">
        <v>169347.06</v>
      </c>
      <c r="J25" s="178">
        <f t="shared" si="2"/>
        <v>1.7276946131646334E-2</v>
      </c>
      <c r="K25" s="206">
        <v>933338.82</v>
      </c>
      <c r="L25" s="390">
        <v>0.48022568155560591</v>
      </c>
      <c r="M25" s="211">
        <f t="shared" si="5"/>
        <v>2.2118909400982596</v>
      </c>
      <c r="N25" s="580">
        <v>239593.11</v>
      </c>
      <c r="O25" s="390">
        <v>0.12327652303777234</v>
      </c>
      <c r="P25" s="178">
        <f>+I25/N25-1</f>
        <v>-0.29318894019949071</v>
      </c>
    </row>
    <row r="26" spans="1:18" ht="14.1" customHeight="1" x14ac:dyDescent="0.2">
      <c r="A26" s="41" t="s">
        <v>68</v>
      </c>
      <c r="B26" s="663" t="s">
        <v>131</v>
      </c>
      <c r="C26" s="662">
        <v>3772412.45</v>
      </c>
      <c r="D26" s="397">
        <v>3779582.45</v>
      </c>
      <c r="E26" s="398">
        <v>2597328.11</v>
      </c>
      <c r="F26" s="412">
        <f t="shared" si="0"/>
        <v>0.68719974874473233</v>
      </c>
      <c r="G26" s="398">
        <v>2381480.2799999998</v>
      </c>
      <c r="H26" s="412">
        <f t="shared" si="1"/>
        <v>0.63009083979633773</v>
      </c>
      <c r="I26" s="398">
        <v>483886.68</v>
      </c>
      <c r="J26" s="427">
        <f t="shared" si="2"/>
        <v>0.12802649139192609</v>
      </c>
      <c r="K26" s="664">
        <v>1842518.12</v>
      </c>
      <c r="L26" s="412">
        <v>0.72393749191079027</v>
      </c>
      <c r="M26" s="443">
        <f t="shared" si="5"/>
        <v>0.29251389940197692</v>
      </c>
      <c r="N26" s="665">
        <v>339625</v>
      </c>
      <c r="O26" s="412">
        <v>0.13344089701012118</v>
      </c>
      <c r="P26" s="178">
        <f>+I26/N26-1</f>
        <v>0.42476755244755249</v>
      </c>
    </row>
    <row r="27" spans="1:18" ht="14.1" customHeight="1" x14ac:dyDescent="0.2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1161907309.9700003</v>
      </c>
      <c r="E27" s="203">
        <f>SUBTOTAL(9,E7:E26)</f>
        <v>612522262.80000007</v>
      </c>
      <c r="F27" s="90">
        <f t="shared" si="0"/>
        <v>0.52716964386411769</v>
      </c>
      <c r="G27" s="203">
        <f>SUM(G7:G26)</f>
        <v>602678147.01000011</v>
      </c>
      <c r="H27" s="90">
        <f t="shared" si="1"/>
        <v>0.51869726770680258</v>
      </c>
      <c r="I27" s="203">
        <f>SUM(I7:I26)</f>
        <v>144941902.21000004</v>
      </c>
      <c r="J27" s="170">
        <f t="shared" si="2"/>
        <v>0.12474480620467251</v>
      </c>
      <c r="K27" s="152">
        <f>SUBTOTAL(9,K7:K26)</f>
        <v>560052425.97000003</v>
      </c>
      <c r="L27" s="90">
        <v>0.5233366553228237</v>
      </c>
      <c r="M27" s="213">
        <f t="shared" si="5"/>
        <v>7.611023372708936E-2</v>
      </c>
      <c r="N27" s="568">
        <f>SUM(N7:N26)</f>
        <v>161103988.22000003</v>
      </c>
      <c r="O27" s="90">
        <v>0.151</v>
      </c>
      <c r="P27" s="170">
        <f t="shared" ref="P27:P32" si="6">+I27/N27-1</f>
        <v>-0.10032083121324975</v>
      </c>
    </row>
    <row r="28" spans="1:18" ht="14.1" customHeight="1" x14ac:dyDescent="0.2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120902.14</v>
      </c>
      <c r="F28" s="48">
        <f t="shared" si="0"/>
        <v>0.21576607844651746</v>
      </c>
      <c r="G28" s="30">
        <v>120902.14</v>
      </c>
      <c r="H28" s="48">
        <f t="shared" si="1"/>
        <v>0.21576607844651746</v>
      </c>
      <c r="I28" s="30">
        <v>120902.14</v>
      </c>
      <c r="J28" s="153">
        <f t="shared" si="2"/>
        <v>0.21576607844651746</v>
      </c>
      <c r="K28" s="651">
        <v>126675.7</v>
      </c>
      <c r="L28" s="48">
        <v>0.21318626370110716</v>
      </c>
      <c r="M28" s="210">
        <f t="shared" ref="M28:M32" si="7">+G28/K28-1</f>
        <v>-4.5577486447677007E-2</v>
      </c>
      <c r="N28" s="615">
        <v>126675.7</v>
      </c>
      <c r="O28" s="48">
        <v>0.21318626370110716</v>
      </c>
      <c r="P28" s="153">
        <f t="shared" si="6"/>
        <v>-4.5577486447677007E-2</v>
      </c>
    </row>
    <row r="29" spans="1:18" ht="14.1" customHeight="1" x14ac:dyDescent="0.2">
      <c r="A29" s="39" t="s">
        <v>70</v>
      </c>
      <c r="B29" s="40" t="s">
        <v>745</v>
      </c>
      <c r="C29" s="199">
        <v>27181862.050000001</v>
      </c>
      <c r="D29" s="205">
        <v>27400645.5</v>
      </c>
      <c r="E29" s="32">
        <v>8247362.4299999997</v>
      </c>
      <c r="F29" s="280">
        <f t="shared" si="0"/>
        <v>0.30099153795482664</v>
      </c>
      <c r="G29" s="32">
        <v>6826441.9000000004</v>
      </c>
      <c r="H29" s="280">
        <f t="shared" si="1"/>
        <v>0.24913434612334226</v>
      </c>
      <c r="I29" s="32">
        <v>4247742.5199999996</v>
      </c>
      <c r="J29" s="178">
        <f t="shared" si="2"/>
        <v>0.15502344716660049</v>
      </c>
      <c r="K29" s="652">
        <v>5924306.5700000003</v>
      </c>
      <c r="L29" s="280">
        <v>0.26005536401056784</v>
      </c>
      <c r="M29" s="211">
        <f t="shared" si="7"/>
        <v>0.15227694909785883</v>
      </c>
      <c r="N29" s="616">
        <v>4312159.24</v>
      </c>
      <c r="O29" s="280">
        <v>0.18928799979872302</v>
      </c>
      <c r="P29" s="178">
        <f t="shared" si="6"/>
        <v>-1.4938390818795666E-2</v>
      </c>
    </row>
    <row r="30" spans="1:18" ht="14.1" customHeight="1" x14ac:dyDescent="0.2">
      <c r="A30" s="39" t="s">
        <v>71</v>
      </c>
      <c r="B30" s="40" t="s">
        <v>479</v>
      </c>
      <c r="C30" s="199">
        <v>244713639.38999999</v>
      </c>
      <c r="D30" s="205">
        <v>250503619.81999999</v>
      </c>
      <c r="E30" s="32">
        <v>212595111.25999999</v>
      </c>
      <c r="F30" s="280">
        <f t="shared" si="0"/>
        <v>0.84867081526710375</v>
      </c>
      <c r="G30" s="32">
        <v>203117020.03</v>
      </c>
      <c r="H30" s="280">
        <f t="shared" si="1"/>
        <v>0.8108346704768189</v>
      </c>
      <c r="I30" s="32">
        <v>44290952.359999999</v>
      </c>
      <c r="J30" s="178">
        <f t="shared" si="2"/>
        <v>0.17680763412451037</v>
      </c>
      <c r="K30" s="654">
        <v>153036514.47</v>
      </c>
      <c r="L30" s="280">
        <v>0.84820032938027223</v>
      </c>
      <c r="M30" s="211">
        <f t="shared" si="7"/>
        <v>0.32724546643943175</v>
      </c>
      <c r="N30" s="618">
        <v>42177546.450000003</v>
      </c>
      <c r="O30" s="280">
        <v>0.23376779662839728</v>
      </c>
      <c r="P30" s="178">
        <f t="shared" si="6"/>
        <v>5.0107369628656917E-2</v>
      </c>
    </row>
    <row r="31" spans="1:18" ht="14.1" customHeight="1" x14ac:dyDescent="0.2">
      <c r="A31" s="39" t="s">
        <v>72</v>
      </c>
      <c r="B31" s="40" t="s">
        <v>101</v>
      </c>
      <c r="C31" s="199">
        <v>39641547.32</v>
      </c>
      <c r="D31" s="205">
        <v>39715617.149999999</v>
      </c>
      <c r="E31" s="32">
        <v>27042120.670000002</v>
      </c>
      <c r="F31" s="280">
        <f t="shared" si="0"/>
        <v>0.68089388030572262</v>
      </c>
      <c r="G31" s="32">
        <v>14776147.26</v>
      </c>
      <c r="H31" s="280">
        <f t="shared" si="1"/>
        <v>0.37204878887296861</v>
      </c>
      <c r="I31" s="32">
        <v>2369542.04</v>
      </c>
      <c r="J31" s="178">
        <f t="shared" si="2"/>
        <v>5.9662727411501401E-2</v>
      </c>
      <c r="K31" s="652">
        <v>12266616.199999999</v>
      </c>
      <c r="L31" s="280">
        <v>0.42789178017864299</v>
      </c>
      <c r="M31" s="211">
        <f t="shared" si="7"/>
        <v>0.20458217809080881</v>
      </c>
      <c r="N31" s="616">
        <v>2741072.47</v>
      </c>
      <c r="O31" s="280">
        <v>9.5615804690047296E-2</v>
      </c>
      <c r="P31" s="178">
        <f t="shared" si="6"/>
        <v>-0.13554199462665073</v>
      </c>
    </row>
    <row r="32" spans="1:18" ht="14.1" customHeight="1" x14ac:dyDescent="0.2">
      <c r="A32" s="253">
        <v>234</v>
      </c>
      <c r="B32" s="40" t="s">
        <v>431</v>
      </c>
      <c r="C32" s="199">
        <v>10668077.699999999</v>
      </c>
      <c r="D32" s="205">
        <v>10666625.029999999</v>
      </c>
      <c r="E32" s="32">
        <v>10566894.73</v>
      </c>
      <c r="F32" s="280">
        <f t="shared" si="0"/>
        <v>0.99065024787882705</v>
      </c>
      <c r="G32" s="32">
        <v>10508445.6</v>
      </c>
      <c r="H32" s="280">
        <f t="shared" si="1"/>
        <v>0.98517062055194415</v>
      </c>
      <c r="I32" s="32">
        <v>1802375.87</v>
      </c>
      <c r="J32" s="178">
        <f t="shared" si="2"/>
        <v>0.16897339738959588</v>
      </c>
      <c r="K32" s="652">
        <v>8729160.3399999999</v>
      </c>
      <c r="L32" s="390">
        <v>0.97811375592876448</v>
      </c>
      <c r="M32" s="211">
        <f t="shared" si="7"/>
        <v>0.20383234935514993</v>
      </c>
      <c r="N32" s="616">
        <v>2757115.74</v>
      </c>
      <c r="O32" s="390">
        <v>0.30893840036643377</v>
      </c>
      <c r="P32" s="178">
        <f t="shared" si="6"/>
        <v>-0.34628211509176621</v>
      </c>
    </row>
    <row r="33" spans="1:18" ht="14.1" customHeight="1" x14ac:dyDescent="0.2">
      <c r="A33" s="532">
        <v>2</v>
      </c>
      <c r="B33" s="518" t="s">
        <v>125</v>
      </c>
      <c r="C33" s="201">
        <f>SUBTOTAL(9,C28:C32)</f>
        <v>322762317.93999994</v>
      </c>
      <c r="D33" s="207">
        <f>SUBTOTAL(9,D28:D32)</f>
        <v>328846846.45999992</v>
      </c>
      <c r="E33" s="203">
        <f>SUBTOTAL(9,E28:E32)</f>
        <v>258572391.22999999</v>
      </c>
      <c r="F33" s="263">
        <f t="shared" si="0"/>
        <v>0.78630035231750983</v>
      </c>
      <c r="G33" s="203">
        <f>SUBTOTAL(9,G28:G32)</f>
        <v>235348956.92999998</v>
      </c>
      <c r="H33" s="90">
        <f>G33/D33</f>
        <v>0.7156795312575005</v>
      </c>
      <c r="I33" s="203">
        <f>SUBTOTAL(9,I28:I32)</f>
        <v>52831514.929999992</v>
      </c>
      <c r="J33" s="170">
        <f>I33/D33</f>
        <v>0.16065690000900246</v>
      </c>
      <c r="K33" s="152">
        <f>SUM(K28:K32)</f>
        <v>180083273.28</v>
      </c>
      <c r="L33" s="90">
        <v>0.73731373003140155</v>
      </c>
      <c r="M33" s="213">
        <f t="shared" ref="M33:M56" si="8">+G33/K33-1</f>
        <v>0.30688959970241592</v>
      </c>
      <c r="N33" s="568">
        <f>SUM(N28:N32)</f>
        <v>52114569.600000001</v>
      </c>
      <c r="O33" s="90">
        <v>0.21337233048298068</v>
      </c>
      <c r="P33" s="170">
        <f t="shared" ref="P33:P55" si="9">+I33/N33-1</f>
        <v>1.3757099703649578E-2</v>
      </c>
    </row>
    <row r="34" spans="1:18" ht="14.1" customHeight="1" x14ac:dyDescent="0.2">
      <c r="A34" s="37">
        <v>311</v>
      </c>
      <c r="B34" s="38" t="s">
        <v>472</v>
      </c>
      <c r="C34" s="198">
        <v>19998074.850000001</v>
      </c>
      <c r="D34" s="516">
        <v>19983074.850000001</v>
      </c>
      <c r="E34" s="180">
        <v>18090513.149999999</v>
      </c>
      <c r="F34" s="48">
        <f t="shared" ref="F34:F68" si="10">+E34/D34</f>
        <v>0.90529176744789086</v>
      </c>
      <c r="G34" s="180">
        <v>17780123.399999999</v>
      </c>
      <c r="H34" s="48">
        <f t="shared" ref="H34:H80" si="11">+G34/D34</f>
        <v>0.8897591353414761</v>
      </c>
      <c r="I34" s="180">
        <v>5785201.7699999996</v>
      </c>
      <c r="J34" s="153">
        <f t="shared" ref="J34:J80" si="12">+I34/D34</f>
        <v>0.28950508434891836</v>
      </c>
      <c r="K34" s="651">
        <v>16110733.17</v>
      </c>
      <c r="L34" s="48">
        <v>0.97035956626289366</v>
      </c>
      <c r="M34" s="210">
        <f t="shared" si="8"/>
        <v>0.10361975537578827</v>
      </c>
      <c r="N34" s="615">
        <v>5183836.0999999996</v>
      </c>
      <c r="O34" s="48">
        <v>0.31222570050012999</v>
      </c>
      <c r="P34" s="153">
        <f t="shared" si="9"/>
        <v>0.11600784793330954</v>
      </c>
    </row>
    <row r="35" spans="1:18" ht="14.1" customHeight="1" x14ac:dyDescent="0.2">
      <c r="A35" s="37" t="s">
        <v>73</v>
      </c>
      <c r="B35" s="38" t="s">
        <v>132</v>
      </c>
      <c r="C35" s="200">
        <v>2248848</v>
      </c>
      <c r="D35" s="206">
        <v>2248848</v>
      </c>
      <c r="E35" s="34">
        <v>2248848</v>
      </c>
      <c r="F35" s="48">
        <f t="shared" si="10"/>
        <v>1</v>
      </c>
      <c r="G35" s="34">
        <v>2248848</v>
      </c>
      <c r="H35" s="48">
        <f t="shared" si="11"/>
        <v>1</v>
      </c>
      <c r="I35" s="34">
        <v>750000</v>
      </c>
      <c r="J35" s="153">
        <f t="shared" si="12"/>
        <v>0.3335040874260955</v>
      </c>
      <c r="K35" s="651">
        <v>2248848</v>
      </c>
      <c r="L35" s="48">
        <v>1</v>
      </c>
      <c r="M35" s="210">
        <f t="shared" si="8"/>
        <v>0</v>
      </c>
      <c r="N35" s="615">
        <v>750000</v>
      </c>
      <c r="O35" s="48">
        <v>0.3335040874260955</v>
      </c>
      <c r="P35" s="153">
        <f t="shared" si="9"/>
        <v>0</v>
      </c>
    </row>
    <row r="36" spans="1:18" ht="14.1" customHeight="1" x14ac:dyDescent="0.2">
      <c r="A36" s="37">
        <v>313</v>
      </c>
      <c r="B36" s="38" t="s">
        <v>763</v>
      </c>
      <c r="C36" s="200">
        <v>9000</v>
      </c>
      <c r="D36" s="206">
        <v>9000</v>
      </c>
      <c r="E36" s="34">
        <v>6000</v>
      </c>
      <c r="F36" s="48">
        <f t="shared" si="10"/>
        <v>0.66666666666666663</v>
      </c>
      <c r="G36" s="34">
        <v>0</v>
      </c>
      <c r="H36" s="48">
        <f t="shared" si="11"/>
        <v>0</v>
      </c>
      <c r="I36" s="34">
        <v>0</v>
      </c>
      <c r="J36" s="153">
        <f t="shared" si="12"/>
        <v>0</v>
      </c>
      <c r="K36" s="651">
        <v>0</v>
      </c>
      <c r="L36" s="48" t="s">
        <v>129</v>
      </c>
      <c r="M36" s="224" t="s">
        <v>129</v>
      </c>
      <c r="N36" s="615">
        <v>0</v>
      </c>
      <c r="O36" s="48" t="s">
        <v>129</v>
      </c>
      <c r="P36" s="348" t="s">
        <v>129</v>
      </c>
    </row>
    <row r="37" spans="1:18" ht="14.1" customHeight="1" x14ac:dyDescent="0.2">
      <c r="A37" s="39" t="s">
        <v>74</v>
      </c>
      <c r="B37" s="40" t="s">
        <v>656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0</v>
      </c>
      <c r="J37" s="178">
        <f t="shared" si="12"/>
        <v>0</v>
      </c>
      <c r="K37" s="652">
        <v>21495802.09</v>
      </c>
      <c r="L37" s="280">
        <v>0.99942812248386537</v>
      </c>
      <c r="M37" s="212">
        <f t="shared" si="8"/>
        <v>-0.50339435368331498</v>
      </c>
      <c r="N37" s="616">
        <v>3154964.81</v>
      </c>
      <c r="O37" s="280">
        <v>0.14668727146626631</v>
      </c>
      <c r="P37" s="153">
        <f t="shared" si="9"/>
        <v>-1</v>
      </c>
    </row>
    <row r="38" spans="1:18" ht="14.1" customHeight="1" x14ac:dyDescent="0.2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23120700</v>
      </c>
      <c r="J38" s="178">
        <f t="shared" si="12"/>
        <v>0.54818547777101911</v>
      </c>
      <c r="K38" s="205">
        <v>39307154.049999997</v>
      </c>
      <c r="L38" s="610">
        <v>1</v>
      </c>
      <c r="M38" s="211">
        <f t="shared" si="8"/>
        <v>7.3005261493868101E-2</v>
      </c>
      <c r="N38" s="579">
        <v>21040000</v>
      </c>
      <c r="O38" s="610">
        <v>0.53527151757759994</v>
      </c>
      <c r="P38" s="153">
        <f t="shared" si="9"/>
        <v>9.8892585551330736E-2</v>
      </c>
    </row>
    <row r="39" spans="1:18" ht="14.1" customHeight="1" x14ac:dyDescent="0.2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7463831</v>
      </c>
      <c r="F39" s="280">
        <f t="shared" si="10"/>
        <v>0.91425594184886971</v>
      </c>
      <c r="G39" s="34">
        <v>7463831</v>
      </c>
      <c r="H39" s="280">
        <f t="shared" si="11"/>
        <v>0.91425594184886971</v>
      </c>
      <c r="I39" s="34">
        <v>0</v>
      </c>
      <c r="J39" s="178">
        <f t="shared" si="12"/>
        <v>0</v>
      </c>
      <c r="K39" s="205">
        <v>7493661</v>
      </c>
      <c r="L39" s="280">
        <v>1</v>
      </c>
      <c r="M39" s="211">
        <f t="shared" si="8"/>
        <v>-3.9806978191300191E-3</v>
      </c>
      <c r="N39" s="579">
        <v>29830</v>
      </c>
      <c r="O39" s="280">
        <v>3.9806978191300624E-3</v>
      </c>
      <c r="P39" s="153">
        <f t="shared" si="9"/>
        <v>-1</v>
      </c>
    </row>
    <row r="40" spans="1:18" ht="14.1" customHeight="1" x14ac:dyDescent="0.2">
      <c r="A40" s="39" t="s">
        <v>473</v>
      </c>
      <c r="B40" s="40" t="s">
        <v>114</v>
      </c>
      <c r="C40" s="200">
        <v>17924191.510000002</v>
      </c>
      <c r="D40" s="206">
        <v>17908489.32</v>
      </c>
      <c r="E40" s="34">
        <v>17173806.329999998</v>
      </c>
      <c r="F40" s="280">
        <f t="shared" si="10"/>
        <v>0.95897571387110159</v>
      </c>
      <c r="G40" s="34">
        <v>16978068.530000001</v>
      </c>
      <c r="H40" s="280">
        <f t="shared" si="11"/>
        <v>0.94804582489484945</v>
      </c>
      <c r="I40" s="34">
        <v>70246.2</v>
      </c>
      <c r="J40" s="178">
        <f t="shared" si="12"/>
        <v>3.9225084117815471E-3</v>
      </c>
      <c r="K40" s="205">
        <v>13740845.58</v>
      </c>
      <c r="L40" s="280">
        <v>0.964514849327477</v>
      </c>
      <c r="M40" s="211">
        <f t="shared" si="8"/>
        <v>0.23559124736194015</v>
      </c>
      <c r="N40" s="579">
        <v>52137.15</v>
      </c>
      <c r="O40" s="280">
        <v>3.6596769160849611E-3</v>
      </c>
      <c r="P40" s="153">
        <f t="shared" si="9"/>
        <v>0.34733486582983519</v>
      </c>
    </row>
    <row r="41" spans="1:18" ht="14.1" customHeight="1" x14ac:dyDescent="0.2">
      <c r="A41" s="39">
        <v>328</v>
      </c>
      <c r="B41" s="40" t="s">
        <v>432</v>
      </c>
      <c r="C41" s="200">
        <v>9502324.5999999996</v>
      </c>
      <c r="D41" s="206">
        <v>9502324.5999999996</v>
      </c>
      <c r="E41" s="34">
        <v>9502324.5999999996</v>
      </c>
      <c r="F41" s="280">
        <f t="shared" si="10"/>
        <v>1</v>
      </c>
      <c r="G41" s="34">
        <v>9502324.5999999996</v>
      </c>
      <c r="H41" s="280">
        <f t="shared" si="11"/>
        <v>1</v>
      </c>
      <c r="I41" s="34">
        <v>0</v>
      </c>
      <c r="J41" s="178">
        <f t="shared" si="12"/>
        <v>0</v>
      </c>
      <c r="K41" s="205">
        <v>9039781.6799999997</v>
      </c>
      <c r="L41" s="280">
        <v>1</v>
      </c>
      <c r="M41" s="211">
        <f t="shared" si="8"/>
        <v>5.1167487929863364E-2</v>
      </c>
      <c r="N41" s="579">
        <v>0</v>
      </c>
      <c r="O41" s="280">
        <v>0</v>
      </c>
      <c r="P41" s="153" t="s">
        <v>129</v>
      </c>
    </row>
    <row r="42" spans="1:18" ht="14.1" customHeight="1" x14ac:dyDescent="0.2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11200000</v>
      </c>
      <c r="J42" s="178">
        <f t="shared" si="12"/>
        <v>0.33556854422076976</v>
      </c>
      <c r="K42" s="205">
        <v>28919222.559999999</v>
      </c>
      <c r="L42" s="610">
        <v>1</v>
      </c>
      <c r="M42" s="211">
        <f t="shared" si="8"/>
        <v>0.15411786920457238</v>
      </c>
      <c r="N42" s="579">
        <v>13500000</v>
      </c>
      <c r="O42" s="610">
        <v>0.46681752844465124</v>
      </c>
      <c r="P42" s="153">
        <f t="shared" si="9"/>
        <v>-0.17037037037037039</v>
      </c>
    </row>
    <row r="43" spans="1:18" ht="14.1" customHeight="1" x14ac:dyDescent="0.2">
      <c r="A43" s="253" t="s">
        <v>433</v>
      </c>
      <c r="B43" s="40" t="s">
        <v>670</v>
      </c>
      <c r="C43" s="200">
        <v>28640778.239999998</v>
      </c>
      <c r="D43" s="206">
        <v>30899327.100000001</v>
      </c>
      <c r="E43" s="34">
        <v>12514472.689999999</v>
      </c>
      <c r="F43" s="280">
        <f t="shared" si="10"/>
        <v>0.40500793591715462</v>
      </c>
      <c r="G43" s="34">
        <v>12514472.689999999</v>
      </c>
      <c r="H43" s="280">
        <f t="shared" si="11"/>
        <v>0.40500793591715462</v>
      </c>
      <c r="I43" s="34">
        <v>1334616.6499999999</v>
      </c>
      <c r="J43" s="178">
        <f t="shared" si="12"/>
        <v>4.3192417934564013E-2</v>
      </c>
      <c r="K43" s="205">
        <v>14772961.42</v>
      </c>
      <c r="L43" s="280">
        <v>0.84348918325871025</v>
      </c>
      <c r="M43" s="211">
        <f t="shared" si="8"/>
        <v>-0.15287989088920262</v>
      </c>
      <c r="N43" s="579">
        <v>558053.57999999996</v>
      </c>
      <c r="O43" s="280">
        <v>3.1863087232566485E-2</v>
      </c>
      <c r="P43" s="153">
        <f t="shared" si="9"/>
        <v>1.3915564702586445</v>
      </c>
    </row>
    <row r="44" spans="1:18" ht="14.1" customHeight="1" x14ac:dyDescent="0.2">
      <c r="A44" s="39" t="s">
        <v>76</v>
      </c>
      <c r="B44" s="40" t="s">
        <v>110</v>
      </c>
      <c r="C44" s="200">
        <v>12623127.310000001</v>
      </c>
      <c r="D44" s="206">
        <v>12615513.119999999</v>
      </c>
      <c r="E44" s="34">
        <v>12522188.5</v>
      </c>
      <c r="F44" s="280">
        <f t="shared" si="10"/>
        <v>0.99260239206187761</v>
      </c>
      <c r="G44" s="34">
        <v>12427044.130000001</v>
      </c>
      <c r="H44" s="280">
        <f t="shared" si="11"/>
        <v>0.98506053711749475</v>
      </c>
      <c r="I44" s="34">
        <v>7012764.8399999999</v>
      </c>
      <c r="J44" s="178">
        <f t="shared" si="12"/>
        <v>0.55588423342704274</v>
      </c>
      <c r="K44" s="205">
        <v>12352958.27</v>
      </c>
      <c r="L44" s="280">
        <v>0.99037580520137958</v>
      </c>
      <c r="M44" s="211">
        <f t="shared" si="8"/>
        <v>5.9974184629056904E-3</v>
      </c>
      <c r="N44" s="579">
        <v>6498.84</v>
      </c>
      <c r="O44" s="280">
        <v>5.2103259455720105E-4</v>
      </c>
      <c r="P44" s="153">
        <f t="shared" si="9"/>
        <v>1078.0794726443487</v>
      </c>
    </row>
    <row r="45" spans="1:18" ht="14.1" customHeight="1" x14ac:dyDescent="0.2">
      <c r="A45" s="39" t="s">
        <v>77</v>
      </c>
      <c r="B45" s="40" t="s">
        <v>481</v>
      </c>
      <c r="C45" s="200">
        <v>65286878.990000002</v>
      </c>
      <c r="D45" s="206">
        <v>65286878.990000002</v>
      </c>
      <c r="E45" s="34">
        <v>65286878.990000002</v>
      </c>
      <c r="F45" s="280">
        <f t="shared" si="10"/>
        <v>1</v>
      </c>
      <c r="G45" s="34">
        <v>65286878.990000002</v>
      </c>
      <c r="H45" s="280">
        <f t="shared" si="11"/>
        <v>1</v>
      </c>
      <c r="I45" s="34">
        <v>13000000</v>
      </c>
      <c r="J45" s="178">
        <f t="shared" si="12"/>
        <v>0.19912117413349184</v>
      </c>
      <c r="K45" s="205">
        <v>64496879.130000003</v>
      </c>
      <c r="L45" s="280">
        <v>1</v>
      </c>
      <c r="M45" s="211">
        <f t="shared" si="8"/>
        <v>1.2248652503134005E-2</v>
      </c>
      <c r="N45" s="579">
        <v>38000000</v>
      </c>
      <c r="O45" s="280">
        <v>0.58917579443506318</v>
      </c>
      <c r="P45" s="153">
        <f t="shared" si="9"/>
        <v>-0.65789473684210531</v>
      </c>
      <c r="R45" s="275"/>
    </row>
    <row r="46" spans="1:18" ht="14.1" customHeight="1" x14ac:dyDescent="0.2">
      <c r="A46" s="39" t="s">
        <v>78</v>
      </c>
      <c r="B46" s="40" t="s">
        <v>102</v>
      </c>
      <c r="C46" s="200">
        <v>17748245.370000001</v>
      </c>
      <c r="D46" s="206">
        <v>17686904.239999998</v>
      </c>
      <c r="E46" s="34">
        <v>16820470.18</v>
      </c>
      <c r="F46" s="280">
        <f t="shared" si="10"/>
        <v>0.95101267874563911</v>
      </c>
      <c r="G46" s="34">
        <v>16626386.83</v>
      </c>
      <c r="H46" s="280">
        <f t="shared" si="11"/>
        <v>0.94003939889030586</v>
      </c>
      <c r="I46" s="34">
        <v>876014.32</v>
      </c>
      <c r="J46" s="178">
        <f t="shared" si="12"/>
        <v>4.9528979640136278E-2</v>
      </c>
      <c r="K46" s="205">
        <v>15395977.710000001</v>
      </c>
      <c r="L46" s="610">
        <v>0.93056039935193957</v>
      </c>
      <c r="M46" s="211">
        <f t="shared" si="8"/>
        <v>7.9917569587076187E-2</v>
      </c>
      <c r="N46" s="579">
        <v>964474.06</v>
      </c>
      <c r="O46" s="610">
        <v>5.8294535322381061E-2</v>
      </c>
      <c r="P46" s="153">
        <f t="shared" si="9"/>
        <v>-9.1718112149123066E-2</v>
      </c>
      <c r="R46" s="275"/>
    </row>
    <row r="47" spans="1:18" ht="14.1" customHeight="1" x14ac:dyDescent="0.2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9">
        <v>0</v>
      </c>
      <c r="O47" s="280">
        <v>0</v>
      </c>
      <c r="P47" s="153" t="s">
        <v>129</v>
      </c>
    </row>
    <row r="48" spans="1:18" ht="14.1" customHeight="1" x14ac:dyDescent="0.2">
      <c r="A48" s="253">
        <v>337</v>
      </c>
      <c r="B48" s="40" t="s">
        <v>483</v>
      </c>
      <c r="C48" s="662">
        <v>15245118.1</v>
      </c>
      <c r="D48" s="397">
        <v>15888148.949999999</v>
      </c>
      <c r="E48" s="398">
        <v>13238212.24</v>
      </c>
      <c r="F48" s="412">
        <f t="shared" si="10"/>
        <v>0.83321299930285464</v>
      </c>
      <c r="G48" s="398">
        <v>12471469.92</v>
      </c>
      <c r="H48" s="412">
        <f t="shared" si="11"/>
        <v>0.78495424226243804</v>
      </c>
      <c r="I48" s="398">
        <v>3508460.62</v>
      </c>
      <c r="J48" s="178">
        <f t="shared" si="12"/>
        <v>0.22082249046387498</v>
      </c>
      <c r="K48" s="205">
        <v>9503788.5</v>
      </c>
      <c r="L48" s="280">
        <v>0.74363367917455936</v>
      </c>
      <c r="M48" s="211">
        <f t="shared" si="8"/>
        <v>0.31226299070102415</v>
      </c>
      <c r="N48" s="579">
        <v>3700421.74</v>
      </c>
      <c r="O48" s="280">
        <v>0.28954329455182265</v>
      </c>
      <c r="P48" s="153">
        <f t="shared" si="9"/>
        <v>-5.1875470821334035E-2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">
      <c r="A50" s="8" t="s">
        <v>534</v>
      </c>
      <c r="C50" s="164" t="s">
        <v>767</v>
      </c>
      <c r="D50" s="742" t="s">
        <v>781</v>
      </c>
      <c r="E50" s="740"/>
      <c r="F50" s="740"/>
      <c r="G50" s="740"/>
      <c r="H50" s="740"/>
      <c r="I50" s="740"/>
      <c r="J50" s="741"/>
      <c r="K50" s="751" t="s">
        <v>782</v>
      </c>
      <c r="L50" s="749"/>
      <c r="M50" s="749"/>
      <c r="N50" s="749"/>
      <c r="O50" s="749"/>
      <c r="P50" s="750"/>
      <c r="R50"/>
    </row>
    <row r="51" spans="1:19" ht="12.75" customHeight="1" x14ac:dyDescent="0.2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545</v>
      </c>
      <c r="L51" s="88" t="s">
        <v>546</v>
      </c>
      <c r="M51" s="88" t="s">
        <v>547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">
      <c r="A52" s="681"/>
      <c r="B52" s="518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13" t="s">
        <v>766</v>
      </c>
      <c r="N52" s="564" t="s">
        <v>17</v>
      </c>
      <c r="O52" s="89" t="s">
        <v>18</v>
      </c>
      <c r="P52" s="649" t="s">
        <v>766</v>
      </c>
      <c r="R52"/>
    </row>
    <row r="53" spans="1:19" ht="14.1" customHeight="1" x14ac:dyDescent="0.2">
      <c r="A53" s="700">
        <v>338</v>
      </c>
      <c r="B53" s="38" t="s">
        <v>428</v>
      </c>
      <c r="C53" s="530">
        <v>8127724.7699999996</v>
      </c>
      <c r="D53" s="516">
        <v>8057094.6399999997</v>
      </c>
      <c r="E53" s="180">
        <v>6997868.4000000004</v>
      </c>
      <c r="F53" s="48">
        <f t="shared" si="10"/>
        <v>0.86853496361561922</v>
      </c>
      <c r="G53" s="180">
        <v>6794585.4400000004</v>
      </c>
      <c r="H53" s="48">
        <f t="shared" si="11"/>
        <v>0.84330465801752086</v>
      </c>
      <c r="I53" s="180">
        <v>432063.54</v>
      </c>
      <c r="J53" s="153">
        <f t="shared" si="12"/>
        <v>5.3625228361472987E-2</v>
      </c>
      <c r="K53" s="204">
        <v>4777635.42</v>
      </c>
      <c r="L53" s="48">
        <v>0.71895787695913294</v>
      </c>
      <c r="M53" s="210">
        <f t="shared" si="8"/>
        <v>0.42216490851451383</v>
      </c>
      <c r="N53" s="578">
        <v>315396.28000000003</v>
      </c>
      <c r="O53" s="48">
        <v>4.7462106237819261E-2</v>
      </c>
      <c r="P53" s="153">
        <f t="shared" si="9"/>
        <v>0.36990689934580057</v>
      </c>
    </row>
    <row r="54" spans="1:19" ht="14.1" customHeight="1" x14ac:dyDescent="0.2">
      <c r="A54" s="253" t="s">
        <v>79</v>
      </c>
      <c r="B54" s="40" t="s">
        <v>115</v>
      </c>
      <c r="C54" s="200">
        <v>14042820.529999999</v>
      </c>
      <c r="D54" s="206">
        <v>13053133.460000001</v>
      </c>
      <c r="E54" s="34">
        <v>12134166.24</v>
      </c>
      <c r="F54" s="390">
        <f t="shared" si="10"/>
        <v>0.92959796030462094</v>
      </c>
      <c r="G54" s="34">
        <v>12053735.460000001</v>
      </c>
      <c r="H54" s="390">
        <f t="shared" si="11"/>
        <v>0.92343616166474096</v>
      </c>
      <c r="I54" s="34">
        <v>1547573.07</v>
      </c>
      <c r="J54" s="392">
        <f t="shared" si="12"/>
        <v>0.11855950716679488</v>
      </c>
      <c r="K54" s="205">
        <v>11144308.779999999</v>
      </c>
      <c r="L54" s="390">
        <v>0.97824053667359068</v>
      </c>
      <c r="M54" s="211">
        <f t="shared" si="8"/>
        <v>8.1604583824175236E-2</v>
      </c>
      <c r="N54" s="579">
        <v>3929241.42</v>
      </c>
      <c r="O54" s="390">
        <v>0.34490638327601164</v>
      </c>
      <c r="P54" s="178">
        <f t="shared" si="9"/>
        <v>-0.60613947971667259</v>
      </c>
    </row>
    <row r="55" spans="1:19" ht="14.1" customHeight="1" x14ac:dyDescent="0.2">
      <c r="A55" s="253">
        <v>342</v>
      </c>
      <c r="B55" s="40" t="s">
        <v>484</v>
      </c>
      <c r="C55" s="200">
        <v>5455050.5800000001</v>
      </c>
      <c r="D55" s="206">
        <v>6445868.8799999999</v>
      </c>
      <c r="E55" s="34">
        <v>6403992.3399999999</v>
      </c>
      <c r="F55" s="390">
        <f t="shared" si="10"/>
        <v>0.99350335218112595</v>
      </c>
      <c r="G55" s="34">
        <v>6349638.4000000004</v>
      </c>
      <c r="H55" s="390">
        <f t="shared" si="11"/>
        <v>0.98507098394468129</v>
      </c>
      <c r="I55" s="34">
        <v>1306276.68</v>
      </c>
      <c r="J55" s="392">
        <f t="shared" si="12"/>
        <v>0.20265331242667164</v>
      </c>
      <c r="K55" s="205">
        <v>4610331.54</v>
      </c>
      <c r="L55" s="390">
        <v>0.9861227576750623</v>
      </c>
      <c r="M55" s="211">
        <f t="shared" si="8"/>
        <v>0.37726285949491611</v>
      </c>
      <c r="N55" s="579">
        <v>4515.24</v>
      </c>
      <c r="O55" s="390">
        <v>9.6578323743822295E-4</v>
      </c>
      <c r="P55" s="178">
        <f t="shared" si="9"/>
        <v>288.30393068806973</v>
      </c>
    </row>
    <row r="56" spans="1:19" ht="14.1" customHeight="1" x14ac:dyDescent="0.2">
      <c r="A56" s="531">
        <v>343</v>
      </c>
      <c r="B56" s="533" t="s">
        <v>435</v>
      </c>
      <c r="C56" s="662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66">
        <f t="shared" si="8"/>
        <v>-0.14322142208192024</v>
      </c>
      <c r="N56" s="635">
        <v>0</v>
      </c>
      <c r="O56" s="390">
        <v>0</v>
      </c>
      <c r="P56" s="668" t="s">
        <v>129</v>
      </c>
    </row>
    <row r="57" spans="1:19" ht="14.1" customHeight="1" x14ac:dyDescent="0.2">
      <c r="A57" s="532">
        <v>3</v>
      </c>
      <c r="B57" s="2" t="s">
        <v>124</v>
      </c>
      <c r="C57" s="201">
        <f>SUM(C34:C48,C53:C56)</f>
        <v>317974199.00999999</v>
      </c>
      <c r="D57" s="207">
        <f>SUM(D34:D48,D53:D56)</f>
        <v>320706622.31</v>
      </c>
      <c r="E57" s="203">
        <f>SUM(E34:E48,E53:E56)</f>
        <v>293361757.81999999</v>
      </c>
      <c r="F57" s="90">
        <f t="shared" si="10"/>
        <v>0.91473557891309132</v>
      </c>
      <c r="G57" s="203">
        <f>SUM(G34:G48,G53:G56)</f>
        <v>291455592.55000001</v>
      </c>
      <c r="H57" s="90">
        <f t="shared" si="11"/>
        <v>0.90879193716266482</v>
      </c>
      <c r="I57" s="203">
        <f>SUM(I34:I48,I53:I56)</f>
        <v>69943917.689999998</v>
      </c>
      <c r="J57" s="170">
        <f t="shared" si="12"/>
        <v>0.21809315063781601</v>
      </c>
      <c r="K57" s="152">
        <f>SUM(K34:K56)</f>
        <v>283230888.24000001</v>
      </c>
      <c r="L57" s="90">
        <v>0.96399999999999997</v>
      </c>
      <c r="M57" s="213">
        <f t="shared" ref="M57:M64" si="13">+G57/K57-1</f>
        <v>2.9038867763005793E-2</v>
      </c>
      <c r="N57" s="568">
        <f>SUM(N34:N48,N53:N56)</f>
        <v>91189369.219999999</v>
      </c>
      <c r="O57" s="90">
        <v>0.31</v>
      </c>
      <c r="P57" s="170">
        <f t="shared" ref="P57:P64" si="14">+I57/N57-1</f>
        <v>-0.23298167003155856</v>
      </c>
    </row>
    <row r="58" spans="1:19" ht="14.1" customHeight="1" x14ac:dyDescent="0.2">
      <c r="A58" s="37">
        <v>430</v>
      </c>
      <c r="B58" s="534" t="s">
        <v>746</v>
      </c>
      <c r="C58" s="198">
        <v>4583248.97</v>
      </c>
      <c r="D58" s="516">
        <v>5226567.25</v>
      </c>
      <c r="E58" s="180">
        <v>1099254.1200000001</v>
      </c>
      <c r="F58" s="78">
        <f t="shared" si="10"/>
        <v>0.21032047755627753</v>
      </c>
      <c r="G58" s="180">
        <v>990254.12</v>
      </c>
      <c r="H58" s="414">
        <f t="shared" si="11"/>
        <v>0.18946548903584853</v>
      </c>
      <c r="I58" s="180">
        <v>959822.52</v>
      </c>
      <c r="J58" s="153">
        <f t="shared" si="12"/>
        <v>0.18364300583714865</v>
      </c>
      <c r="K58" s="651">
        <v>1076551.42</v>
      </c>
      <c r="L58" s="48">
        <v>0.30826670771424336</v>
      </c>
      <c r="M58" s="210">
        <f t="shared" si="13"/>
        <v>-8.0160871461207095E-2</v>
      </c>
      <c r="N58" s="615">
        <v>840016.99</v>
      </c>
      <c r="O58" s="48">
        <v>0.24053590671157027</v>
      </c>
      <c r="P58" s="153">
        <f t="shared" si="14"/>
        <v>0.14262274623754934</v>
      </c>
    </row>
    <row r="59" spans="1:19" ht="14.1" customHeight="1" x14ac:dyDescent="0.2">
      <c r="A59" s="37" t="s">
        <v>80</v>
      </c>
      <c r="B59" s="38" t="s">
        <v>103</v>
      </c>
      <c r="C59" s="200">
        <v>37609119.530000001</v>
      </c>
      <c r="D59" s="206">
        <v>33363366.649999999</v>
      </c>
      <c r="E59" s="34">
        <v>27648597.34</v>
      </c>
      <c r="F59" s="48">
        <f t="shared" si="10"/>
        <v>0.82871125177650506</v>
      </c>
      <c r="G59" s="34">
        <v>26323175.440000001</v>
      </c>
      <c r="H59" s="48">
        <f t="shared" si="11"/>
        <v>0.78898438866030929</v>
      </c>
      <c r="I59" s="34">
        <v>1933407.26</v>
      </c>
      <c r="J59" s="153">
        <f t="shared" si="12"/>
        <v>5.7950004874583003E-2</v>
      </c>
      <c r="K59" s="651">
        <v>1000676.68</v>
      </c>
      <c r="L59" s="48">
        <v>0.11725834543911104</v>
      </c>
      <c r="M59" s="210">
        <f t="shared" si="13"/>
        <v>25.305375118764633</v>
      </c>
      <c r="N59" s="615">
        <v>852119.24</v>
      </c>
      <c r="O59" s="48">
        <v>9.9850525345741806E-2</v>
      </c>
      <c r="P59" s="153">
        <f t="shared" si="14"/>
        <v>1.2689398023685041</v>
      </c>
    </row>
    <row r="60" spans="1:19" ht="14.1" customHeight="1" x14ac:dyDescent="0.2">
      <c r="A60" s="39" t="s">
        <v>81</v>
      </c>
      <c r="B60" s="40" t="s">
        <v>485</v>
      </c>
      <c r="C60" s="200">
        <v>2743104</v>
      </c>
      <c r="D60" s="206">
        <v>7437178.2999999998</v>
      </c>
      <c r="E60" s="34">
        <v>3006261.95</v>
      </c>
      <c r="F60" s="280">
        <f t="shared" si="10"/>
        <v>0.40422077147189012</v>
      </c>
      <c r="G60" s="34">
        <v>2786441.8</v>
      </c>
      <c r="H60" s="280">
        <f t="shared" si="11"/>
        <v>0.37466384260277852</v>
      </c>
      <c r="I60" s="34">
        <v>1634517.69</v>
      </c>
      <c r="J60" s="178">
        <f t="shared" si="12"/>
        <v>0.21977659053837664</v>
      </c>
      <c r="K60" s="652">
        <v>2457124.6</v>
      </c>
      <c r="L60" s="280">
        <v>0.42094556175982206</v>
      </c>
      <c r="M60" s="211">
        <f t="shared" si="13"/>
        <v>0.1340254377006358</v>
      </c>
      <c r="N60" s="616">
        <v>1613316.03</v>
      </c>
      <c r="O60" s="280">
        <v>0.27638737675105118</v>
      </c>
      <c r="P60" s="178">
        <f t="shared" si="14"/>
        <v>1.31416657404686E-2</v>
      </c>
    </row>
    <row r="61" spans="1:19" ht="14.1" customHeight="1" x14ac:dyDescent="0.2">
      <c r="A61" s="39" t="s">
        <v>82</v>
      </c>
      <c r="B61" s="40" t="s">
        <v>104</v>
      </c>
      <c r="C61" s="200">
        <v>54474980.619999997</v>
      </c>
      <c r="D61" s="206">
        <v>58184468.060000002</v>
      </c>
      <c r="E61" s="34">
        <v>20497613</v>
      </c>
      <c r="F61" s="280">
        <f t="shared" si="10"/>
        <v>0.35228667861778507</v>
      </c>
      <c r="G61" s="34">
        <v>15177313.17</v>
      </c>
      <c r="H61" s="280">
        <f t="shared" si="11"/>
        <v>0.26084818983562946</v>
      </c>
      <c r="I61" s="34">
        <v>12363862.07</v>
      </c>
      <c r="J61" s="178">
        <f t="shared" si="12"/>
        <v>0.21249420132620869</v>
      </c>
      <c r="K61" s="652">
        <v>12043224.68</v>
      </c>
      <c r="L61" s="280">
        <v>0.14884142383691765</v>
      </c>
      <c r="M61" s="211">
        <f t="shared" si="13"/>
        <v>0.26023665366010595</v>
      </c>
      <c r="N61" s="616">
        <v>8879424.5899999999</v>
      </c>
      <c r="O61" s="280">
        <v>0.10974022605614452</v>
      </c>
      <c r="P61" s="178">
        <f t="shared" si="14"/>
        <v>0.39241703611337275</v>
      </c>
      <c r="R61" s="279"/>
      <c r="S61" s="279"/>
    </row>
    <row r="62" spans="1:19" ht="14.1" customHeight="1" x14ac:dyDescent="0.2">
      <c r="A62" s="39" t="s">
        <v>83</v>
      </c>
      <c r="B62" s="40" t="s">
        <v>486</v>
      </c>
      <c r="C62" s="200">
        <v>162462056</v>
      </c>
      <c r="D62" s="206">
        <v>163172743.83000001</v>
      </c>
      <c r="E62" s="34">
        <v>128653059.42</v>
      </c>
      <c r="F62" s="280">
        <f t="shared" si="10"/>
        <v>0.78844699427274434</v>
      </c>
      <c r="G62" s="34">
        <v>126689141.12</v>
      </c>
      <c r="H62" s="280">
        <f t="shared" si="11"/>
        <v>0.77641117104698498</v>
      </c>
      <c r="I62" s="34">
        <v>38809338.600000001</v>
      </c>
      <c r="J62" s="178">
        <f t="shared" si="12"/>
        <v>0.23784204205350096</v>
      </c>
      <c r="K62" s="652">
        <v>127616368</v>
      </c>
      <c r="L62" s="280">
        <v>0.95662009201489961</v>
      </c>
      <c r="M62" s="211">
        <f t="shared" si="13"/>
        <v>-7.2657363199679637E-3</v>
      </c>
      <c r="N62" s="616">
        <v>45484706.719999999</v>
      </c>
      <c r="O62" s="280">
        <v>0.34095614073389963</v>
      </c>
      <c r="P62" s="178">
        <f t="shared" si="14"/>
        <v>-0.14676071588397832</v>
      </c>
      <c r="R62" s="279"/>
      <c r="S62" s="279"/>
    </row>
    <row r="63" spans="1:19" ht="14.1" customHeight="1" x14ac:dyDescent="0.2">
      <c r="A63" s="39">
        <v>491</v>
      </c>
      <c r="B63" s="40" t="s">
        <v>498</v>
      </c>
      <c r="C63" s="200">
        <v>34765352.369999997</v>
      </c>
      <c r="D63" s="206">
        <v>37838133.950000003</v>
      </c>
      <c r="E63" s="34">
        <v>36916054.609999999</v>
      </c>
      <c r="F63" s="280">
        <f t="shared" si="10"/>
        <v>0.97563095100782571</v>
      </c>
      <c r="G63" s="34">
        <v>36847865.229999997</v>
      </c>
      <c r="H63" s="280">
        <f t="shared" si="11"/>
        <v>0.9738288172110029</v>
      </c>
      <c r="I63" s="34">
        <v>3900000</v>
      </c>
      <c r="J63" s="178">
        <f t="shared" si="12"/>
        <v>0.10307062195914658</v>
      </c>
      <c r="K63" s="652">
        <v>15669752</v>
      </c>
      <c r="L63" s="280">
        <v>0.91320892825922262</v>
      </c>
      <c r="M63" s="211">
        <f t="shared" si="13"/>
        <v>1.3515282966826785</v>
      </c>
      <c r="N63" s="616">
        <v>3800000</v>
      </c>
      <c r="O63" s="280">
        <v>0.22145812693047381</v>
      </c>
      <c r="P63" s="178">
        <f t="shared" si="14"/>
        <v>2.6315789473684292E-2</v>
      </c>
      <c r="R63" s="279"/>
      <c r="S63" s="279"/>
    </row>
    <row r="64" spans="1:19" ht="14.1" customHeight="1" x14ac:dyDescent="0.2">
      <c r="A64" s="41" t="s">
        <v>84</v>
      </c>
      <c r="B64" s="663" t="s">
        <v>487</v>
      </c>
      <c r="C64" s="662">
        <v>1548192.01</v>
      </c>
      <c r="D64" s="397">
        <v>1483243.86</v>
      </c>
      <c r="E64" s="398">
        <v>610865.56000000006</v>
      </c>
      <c r="F64" s="412">
        <f t="shared" si="10"/>
        <v>0.41184432073091476</v>
      </c>
      <c r="G64" s="398">
        <v>186883.26</v>
      </c>
      <c r="H64" s="412">
        <f t="shared" si="11"/>
        <v>0.1259963145911826</v>
      </c>
      <c r="I64" s="398">
        <v>166598.35</v>
      </c>
      <c r="J64" s="427">
        <f t="shared" si="12"/>
        <v>0.11232026943971303</v>
      </c>
      <c r="K64" s="664">
        <v>264694.32</v>
      </c>
      <c r="L64" s="412">
        <v>0.16235293173794121</v>
      </c>
      <c r="M64" s="443">
        <f t="shared" si="13"/>
        <v>-0.29396573375658386</v>
      </c>
      <c r="N64" s="665">
        <v>194287.39</v>
      </c>
      <c r="O64" s="412">
        <v>0.11916813086964906</v>
      </c>
      <c r="P64" s="427">
        <f t="shared" si="14"/>
        <v>-0.14251588844752094</v>
      </c>
    </row>
    <row r="65" spans="1:21" ht="14.1" customHeight="1" x14ac:dyDescent="0.2">
      <c r="A65" s="18">
        <v>4</v>
      </c>
      <c r="B65" s="518" t="s">
        <v>123</v>
      </c>
      <c r="C65" s="201">
        <f>SUM(C58:C64)</f>
        <v>298186053.5</v>
      </c>
      <c r="D65" s="714">
        <f>SUM(D58:D64)</f>
        <v>306705701.90000004</v>
      </c>
      <c r="E65" s="715">
        <f>SUM(E58:E64)</f>
        <v>218431706</v>
      </c>
      <c r="F65" s="90">
        <f t="shared" si="10"/>
        <v>0.7121866487869164</v>
      </c>
      <c r="G65" s="203">
        <f>SUM(G58:G64)</f>
        <v>209001074.13999999</v>
      </c>
      <c r="H65" s="90">
        <f t="shared" si="11"/>
        <v>0.68143850226867908</v>
      </c>
      <c r="I65" s="203">
        <f>SUM(I58:I64)</f>
        <v>59767546.490000002</v>
      </c>
      <c r="J65" s="170">
        <f t="shared" si="12"/>
        <v>0.19486936864801729</v>
      </c>
      <c r="K65" s="152">
        <f>SUM(K58:K64)</f>
        <v>160128391.69999999</v>
      </c>
      <c r="L65" s="90">
        <v>0.63800000000000001</v>
      </c>
      <c r="M65" s="213">
        <f t="shared" ref="M65:M78" si="15">+G65/K65-1</f>
        <v>0.30520935057889553</v>
      </c>
      <c r="N65" s="568">
        <f>SUBTOTAL(9,N58:N64)</f>
        <v>61663870.960000001</v>
      </c>
      <c r="O65" s="90">
        <v>0.246</v>
      </c>
      <c r="P65" s="170">
        <f t="shared" ref="P65:P78" si="16">+I65/N65-1</f>
        <v>-3.0752601814928227E-2</v>
      </c>
    </row>
    <row r="66" spans="1:21" ht="14.1" customHeight="1" x14ac:dyDescent="0.2">
      <c r="A66" s="37" t="s">
        <v>85</v>
      </c>
      <c r="B66" s="38" t="s">
        <v>113</v>
      </c>
      <c r="C66" s="198">
        <v>30183531.489999998</v>
      </c>
      <c r="D66" s="516">
        <v>30397173.91</v>
      </c>
      <c r="E66" s="180">
        <v>9621224.5399999991</v>
      </c>
      <c r="F66" s="48">
        <f t="shared" si="10"/>
        <v>0.31651707387293754</v>
      </c>
      <c r="G66" s="180">
        <v>8054635.5199999996</v>
      </c>
      <c r="H66" s="48">
        <f t="shared" si="11"/>
        <v>0.26497974923090473</v>
      </c>
      <c r="I66" s="30">
        <v>5998515.8399999999</v>
      </c>
      <c r="J66" s="153">
        <f t="shared" si="12"/>
        <v>0.19733794522347423</v>
      </c>
      <c r="K66" s="651">
        <v>9538509.5199999996</v>
      </c>
      <c r="L66" s="48">
        <v>0.33406760620598458</v>
      </c>
      <c r="M66" s="210">
        <f t="shared" si="15"/>
        <v>-0.15556665293342398</v>
      </c>
      <c r="N66" s="615">
        <v>6985851.4900000002</v>
      </c>
      <c r="O66" s="48">
        <v>0.24466576037707943</v>
      </c>
      <c r="P66" s="153">
        <f t="shared" si="16"/>
        <v>-0.14133361572506031</v>
      </c>
    </row>
    <row r="67" spans="1:21" ht="14.1" customHeight="1" x14ac:dyDescent="0.2">
      <c r="A67" s="39" t="s">
        <v>86</v>
      </c>
      <c r="B67" s="40" t="s">
        <v>747</v>
      </c>
      <c r="C67" s="200">
        <v>58410922.509999998</v>
      </c>
      <c r="D67" s="206">
        <v>63681825.640000001</v>
      </c>
      <c r="E67" s="34">
        <v>19853714.989999998</v>
      </c>
      <c r="F67" s="280">
        <f t="shared" si="10"/>
        <v>0.31176422457225267</v>
      </c>
      <c r="G67" s="34">
        <v>15903892.369999999</v>
      </c>
      <c r="H67" s="280">
        <f t="shared" si="11"/>
        <v>0.2497398937635105</v>
      </c>
      <c r="I67" s="34">
        <v>9048072.75</v>
      </c>
      <c r="J67" s="178">
        <f t="shared" si="12"/>
        <v>0.14208249620778302</v>
      </c>
      <c r="K67" s="652">
        <v>14880527.34</v>
      </c>
      <c r="L67" s="280">
        <v>0.27998867142760064</v>
      </c>
      <c r="M67" s="211">
        <f t="shared" si="15"/>
        <v>6.8772094336275069E-2</v>
      </c>
      <c r="N67" s="616">
        <v>9479429.6899999995</v>
      </c>
      <c r="O67" s="280">
        <v>0.17836282707938309</v>
      </c>
      <c r="P67" s="178">
        <f t="shared" si="16"/>
        <v>-4.5504524439381022E-2</v>
      </c>
    </row>
    <row r="68" spans="1:21" ht="14.1" customHeight="1" x14ac:dyDescent="0.2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2488374.35</v>
      </c>
      <c r="F68" s="280">
        <f t="shared" si="10"/>
        <v>0.34271799749875814</v>
      </c>
      <c r="G68" s="34">
        <v>2279371.0499999998</v>
      </c>
      <c r="H68" s="280">
        <f t="shared" si="11"/>
        <v>0.31393246028783472</v>
      </c>
      <c r="I68" s="34">
        <v>1308047.47</v>
      </c>
      <c r="J68" s="178">
        <f t="shared" si="12"/>
        <v>0.18015432828734826</v>
      </c>
      <c r="K68" s="652">
        <v>1284935.93</v>
      </c>
      <c r="L68" s="280">
        <v>0.19510795211385135</v>
      </c>
      <c r="M68" s="211">
        <f t="shared" si="15"/>
        <v>0.7739180583112808</v>
      </c>
      <c r="N68" s="616">
        <v>1126635.42</v>
      </c>
      <c r="O68" s="280">
        <v>0.17107119852670694</v>
      </c>
      <c r="P68" s="178">
        <f t="shared" si="16"/>
        <v>0.16102107814078859</v>
      </c>
      <c r="T68" s="254"/>
      <c r="U68" s="254"/>
    </row>
    <row r="69" spans="1:21" ht="14.1" customHeight="1" x14ac:dyDescent="0.2">
      <c r="A69" s="39" t="s">
        <v>88</v>
      </c>
      <c r="B69" s="40" t="s">
        <v>111</v>
      </c>
      <c r="C69" s="200">
        <v>3332924.07</v>
      </c>
      <c r="D69" s="206">
        <v>2309210.9900000002</v>
      </c>
      <c r="E69" s="34">
        <v>888628.24</v>
      </c>
      <c r="F69" s="280">
        <f t="shared" ref="F69:F80" si="17">+E69/D69</f>
        <v>0.38481898962381084</v>
      </c>
      <c r="G69" s="34">
        <v>719343.85</v>
      </c>
      <c r="H69" s="280">
        <f t="shared" si="11"/>
        <v>0.31151066451489556</v>
      </c>
      <c r="I69" s="34">
        <v>380276</v>
      </c>
      <c r="J69" s="178">
        <f t="shared" si="12"/>
        <v>0.16467789285898035</v>
      </c>
      <c r="K69" s="652">
        <v>655306.21</v>
      </c>
      <c r="L69" s="280">
        <v>0.30508076921692795</v>
      </c>
      <c r="M69" s="211">
        <f t="shared" si="15"/>
        <v>9.7721704788971797E-2</v>
      </c>
      <c r="N69" s="616">
        <v>405080.03</v>
      </c>
      <c r="O69" s="280">
        <v>0.18858683964984288</v>
      </c>
      <c r="P69" s="178">
        <f t="shared" si="16"/>
        <v>-6.1232418690203128E-2</v>
      </c>
      <c r="T69" s="254"/>
      <c r="U69" s="254"/>
    </row>
    <row r="70" spans="1:21" ht="14.1" customHeight="1" x14ac:dyDescent="0.2">
      <c r="A70" s="39" t="s">
        <v>89</v>
      </c>
      <c r="B70" s="40" t="s">
        <v>105</v>
      </c>
      <c r="C70" s="200">
        <v>15684736.65</v>
      </c>
      <c r="D70" s="206">
        <v>15436904.960000001</v>
      </c>
      <c r="E70" s="34">
        <v>8070664.4699999997</v>
      </c>
      <c r="F70" s="280">
        <f t="shared" si="17"/>
        <v>0.52281623103288177</v>
      </c>
      <c r="G70" s="34">
        <v>2881445.83</v>
      </c>
      <c r="H70" s="280">
        <f t="shared" si="11"/>
        <v>0.18665955626897893</v>
      </c>
      <c r="I70" s="34">
        <v>745668.38</v>
      </c>
      <c r="J70" s="178">
        <f t="shared" si="12"/>
        <v>4.8304267075049735E-2</v>
      </c>
      <c r="K70" s="652">
        <v>2888264.5</v>
      </c>
      <c r="L70" s="280">
        <v>0.29382220164954359</v>
      </c>
      <c r="M70" s="211">
        <f t="shared" si="15"/>
        <v>-2.36081910088215E-3</v>
      </c>
      <c r="N70" s="616">
        <v>934138.78</v>
      </c>
      <c r="O70" s="280">
        <v>9.502963214962433E-2</v>
      </c>
      <c r="P70" s="178">
        <f t="shared" si="16"/>
        <v>-0.20175845820253824</v>
      </c>
      <c r="T70" s="254"/>
      <c r="U70" s="254"/>
    </row>
    <row r="71" spans="1:21" ht="14.1" customHeight="1" x14ac:dyDescent="0.2">
      <c r="A71" s="39" t="s">
        <v>90</v>
      </c>
      <c r="B71" s="40" t="s">
        <v>120</v>
      </c>
      <c r="C71" s="200">
        <v>39167636.100000001</v>
      </c>
      <c r="D71" s="206">
        <v>39884913.460000001</v>
      </c>
      <c r="E71" s="34">
        <v>20382982.539999999</v>
      </c>
      <c r="F71" s="280">
        <f t="shared" si="17"/>
        <v>0.51104492330017959</v>
      </c>
      <c r="G71" s="34">
        <v>15708956.85</v>
      </c>
      <c r="H71" s="280">
        <f t="shared" si="11"/>
        <v>0.39385711255846861</v>
      </c>
      <c r="I71" s="34">
        <v>5532372</v>
      </c>
      <c r="J71" s="178">
        <f t="shared" si="12"/>
        <v>0.13870838670737834</v>
      </c>
      <c r="K71" s="652">
        <v>12754746.6</v>
      </c>
      <c r="L71" s="280">
        <v>0.35326541414023122</v>
      </c>
      <c r="M71" s="211">
        <f t="shared" si="15"/>
        <v>0.23161653795615189</v>
      </c>
      <c r="N71" s="616">
        <v>3786701.69</v>
      </c>
      <c r="O71" s="280">
        <v>0.10487944470361829</v>
      </c>
      <c r="P71" s="178">
        <f t="shared" si="16"/>
        <v>0.46100021942842817</v>
      </c>
      <c r="T71" s="254"/>
      <c r="U71" s="254"/>
    </row>
    <row r="72" spans="1:21" ht="14.1" customHeight="1" x14ac:dyDescent="0.2">
      <c r="A72" s="39" t="s">
        <v>91</v>
      </c>
      <c r="B72" s="40" t="s">
        <v>488</v>
      </c>
      <c r="C72" s="200">
        <v>49281328.299999997</v>
      </c>
      <c r="D72" s="206">
        <v>49774081.899999999</v>
      </c>
      <c r="E72" s="34">
        <v>36885715.619999997</v>
      </c>
      <c r="F72" s="280">
        <f t="shared" si="17"/>
        <v>0.74106270195211776</v>
      </c>
      <c r="G72" s="34">
        <v>36765402.899999999</v>
      </c>
      <c r="H72" s="280">
        <f t="shared" si="11"/>
        <v>0.7386455258755863</v>
      </c>
      <c r="I72" s="34">
        <v>9000000</v>
      </c>
      <c r="J72" s="178">
        <f t="shared" si="12"/>
        <v>0.18081699664660214</v>
      </c>
      <c r="K72" s="652">
        <v>36335300.68</v>
      </c>
      <c r="L72" s="280">
        <v>0.66879770067519362</v>
      </c>
      <c r="M72" s="211">
        <f t="shared" si="15"/>
        <v>1.1837034838044991E-2</v>
      </c>
      <c r="N72" s="616">
        <v>11000000</v>
      </c>
      <c r="O72" s="280">
        <v>0.2024690746945301</v>
      </c>
      <c r="P72" s="178">
        <f t="shared" si="16"/>
        <v>-0.18181818181818177</v>
      </c>
    </row>
    <row r="73" spans="1:21" ht="14.1" customHeight="1" x14ac:dyDescent="0.2">
      <c r="A73" s="39" t="s">
        <v>92</v>
      </c>
      <c r="B73" s="40" t="s">
        <v>118</v>
      </c>
      <c r="C73" s="200">
        <v>44564324.299999997</v>
      </c>
      <c r="D73" s="206">
        <v>24073246.75</v>
      </c>
      <c r="E73" s="34">
        <v>1739.5</v>
      </c>
      <c r="F73" s="280">
        <f t="shared" si="17"/>
        <v>7.2258637069800313E-5</v>
      </c>
      <c r="G73" s="34">
        <v>1739.5</v>
      </c>
      <c r="H73" s="280">
        <f t="shared" si="11"/>
        <v>7.2258637069800313E-5</v>
      </c>
      <c r="I73" s="34">
        <v>1739.5</v>
      </c>
      <c r="J73" s="178">
        <f t="shared" si="12"/>
        <v>7.2258637069800313E-5</v>
      </c>
      <c r="K73" s="652">
        <v>1551252.79</v>
      </c>
      <c r="L73" s="280">
        <v>0.1650606634381416</v>
      </c>
      <c r="M73" s="211">
        <f t="shared" si="15"/>
        <v>-0.99887864826982842</v>
      </c>
      <c r="N73" s="616">
        <v>1551252.79</v>
      </c>
      <c r="O73" s="280">
        <v>0.1650606634381416</v>
      </c>
      <c r="P73" s="178">
        <f t="shared" si="16"/>
        <v>-0.99887864826982842</v>
      </c>
    </row>
    <row r="74" spans="1:21" ht="14.1" customHeight="1" x14ac:dyDescent="0.2">
      <c r="A74" s="253">
        <v>931</v>
      </c>
      <c r="B74" s="40" t="s">
        <v>436</v>
      </c>
      <c r="C74" s="200">
        <v>5805408.6299999999</v>
      </c>
      <c r="D74" s="206">
        <v>5139664.4800000004</v>
      </c>
      <c r="E74" s="34">
        <v>1649293.75</v>
      </c>
      <c r="F74" s="280">
        <f t="shared" si="17"/>
        <v>0.32089521726912412</v>
      </c>
      <c r="G74" s="34">
        <v>1498151.25</v>
      </c>
      <c r="H74" s="280">
        <f t="shared" si="11"/>
        <v>0.29148814204307744</v>
      </c>
      <c r="I74" s="34">
        <v>922420.31</v>
      </c>
      <c r="J74" s="178">
        <f t="shared" si="12"/>
        <v>0.17947091947138152</v>
      </c>
      <c r="K74" s="652">
        <v>1319315.1000000001</v>
      </c>
      <c r="L74" s="280">
        <v>0.26684222430910831</v>
      </c>
      <c r="M74" s="211">
        <f t="shared" si="15"/>
        <v>0.13555226495929595</v>
      </c>
      <c r="N74" s="616">
        <v>922060.4</v>
      </c>
      <c r="O74" s="280">
        <v>0.18649422574133057</v>
      </c>
      <c r="P74" s="178">
        <f t="shared" si="16"/>
        <v>3.9033234699159536E-4</v>
      </c>
    </row>
    <row r="75" spans="1:21" ht="14.1" customHeight="1" x14ac:dyDescent="0.2">
      <c r="A75" s="39" t="s">
        <v>93</v>
      </c>
      <c r="B75" s="40" t="s">
        <v>107</v>
      </c>
      <c r="C75" s="200">
        <v>30138334.93</v>
      </c>
      <c r="D75" s="206">
        <v>30139104.140000001</v>
      </c>
      <c r="E75" s="34">
        <v>26940304.670000002</v>
      </c>
      <c r="F75" s="280">
        <f t="shared" si="17"/>
        <v>0.89386547605591837</v>
      </c>
      <c r="G75" s="34">
        <v>26775893.969999999</v>
      </c>
      <c r="H75" s="280">
        <f t="shared" si="11"/>
        <v>0.88841041344900429</v>
      </c>
      <c r="I75" s="34">
        <v>7180495.3499999996</v>
      </c>
      <c r="J75" s="178">
        <f t="shared" si="12"/>
        <v>0.23824514878231545</v>
      </c>
      <c r="K75" s="652">
        <v>24986971.870000001</v>
      </c>
      <c r="L75" s="280">
        <v>0.94153666902055</v>
      </c>
      <c r="M75" s="211">
        <f t="shared" si="15"/>
        <v>7.1594193538426554E-2</v>
      </c>
      <c r="N75" s="616">
        <v>2898518.86</v>
      </c>
      <c r="O75" s="280">
        <v>0.10921938867727399</v>
      </c>
      <c r="P75" s="178">
        <f t="shared" si="16"/>
        <v>1.4772981294315262</v>
      </c>
    </row>
    <row r="76" spans="1:21" ht="14.1" customHeight="1" x14ac:dyDescent="0.2">
      <c r="A76" s="39" t="s">
        <v>94</v>
      </c>
      <c r="B76" s="40" t="s">
        <v>108</v>
      </c>
      <c r="C76" s="200">
        <v>113561295.48999999</v>
      </c>
      <c r="D76" s="206">
        <v>110427408.62</v>
      </c>
      <c r="E76" s="34">
        <v>69722008.189999998</v>
      </c>
      <c r="F76" s="280">
        <f t="shared" si="17"/>
        <v>0.63138317797464216</v>
      </c>
      <c r="G76" s="34">
        <v>68144903.200000003</v>
      </c>
      <c r="H76" s="280">
        <f t="shared" si="11"/>
        <v>0.61710135238705555</v>
      </c>
      <c r="I76" s="34">
        <v>22082664.690000001</v>
      </c>
      <c r="J76" s="178">
        <f t="shared" si="12"/>
        <v>0.19997448972102846</v>
      </c>
      <c r="K76" s="652">
        <v>66465825.130000003</v>
      </c>
      <c r="L76" s="280">
        <v>0.73834632828956126</v>
      </c>
      <c r="M76" s="211">
        <f t="shared" si="15"/>
        <v>2.5262276767284542E-2</v>
      </c>
      <c r="N76" s="616">
        <v>19279691.510000002</v>
      </c>
      <c r="O76" s="280">
        <v>0.21417155973196189</v>
      </c>
      <c r="P76" s="178">
        <f t="shared" si="16"/>
        <v>0.14538475257999606</v>
      </c>
    </row>
    <row r="77" spans="1:21" ht="14.1" customHeight="1" x14ac:dyDescent="0.2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167718.74</v>
      </c>
      <c r="F77" s="280">
        <f t="shared" si="17"/>
        <v>0.20929966634971561</v>
      </c>
      <c r="G77" s="34">
        <v>167718.74</v>
      </c>
      <c r="H77" s="280">
        <f t="shared" si="11"/>
        <v>0.20929966634971561</v>
      </c>
      <c r="I77" s="34">
        <v>167718.74</v>
      </c>
      <c r="J77" s="178">
        <f t="shared" si="12"/>
        <v>0.20929966634971561</v>
      </c>
      <c r="K77" s="652">
        <v>180338.42</v>
      </c>
      <c r="L77" s="280">
        <v>0.22599537806955675</v>
      </c>
      <c r="M77" s="211">
        <f t="shared" si="15"/>
        <v>-6.9977767355397846E-2</v>
      </c>
      <c r="N77" s="616">
        <v>180338.42</v>
      </c>
      <c r="O77" s="280">
        <v>0.22599537806955675</v>
      </c>
      <c r="P77" s="178">
        <f t="shared" si="16"/>
        <v>-6.9977767355397846E-2</v>
      </c>
    </row>
    <row r="78" spans="1:21" ht="14.1" customHeight="1" x14ac:dyDescent="0.2">
      <c r="A78" s="250">
        <v>943</v>
      </c>
      <c r="B78" s="42" t="s">
        <v>742</v>
      </c>
      <c r="C78" s="200">
        <v>98287346.239999995</v>
      </c>
      <c r="D78" s="206">
        <v>98287346.239999995</v>
      </c>
      <c r="E78" s="34">
        <v>89498375.260000005</v>
      </c>
      <c r="F78" s="390">
        <f t="shared" si="17"/>
        <v>0.91057881491134263</v>
      </c>
      <c r="G78" s="34">
        <v>89498375.260000005</v>
      </c>
      <c r="H78" s="390">
        <f t="shared" si="11"/>
        <v>0.91057881491134263</v>
      </c>
      <c r="I78" s="34">
        <v>22432102.539999999</v>
      </c>
      <c r="J78" s="392">
        <f t="shared" si="12"/>
        <v>0.22822981185416122</v>
      </c>
      <c r="K78" s="654">
        <v>84274401.209999993</v>
      </c>
      <c r="L78" s="78">
        <v>0.94587005248899569</v>
      </c>
      <c r="M78" s="520">
        <f t="shared" si="15"/>
        <v>6.1987673302864588E-2</v>
      </c>
      <c r="N78" s="618">
        <v>16253391.82</v>
      </c>
      <c r="O78" s="78">
        <v>0.18242308878112068</v>
      </c>
      <c r="P78" s="392">
        <f t="shared" si="16"/>
        <v>0.38014900449252798</v>
      </c>
    </row>
    <row r="79" spans="1:21" ht="14.1" customHeight="1" thickBot="1" x14ac:dyDescent="0.25">
      <c r="A79" s="18">
        <v>9</v>
      </c>
      <c r="B79" s="2" t="s">
        <v>535</v>
      </c>
      <c r="C79" s="201">
        <f>SUBTOTAL(9,C66:C78)</f>
        <v>496436210.86000007</v>
      </c>
      <c r="D79" s="207">
        <f>SUM(D66:D78)</f>
        <v>477612919.35000002</v>
      </c>
      <c r="E79" s="529">
        <f>SUM(E66:E78)</f>
        <v>286170744.86000001</v>
      </c>
      <c r="F79" s="535">
        <f t="shared" si="17"/>
        <v>0.59916876882111925</v>
      </c>
      <c r="G79" s="203">
        <f>SUM(G66:G78)</f>
        <v>268399830.29000002</v>
      </c>
      <c r="H79" s="535">
        <f t="shared" si="11"/>
        <v>0.56196099271199496</v>
      </c>
      <c r="I79" s="203">
        <f>SUM(I66:I78)</f>
        <v>84800093.570000008</v>
      </c>
      <c r="J79" s="536">
        <f t="shared" si="12"/>
        <v>0.17754983195472893</v>
      </c>
      <c r="K79" s="152">
        <f>SUM(K66:K78)</f>
        <v>257115695.30000001</v>
      </c>
      <c r="L79" s="90">
        <v>0.62483520227227007</v>
      </c>
      <c r="M79" s="561">
        <f>+G79/K79-1</f>
        <v>4.3887382980777545E-2</v>
      </c>
      <c r="N79" s="568">
        <f>SUM(N66:N78)</f>
        <v>74803090.900000006</v>
      </c>
      <c r="O79" s="90">
        <v>0.18178433011861531</v>
      </c>
      <c r="P79" s="536">
        <f>+I79/N79-1</f>
        <v>0.1336442458422531</v>
      </c>
    </row>
    <row r="80" spans="1:21" s="6" customFormat="1" ht="14.1" customHeight="1" thickBot="1" x14ac:dyDescent="0.25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2750964399.9900002</v>
      </c>
      <c r="E80" s="209">
        <f>SUM(E6,E27,E33,E57,E65,E79)</f>
        <v>1707558811</v>
      </c>
      <c r="F80" s="181">
        <f t="shared" si="17"/>
        <v>0.62071279839397664</v>
      </c>
      <c r="G80" s="209">
        <f>SUM(G6,G27,G33,G57,G65,G79)</f>
        <v>1645383549.21</v>
      </c>
      <c r="H80" s="181">
        <f t="shared" si="11"/>
        <v>0.59811153834487318</v>
      </c>
      <c r="I80" s="209">
        <f>SUM(I6,I27,I33,I57,I65,I79)</f>
        <v>450784923.18000001</v>
      </c>
      <c r="J80" s="173">
        <f t="shared" si="12"/>
        <v>0.16386432451893548</v>
      </c>
      <c r="K80" s="154">
        <f>K6+K27+K33+K57+K65+K79</f>
        <v>1570698252.4200001</v>
      </c>
      <c r="L80" s="181">
        <v>0.63632331786873142</v>
      </c>
      <c r="M80" s="609">
        <f>+G80/K80-1</f>
        <v>4.7549105421700988E-2</v>
      </c>
      <c r="N80" s="576">
        <f>N6+N27+N33+N57+N65+N79</f>
        <v>570962466.83000004</v>
      </c>
      <c r="O80" s="181">
        <v>0.23130905679178876</v>
      </c>
      <c r="P80" s="175">
        <f>+I80/N80-1</f>
        <v>-0.21048238830343646</v>
      </c>
      <c r="R80" s="255"/>
      <c r="S80" s="46" t="s">
        <v>148</v>
      </c>
    </row>
    <row r="81" spans="1:19" ht="15.75" thickBot="1" x14ac:dyDescent="0.3">
      <c r="A81" s="7" t="s">
        <v>19</v>
      </c>
      <c r="N81" s="97"/>
    </row>
    <row r="82" spans="1:19" ht="12.75" customHeight="1" x14ac:dyDescent="0.2">
      <c r="A82" s="8" t="s">
        <v>759</v>
      </c>
      <c r="C82" s="164" t="s">
        <v>767</v>
      </c>
      <c r="D82" s="742" t="s">
        <v>781</v>
      </c>
      <c r="E82" s="740"/>
      <c r="F82" s="740"/>
      <c r="G82" s="740"/>
      <c r="H82" s="740"/>
      <c r="I82" s="740"/>
      <c r="J82" s="741"/>
      <c r="K82" s="751" t="s">
        <v>782</v>
      </c>
      <c r="L82" s="749"/>
      <c r="M82" s="749"/>
      <c r="N82" s="749"/>
      <c r="O82" s="749"/>
      <c r="P82" s="752"/>
    </row>
    <row r="83" spans="1:19" ht="12.75" customHeight="1" x14ac:dyDescent="0.2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545</v>
      </c>
      <c r="L83" s="88" t="s">
        <v>546</v>
      </c>
      <c r="M83" s="88" t="s">
        <v>547</v>
      </c>
      <c r="N83" s="87" t="s">
        <v>39</v>
      </c>
      <c r="O83" s="88" t="s">
        <v>40</v>
      </c>
      <c r="P83" s="611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3" t="s">
        <v>766</v>
      </c>
      <c r="N84" s="564" t="s">
        <v>17</v>
      </c>
      <c r="O84" s="89" t="s">
        <v>18</v>
      </c>
      <c r="P84" s="612" t="s">
        <v>766</v>
      </c>
    </row>
    <row r="85" spans="1:19" ht="14.1" customHeight="1" x14ac:dyDescent="0.2">
      <c r="A85" s="17" t="s">
        <v>548</v>
      </c>
      <c r="B85" s="13" t="s">
        <v>549</v>
      </c>
      <c r="C85" s="530">
        <v>155185000</v>
      </c>
      <c r="D85" s="516">
        <v>155185000</v>
      </c>
      <c r="E85" s="180">
        <v>38499948.289999999</v>
      </c>
      <c r="F85" s="78">
        <f t="shared" ref="F85:F117" si="18">+E85/D85</f>
        <v>0.24809065496020877</v>
      </c>
      <c r="G85" s="180">
        <v>38499948.289999999</v>
      </c>
      <c r="H85" s="78">
        <f t="shared" ref="H85:H117" si="19">+G85/D85</f>
        <v>0.24809065496020877</v>
      </c>
      <c r="I85" s="180">
        <v>38499948.289999999</v>
      </c>
      <c r="J85" s="172">
        <f t="shared" ref="J85:J117" si="20">+I85/D85</f>
        <v>0.24809065496020877</v>
      </c>
      <c r="K85" s="614">
        <v>130087577.93000001</v>
      </c>
      <c r="L85" s="78">
        <v>0.65758422228707858</v>
      </c>
      <c r="M85" s="245">
        <f>+G85/K85-1</f>
        <v>-0.70404592888402617</v>
      </c>
      <c r="N85" s="614">
        <v>130087577.93000001</v>
      </c>
      <c r="O85" s="78">
        <v>0.65758422228707858</v>
      </c>
      <c r="P85" s="245">
        <f>+I85/N85-1</f>
        <v>-0.70404592888402617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38499948.289999999</v>
      </c>
      <c r="F86" s="90">
        <f t="shared" si="18"/>
        <v>0.24809065496020877</v>
      </c>
      <c r="G86" s="203">
        <f>SUBTOTAL(9,G85:G85)</f>
        <v>38499948.289999999</v>
      </c>
      <c r="H86" s="90">
        <f t="shared" si="19"/>
        <v>0.24809065496020877</v>
      </c>
      <c r="I86" s="203">
        <f>SUBTOTAL(9,I85:I85)</f>
        <v>38499948.289999999</v>
      </c>
      <c r="J86" s="170">
        <f t="shared" si="20"/>
        <v>0.24809065496020877</v>
      </c>
      <c r="K86" s="568">
        <f>SUM(K85)</f>
        <v>130087577.93000001</v>
      </c>
      <c r="L86" s="90">
        <v>0.65758422228707858</v>
      </c>
      <c r="M86" s="213">
        <f>+G86/K86-1</f>
        <v>-0.70404592888402617</v>
      </c>
      <c r="N86" s="568">
        <f>SUBTOTAL(9,N85:N85)</f>
        <v>130087577.93000001</v>
      </c>
      <c r="O86" s="90">
        <v>0.65758422228707858</v>
      </c>
      <c r="P86" s="213">
        <f>+I86/N86-1</f>
        <v>-0.70404592888402617</v>
      </c>
    </row>
    <row r="87" spans="1:19" ht="14.1" customHeight="1" x14ac:dyDescent="0.2">
      <c r="A87" s="37" t="s">
        <v>550</v>
      </c>
      <c r="B87" s="38" t="s">
        <v>551</v>
      </c>
      <c r="C87" s="198">
        <v>8321253.9400000004</v>
      </c>
      <c r="D87" s="204">
        <v>19908763.07</v>
      </c>
      <c r="E87" s="30">
        <v>2406313.4</v>
      </c>
      <c r="F87" s="48">
        <f t="shared" si="18"/>
        <v>0.12086704691493422</v>
      </c>
      <c r="G87" s="30">
        <v>1999951.56</v>
      </c>
      <c r="H87" s="48">
        <f t="shared" si="19"/>
        <v>0.10045584213183366</v>
      </c>
      <c r="I87" s="30">
        <v>1664064.25</v>
      </c>
      <c r="J87" s="153">
        <f t="shared" si="20"/>
        <v>8.3584512214499918E-2</v>
      </c>
      <c r="K87" s="615">
        <v>2060666.17</v>
      </c>
      <c r="L87" s="48">
        <v>0.21762711516788519</v>
      </c>
      <c r="M87" s="210">
        <f>+G87/K87-1</f>
        <v>-2.946358361383683E-2</v>
      </c>
      <c r="N87" s="615">
        <v>1736195.29</v>
      </c>
      <c r="O87" s="48">
        <v>0.18335972018736538</v>
      </c>
      <c r="P87" s="210">
        <f>+I87/N87-1</f>
        <v>-4.1545464623395034E-2</v>
      </c>
    </row>
    <row r="88" spans="1:19" ht="14.1" customHeight="1" x14ac:dyDescent="0.2">
      <c r="A88" s="39" t="s">
        <v>552</v>
      </c>
      <c r="B88" s="40" t="s">
        <v>553</v>
      </c>
      <c r="C88" s="199">
        <v>168947008.41</v>
      </c>
      <c r="D88" s="205">
        <v>169586511.31</v>
      </c>
      <c r="E88" s="32">
        <v>42522906.07</v>
      </c>
      <c r="F88" s="280">
        <f t="shared" si="18"/>
        <v>0.25074462433081818</v>
      </c>
      <c r="G88" s="32">
        <v>41517508.259999998</v>
      </c>
      <c r="H88" s="280">
        <f t="shared" si="19"/>
        <v>0.24481609969620169</v>
      </c>
      <c r="I88" s="32">
        <v>35992506.899999999</v>
      </c>
      <c r="J88" s="178">
        <f t="shared" si="20"/>
        <v>0.21223684962895767</v>
      </c>
      <c r="K88" s="616">
        <v>45812246.009999998</v>
      </c>
      <c r="L88" s="280">
        <v>0.25518455055084388</v>
      </c>
      <c r="M88" s="443">
        <f>+G88/K88-1</f>
        <v>-9.3746500642263531E-2</v>
      </c>
      <c r="N88" s="616">
        <v>38940513.649999999</v>
      </c>
      <c r="O88" s="280">
        <v>0.21690745028796837</v>
      </c>
      <c r="P88" s="443">
        <f>+I88/N88-1</f>
        <v>-7.5705389417738189E-2</v>
      </c>
      <c r="Q88" s="53"/>
    </row>
    <row r="89" spans="1:19" ht="14.1" customHeight="1" x14ac:dyDescent="0.2">
      <c r="A89" s="39" t="s">
        <v>554</v>
      </c>
      <c r="B89" s="40" t="s">
        <v>555</v>
      </c>
      <c r="C89" s="199">
        <v>592279.81000000006</v>
      </c>
      <c r="D89" s="205">
        <v>592279.81000000006</v>
      </c>
      <c r="E89" s="32">
        <v>263428.83</v>
      </c>
      <c r="F89" s="280">
        <f t="shared" si="18"/>
        <v>0.44477090988463713</v>
      </c>
      <c r="G89" s="32">
        <v>254717.83</v>
      </c>
      <c r="H89" s="280">
        <f t="shared" si="19"/>
        <v>0.43006333442296463</v>
      </c>
      <c r="I89" s="32">
        <v>102258.84</v>
      </c>
      <c r="J89" s="178">
        <f t="shared" si="20"/>
        <v>0.17265292227334236</v>
      </c>
      <c r="K89" s="616">
        <v>301306.81</v>
      </c>
      <c r="L89" s="280">
        <v>0.48136769687409953</v>
      </c>
      <c r="M89" s="671">
        <f>+G89/K89-1</f>
        <v>-0.15462305681043187</v>
      </c>
      <c r="N89" s="616">
        <v>93436.1</v>
      </c>
      <c r="O89" s="280">
        <v>0.14927349389115385</v>
      </c>
      <c r="P89" s="594">
        <f>+I89/N89-1</f>
        <v>9.44253880459478E-2</v>
      </c>
    </row>
    <row r="90" spans="1:19" ht="14.1" customHeight="1" x14ac:dyDescent="0.2">
      <c r="A90" s="39" t="s">
        <v>556</v>
      </c>
      <c r="B90" s="40" t="s">
        <v>557</v>
      </c>
      <c r="C90" s="199">
        <v>60818645.530000001</v>
      </c>
      <c r="D90" s="205">
        <v>61163668.909999996</v>
      </c>
      <c r="E90" s="32">
        <v>1757463.36</v>
      </c>
      <c r="F90" s="280">
        <f t="shared" si="18"/>
        <v>2.8733779240516791E-2</v>
      </c>
      <c r="G90" s="32">
        <v>1285696.56</v>
      </c>
      <c r="H90" s="280">
        <f t="shared" si="19"/>
        <v>2.102059250062081E-2</v>
      </c>
      <c r="I90" s="32">
        <v>0</v>
      </c>
      <c r="J90" s="178">
        <f t="shared" si="20"/>
        <v>0</v>
      </c>
      <c r="K90" s="616">
        <v>0</v>
      </c>
      <c r="L90" s="280">
        <v>0</v>
      </c>
      <c r="M90" s="671" t="s">
        <v>129</v>
      </c>
      <c r="N90" s="616">
        <v>0</v>
      </c>
      <c r="O90" s="280">
        <v>0</v>
      </c>
      <c r="P90" s="594" t="s">
        <v>129</v>
      </c>
    </row>
    <row r="91" spans="1:19" ht="14.1" customHeight="1" x14ac:dyDescent="0.2">
      <c r="A91" s="39">
        <v>1341</v>
      </c>
      <c r="B91" s="40" t="s">
        <v>558</v>
      </c>
      <c r="C91" s="199">
        <v>14713359.07</v>
      </c>
      <c r="D91" s="205">
        <v>14962406.300000001</v>
      </c>
      <c r="E91" s="32">
        <v>10359913.470000001</v>
      </c>
      <c r="F91" s="280">
        <f t="shared" si="18"/>
        <v>0.69239621370260473</v>
      </c>
      <c r="G91" s="32">
        <v>9946091.8399999999</v>
      </c>
      <c r="H91" s="280">
        <f t="shared" si="19"/>
        <v>0.66473878870673353</v>
      </c>
      <c r="I91" s="32">
        <v>1398688.67</v>
      </c>
      <c r="J91" s="178">
        <f t="shared" si="20"/>
        <v>9.3480195762362092E-2</v>
      </c>
      <c r="K91" s="616">
        <v>9990036.4299999997</v>
      </c>
      <c r="L91" s="280">
        <v>0.57653116452372333</v>
      </c>
      <c r="M91" s="210">
        <f t="shared" ref="M91:M120" si="21">+G91/K91-1</f>
        <v>-4.3988418168360299E-3</v>
      </c>
      <c r="N91" s="616">
        <v>888623.61</v>
      </c>
      <c r="O91" s="280">
        <v>5.1283016662290085E-2</v>
      </c>
      <c r="P91" s="210">
        <f t="shared" ref="P91:P120" si="22">+I91/N91-1</f>
        <v>0.57399449469950503</v>
      </c>
      <c r="R91" s="275"/>
    </row>
    <row r="92" spans="1:19" ht="14.1" customHeight="1" x14ac:dyDescent="0.2">
      <c r="A92" s="39" t="s">
        <v>559</v>
      </c>
      <c r="B92" s="40" t="s">
        <v>475</v>
      </c>
      <c r="C92" s="199">
        <v>431130.98</v>
      </c>
      <c r="D92" s="205">
        <v>325576.23</v>
      </c>
      <c r="E92" s="32">
        <v>69769.86</v>
      </c>
      <c r="F92" s="280">
        <f t="shared" si="18"/>
        <v>0.21429654124319827</v>
      </c>
      <c r="G92" s="32">
        <v>69769.86</v>
      </c>
      <c r="H92" s="280">
        <f t="shared" si="19"/>
        <v>0.21429654124319827</v>
      </c>
      <c r="I92" s="32">
        <v>69769.86</v>
      </c>
      <c r="J92" s="178">
        <f t="shared" si="20"/>
        <v>0.21429654124319827</v>
      </c>
      <c r="K92" s="616">
        <v>101964.29</v>
      </c>
      <c r="L92" s="280">
        <v>0.22913457986798527</v>
      </c>
      <c r="M92" s="210">
        <f t="shared" si="21"/>
        <v>-0.31574220739437298</v>
      </c>
      <c r="N92" s="616">
        <v>101964.29</v>
      </c>
      <c r="O92" s="280">
        <v>0.22913457986798527</v>
      </c>
      <c r="P92" s="210">
        <f t="shared" si="22"/>
        <v>-0.31574220739437298</v>
      </c>
      <c r="R92" s="275"/>
    </row>
    <row r="93" spans="1:19" ht="14.1" customHeight="1" x14ac:dyDescent="0.2">
      <c r="A93" s="39">
        <v>1361</v>
      </c>
      <c r="B93" s="40" t="s">
        <v>560</v>
      </c>
      <c r="C93" s="199">
        <v>41868192.539999999</v>
      </c>
      <c r="D93" s="205">
        <v>42679437.520000003</v>
      </c>
      <c r="E93" s="32">
        <v>11779134.49</v>
      </c>
      <c r="F93" s="280">
        <f t="shared" si="18"/>
        <v>0.27599085588886174</v>
      </c>
      <c r="G93" s="32">
        <v>11351065</v>
      </c>
      <c r="H93" s="280">
        <f t="shared" si="19"/>
        <v>0.26596097932829549</v>
      </c>
      <c r="I93" s="32">
        <v>8497439.2599999998</v>
      </c>
      <c r="J93" s="178">
        <f t="shared" si="20"/>
        <v>0.199099138924172</v>
      </c>
      <c r="K93" s="616">
        <v>11459957.390000001</v>
      </c>
      <c r="L93" s="280">
        <v>0.25943334392286377</v>
      </c>
      <c r="M93" s="211">
        <f t="shared" si="21"/>
        <v>-9.5019890820030595E-3</v>
      </c>
      <c r="N93" s="616">
        <v>9776119.1500000004</v>
      </c>
      <c r="O93" s="280">
        <v>0.22131419824352808</v>
      </c>
      <c r="P93" s="211">
        <f t="shared" si="22"/>
        <v>-0.13079626694197977</v>
      </c>
      <c r="R93" s="275"/>
      <c r="S93" s="275"/>
    </row>
    <row r="94" spans="1:19" ht="14.1" customHeight="1" x14ac:dyDescent="0.2">
      <c r="A94" s="39" t="s">
        <v>561</v>
      </c>
      <c r="B94" s="40" t="s">
        <v>562</v>
      </c>
      <c r="C94" s="199">
        <v>27281948.489999998</v>
      </c>
      <c r="D94" s="205">
        <v>28237703.109999999</v>
      </c>
      <c r="E94" s="32">
        <v>10482020.289999999</v>
      </c>
      <c r="F94" s="280">
        <f t="shared" si="18"/>
        <v>0.37120654782604939</v>
      </c>
      <c r="G94" s="32">
        <v>9486972.9000000004</v>
      </c>
      <c r="H94" s="280">
        <f t="shared" si="19"/>
        <v>0.33596829257122962</v>
      </c>
      <c r="I94" s="32">
        <v>4172181.41</v>
      </c>
      <c r="J94" s="178">
        <f t="shared" si="20"/>
        <v>0.14775215228190705</v>
      </c>
      <c r="K94" s="616">
        <v>10305643.699999999</v>
      </c>
      <c r="L94" s="280">
        <v>0.47896034015967121</v>
      </c>
      <c r="M94" s="211">
        <f t="shared" si="21"/>
        <v>-7.9439074727568837E-2</v>
      </c>
      <c r="N94" s="616">
        <v>4703082.22</v>
      </c>
      <c r="O94" s="280">
        <v>0.21857827860768189</v>
      </c>
      <c r="P94" s="211">
        <f t="shared" si="22"/>
        <v>-0.1128835910506365</v>
      </c>
      <c r="R94" s="275"/>
      <c r="S94" s="275"/>
    </row>
    <row r="95" spans="1:19" ht="14.1" customHeight="1" x14ac:dyDescent="0.2">
      <c r="A95" s="39" t="s">
        <v>563</v>
      </c>
      <c r="B95" s="40" t="s">
        <v>564</v>
      </c>
      <c r="C95" s="199">
        <v>10111588.699999999</v>
      </c>
      <c r="D95" s="205">
        <v>10358215.67</v>
      </c>
      <c r="E95" s="32">
        <v>2518012.7400000002</v>
      </c>
      <c r="F95" s="280">
        <f t="shared" si="18"/>
        <v>0.24309329137573366</v>
      </c>
      <c r="G95" s="32">
        <v>2326314.73</v>
      </c>
      <c r="H95" s="280">
        <f t="shared" si="19"/>
        <v>0.22458643497234693</v>
      </c>
      <c r="I95" s="32">
        <v>2034471.56</v>
      </c>
      <c r="J95" s="178">
        <f t="shared" si="20"/>
        <v>0.19641139215630948</v>
      </c>
      <c r="K95" s="616">
        <v>2360632.59</v>
      </c>
      <c r="L95" s="280">
        <v>0.22177212342808433</v>
      </c>
      <c r="M95" s="211">
        <f t="shared" si="21"/>
        <v>-1.4537569355508984E-2</v>
      </c>
      <c r="N95" s="616">
        <v>2137456.11</v>
      </c>
      <c r="O95" s="280">
        <v>0.20080557315741923</v>
      </c>
      <c r="P95" s="211">
        <f t="shared" si="22"/>
        <v>-4.8180895747141128E-2</v>
      </c>
      <c r="R95" s="275"/>
      <c r="S95" s="275"/>
    </row>
    <row r="96" spans="1:19" ht="14.1" customHeight="1" x14ac:dyDescent="0.2">
      <c r="A96" s="39" t="s">
        <v>565</v>
      </c>
      <c r="B96" s="40" t="s">
        <v>566</v>
      </c>
      <c r="C96" s="199">
        <v>21055570.43</v>
      </c>
      <c r="D96" s="205">
        <v>35879980.840000004</v>
      </c>
      <c r="E96" s="32">
        <v>8742777.4299999997</v>
      </c>
      <c r="F96" s="280">
        <f t="shared" si="18"/>
        <v>0.24366728257149201</v>
      </c>
      <c r="G96" s="32">
        <v>8742777.4299999997</v>
      </c>
      <c r="H96" s="280">
        <f t="shared" si="19"/>
        <v>0.24366728257149201</v>
      </c>
      <c r="I96" s="32">
        <v>2065624.92</v>
      </c>
      <c r="J96" s="178">
        <f t="shared" si="20"/>
        <v>5.7570401980181207E-2</v>
      </c>
      <c r="K96" s="616">
        <v>4312591.1100000003</v>
      </c>
      <c r="L96" s="280">
        <v>0.26652270682166063</v>
      </c>
      <c r="M96" s="211">
        <f t="shared" si="21"/>
        <v>1.0272678784054721</v>
      </c>
      <c r="N96" s="616">
        <v>4312591.1100000003</v>
      </c>
      <c r="O96" s="280">
        <v>0.26652270682166063</v>
      </c>
      <c r="P96" s="211">
        <f t="shared" si="22"/>
        <v>-0.52102463059615234</v>
      </c>
      <c r="R96" s="276"/>
    </row>
    <row r="97" spans="1:19" ht="14.1" customHeight="1" x14ac:dyDescent="0.2">
      <c r="A97" s="39" t="s">
        <v>567</v>
      </c>
      <c r="B97" s="40" t="s">
        <v>568</v>
      </c>
      <c r="C97" s="199">
        <v>173426660.56</v>
      </c>
      <c r="D97" s="205">
        <v>184630179.94</v>
      </c>
      <c r="E97" s="32">
        <v>78696834.180000007</v>
      </c>
      <c r="F97" s="280">
        <f t="shared" si="18"/>
        <v>0.42624035900075724</v>
      </c>
      <c r="G97" s="32">
        <v>77562924</v>
      </c>
      <c r="H97" s="280">
        <f t="shared" si="19"/>
        <v>0.42009883771551287</v>
      </c>
      <c r="I97" s="32">
        <v>44119198.280000001</v>
      </c>
      <c r="J97" s="178">
        <f t="shared" si="20"/>
        <v>0.23895984012114158</v>
      </c>
      <c r="K97" s="616">
        <v>62949164.509999998</v>
      </c>
      <c r="L97" s="280">
        <v>0.35315516033380723</v>
      </c>
      <c r="M97" s="211">
        <f t="shared" si="21"/>
        <v>0.23215176251749114</v>
      </c>
      <c r="N97" s="616">
        <v>43492742.799999997</v>
      </c>
      <c r="O97" s="280">
        <v>0.24400143634076391</v>
      </c>
      <c r="P97" s="211">
        <f t="shared" si="22"/>
        <v>1.4403678399422581E-2</v>
      </c>
      <c r="R97" s="275"/>
      <c r="S97" s="275"/>
    </row>
    <row r="98" spans="1:19" ht="14.1" customHeight="1" x14ac:dyDescent="0.2">
      <c r="A98" s="39" t="s">
        <v>569</v>
      </c>
      <c r="B98" s="40" t="s">
        <v>570</v>
      </c>
      <c r="C98" s="199">
        <v>1408497.48</v>
      </c>
      <c r="D98" s="205">
        <v>837075.23</v>
      </c>
      <c r="E98" s="32">
        <v>643468.31000000006</v>
      </c>
      <c r="F98" s="280">
        <f t="shared" si="18"/>
        <v>0.76871025080983468</v>
      </c>
      <c r="G98" s="32">
        <v>170490.46</v>
      </c>
      <c r="H98" s="280">
        <f t="shared" si="19"/>
        <v>0.20367399952809498</v>
      </c>
      <c r="I98" s="32">
        <v>31420.79</v>
      </c>
      <c r="J98" s="178">
        <f t="shared" si="20"/>
        <v>3.7536399207512089E-2</v>
      </c>
      <c r="K98" s="616">
        <v>339271.53</v>
      </c>
      <c r="L98" s="280">
        <v>0.19979147510279793</v>
      </c>
      <c r="M98" s="211">
        <f t="shared" si="21"/>
        <v>-0.4974807936286314</v>
      </c>
      <c r="N98" s="616">
        <v>204522.21</v>
      </c>
      <c r="O98" s="280">
        <v>0.12043979648744534</v>
      </c>
      <c r="P98" s="211">
        <f t="shared" si="22"/>
        <v>-0.84636979035186444</v>
      </c>
    </row>
    <row r="99" spans="1:19" ht="14.1" customHeight="1" x14ac:dyDescent="0.2">
      <c r="A99" s="39" t="s">
        <v>571</v>
      </c>
      <c r="B99" s="40" t="s">
        <v>572</v>
      </c>
      <c r="C99" s="199">
        <v>309641.09000000003</v>
      </c>
      <c r="D99" s="205">
        <v>344641.09</v>
      </c>
      <c r="E99" s="32">
        <v>85000</v>
      </c>
      <c r="F99" s="280">
        <f t="shared" si="18"/>
        <v>0.24663338895544926</v>
      </c>
      <c r="G99" s="32">
        <v>7258.79</v>
      </c>
      <c r="H99" s="280">
        <f t="shared" si="19"/>
        <v>2.1061882087246183E-2</v>
      </c>
      <c r="I99" s="32">
        <v>7258.79</v>
      </c>
      <c r="J99" s="178">
        <f t="shared" si="20"/>
        <v>2.1061882087246183E-2</v>
      </c>
      <c r="K99" s="616">
        <v>169780.82</v>
      </c>
      <c r="L99" s="280">
        <v>0.41246050329558676</v>
      </c>
      <c r="M99" s="211">
        <f t="shared" si="21"/>
        <v>-0.95724611295904916</v>
      </c>
      <c r="N99" s="616">
        <v>37479.42</v>
      </c>
      <c r="O99" s="280">
        <v>9.1051394594670224E-2</v>
      </c>
      <c r="P99" s="211">
        <f t="shared" si="22"/>
        <v>-0.80632597836359254</v>
      </c>
    </row>
    <row r="100" spans="1:19" ht="14.1" customHeight="1" x14ac:dyDescent="0.2">
      <c r="A100" s="39" t="s">
        <v>573</v>
      </c>
      <c r="B100" s="40" t="s">
        <v>574</v>
      </c>
      <c r="C100" s="199">
        <v>7945464.6799999997</v>
      </c>
      <c r="D100" s="205">
        <v>8008124.0800000001</v>
      </c>
      <c r="E100" s="32">
        <v>6509729.1399999997</v>
      </c>
      <c r="F100" s="280">
        <f t="shared" si="18"/>
        <v>0.81289064392219057</v>
      </c>
      <c r="G100" s="32">
        <v>6509729.1399999997</v>
      </c>
      <c r="H100" s="280">
        <f t="shared" si="19"/>
        <v>0.81289064392219057</v>
      </c>
      <c r="I100" s="32">
        <v>533857.09</v>
      </c>
      <c r="J100" s="178">
        <f t="shared" si="20"/>
        <v>6.6664437846722269E-2</v>
      </c>
      <c r="K100" s="616">
        <v>6305232.9500000002</v>
      </c>
      <c r="L100" s="280">
        <v>0.8028277538477524</v>
      </c>
      <c r="M100" s="211">
        <f t="shared" si="21"/>
        <v>3.2432773161854334E-2</v>
      </c>
      <c r="N100" s="616">
        <v>474442.95</v>
      </c>
      <c r="O100" s="280">
        <v>6.0409499680325288E-2</v>
      </c>
      <c r="P100" s="211">
        <f t="shared" si="22"/>
        <v>0.12522926096804676</v>
      </c>
    </row>
    <row r="101" spans="1:19" ht="14.1" customHeight="1" x14ac:dyDescent="0.2">
      <c r="A101" s="39">
        <v>1521</v>
      </c>
      <c r="B101" s="40" t="s">
        <v>575</v>
      </c>
      <c r="C101" s="199">
        <v>32800946.870000001</v>
      </c>
      <c r="D101" s="205">
        <v>31671821.870000001</v>
      </c>
      <c r="E101" s="32">
        <v>15394754.279999999</v>
      </c>
      <c r="F101" s="280">
        <f t="shared" si="18"/>
        <v>0.48607100479376364</v>
      </c>
      <c r="G101" s="32">
        <v>15394754.279999999</v>
      </c>
      <c r="H101" s="280">
        <f t="shared" si="19"/>
        <v>0.48607100479376364</v>
      </c>
      <c r="I101" s="32">
        <v>2390443.5299999998</v>
      </c>
      <c r="J101" s="178">
        <f t="shared" si="20"/>
        <v>7.5475403335236044E-2</v>
      </c>
      <c r="K101" s="616">
        <v>8841268</v>
      </c>
      <c r="L101" s="280">
        <v>0.69323854594146728</v>
      </c>
      <c r="M101" s="211">
        <f t="shared" si="21"/>
        <v>0.74123827939612275</v>
      </c>
      <c r="N101" s="616">
        <v>7270000</v>
      </c>
      <c r="O101" s="280">
        <v>0.57003636005542047</v>
      </c>
      <c r="P101" s="211">
        <f t="shared" si="22"/>
        <v>-0.67119071114167816</v>
      </c>
    </row>
    <row r="102" spans="1:19" ht="14.1" customHeight="1" x14ac:dyDescent="0.2">
      <c r="A102" s="39" t="s">
        <v>576</v>
      </c>
      <c r="B102" s="40" t="s">
        <v>577</v>
      </c>
      <c r="C102" s="199">
        <v>17147962.52</v>
      </c>
      <c r="D102" s="205">
        <v>23981295.850000001</v>
      </c>
      <c r="E102" s="32">
        <v>10566785.91</v>
      </c>
      <c r="F102" s="280">
        <f t="shared" si="18"/>
        <v>0.4406261436451942</v>
      </c>
      <c r="G102" s="32">
        <v>10483664.189999999</v>
      </c>
      <c r="H102" s="280">
        <f t="shared" si="19"/>
        <v>0.43716003737137493</v>
      </c>
      <c r="I102" s="32">
        <v>1953094</v>
      </c>
      <c r="J102" s="178">
        <f t="shared" si="20"/>
        <v>8.144238794335211E-2</v>
      </c>
      <c r="K102" s="614">
        <v>10482874.560000001</v>
      </c>
      <c r="L102" s="280">
        <v>0.63668964824530705</v>
      </c>
      <c r="M102" s="211">
        <f t="shared" si="21"/>
        <v>7.5325712950213841E-5</v>
      </c>
      <c r="N102" s="614">
        <v>274339.15000000002</v>
      </c>
      <c r="O102" s="280">
        <v>1.6662309170416757E-2</v>
      </c>
      <c r="P102" s="211">
        <f t="shared" si="22"/>
        <v>6.1192682488080896</v>
      </c>
    </row>
    <row r="103" spans="1:19" ht="14.1" customHeight="1" x14ac:dyDescent="0.2">
      <c r="A103" s="39" t="s">
        <v>578</v>
      </c>
      <c r="B103" s="40" t="s">
        <v>579</v>
      </c>
      <c r="C103" s="199">
        <v>8492360.5399999991</v>
      </c>
      <c r="D103" s="205">
        <v>8528918.5</v>
      </c>
      <c r="E103" s="32">
        <v>7340004.8600000003</v>
      </c>
      <c r="F103" s="280">
        <f t="shared" si="18"/>
        <v>0.86060206343864121</v>
      </c>
      <c r="G103" s="32">
        <v>7260964.4900000002</v>
      </c>
      <c r="H103" s="280">
        <f t="shared" si="19"/>
        <v>0.85133472549890121</v>
      </c>
      <c r="I103" s="32">
        <v>288767.48</v>
      </c>
      <c r="J103" s="178">
        <f t="shared" si="20"/>
        <v>3.3857455666858577E-2</v>
      </c>
      <c r="K103" s="616">
        <v>7150970.9299999997</v>
      </c>
      <c r="L103" s="280">
        <v>0.87941001272567165</v>
      </c>
      <c r="M103" s="211">
        <f t="shared" si="21"/>
        <v>1.5381625946562227E-2</v>
      </c>
      <c r="N103" s="616">
        <v>1082687.1100000001</v>
      </c>
      <c r="O103" s="280">
        <v>0.13314637893277254</v>
      </c>
      <c r="P103" s="211">
        <f t="shared" si="22"/>
        <v>-0.73328630466469669</v>
      </c>
    </row>
    <row r="104" spans="1:19" ht="14.1" customHeight="1" x14ac:dyDescent="0.2">
      <c r="A104" s="39" t="s">
        <v>580</v>
      </c>
      <c r="B104" s="40" t="s">
        <v>581</v>
      </c>
      <c r="C104" s="199">
        <v>78451100.349999994</v>
      </c>
      <c r="D104" s="205">
        <v>60152092.859999999</v>
      </c>
      <c r="E104" s="32">
        <v>9465833.9499999993</v>
      </c>
      <c r="F104" s="280">
        <f t="shared" si="18"/>
        <v>0.15736499762412423</v>
      </c>
      <c r="G104" s="32">
        <v>8358194.25</v>
      </c>
      <c r="H104" s="280">
        <f t="shared" si="19"/>
        <v>0.13895101321666634</v>
      </c>
      <c r="I104" s="32">
        <v>920040.05</v>
      </c>
      <c r="J104" s="178">
        <f t="shared" si="20"/>
        <v>1.529522924732365E-2</v>
      </c>
      <c r="K104" s="616">
        <v>5013004.17</v>
      </c>
      <c r="L104" s="280">
        <v>0.66536285077628554</v>
      </c>
      <c r="M104" s="211">
        <f t="shared" si="21"/>
        <v>0.66730247303983403</v>
      </c>
      <c r="N104" s="616">
        <v>750668.61</v>
      </c>
      <c r="O104" s="280">
        <v>9.9634269073004114E-2</v>
      </c>
      <c r="P104" s="211">
        <f t="shared" si="22"/>
        <v>0.22562744431261095</v>
      </c>
    </row>
    <row r="105" spans="1:19" ht="14.1" customHeight="1" x14ac:dyDescent="0.2">
      <c r="A105" s="39" t="s">
        <v>582</v>
      </c>
      <c r="B105" s="40" t="s">
        <v>583</v>
      </c>
      <c r="C105" s="199">
        <v>21790501.289999999</v>
      </c>
      <c r="D105" s="205">
        <v>23144082.890000001</v>
      </c>
      <c r="E105" s="32">
        <v>14767434.6</v>
      </c>
      <c r="F105" s="280">
        <f t="shared" si="18"/>
        <v>0.63806523119482306</v>
      </c>
      <c r="G105" s="32">
        <v>14369272.91</v>
      </c>
      <c r="H105" s="280">
        <f t="shared" si="19"/>
        <v>0.62086162490407504</v>
      </c>
      <c r="I105" s="32">
        <v>1861526.56</v>
      </c>
      <c r="J105" s="178">
        <f t="shared" si="20"/>
        <v>8.043207280441951E-2</v>
      </c>
      <c r="K105" s="616">
        <v>9271823.4600000009</v>
      </c>
      <c r="L105" s="280">
        <v>0.27813382309792462</v>
      </c>
      <c r="M105" s="211">
        <f t="shared" si="21"/>
        <v>0.54977852759935941</v>
      </c>
      <c r="N105" s="616">
        <v>2340302.37</v>
      </c>
      <c r="O105" s="280">
        <v>7.0203800598812705E-2</v>
      </c>
      <c r="P105" s="211">
        <f t="shared" si="22"/>
        <v>-0.20457861177998127</v>
      </c>
    </row>
    <row r="106" spans="1:19" ht="14.1" customHeight="1" x14ac:dyDescent="0.2">
      <c r="A106" s="39" t="s">
        <v>584</v>
      </c>
      <c r="B106" s="40" t="s">
        <v>585</v>
      </c>
      <c r="C106" s="199">
        <v>672247.24</v>
      </c>
      <c r="D106" s="205">
        <v>1405191.03</v>
      </c>
      <c r="E106" s="32">
        <v>103701.5</v>
      </c>
      <c r="F106" s="280">
        <f t="shared" si="18"/>
        <v>7.379886277810925E-2</v>
      </c>
      <c r="G106" s="32">
        <v>28928.79</v>
      </c>
      <c r="H106" s="280">
        <f t="shared" si="19"/>
        <v>2.0587087009799658E-2</v>
      </c>
      <c r="I106" s="32">
        <v>16963.89</v>
      </c>
      <c r="J106" s="178">
        <f t="shared" si="20"/>
        <v>1.2072301657092131E-2</v>
      </c>
      <c r="K106" s="616">
        <v>241271.63</v>
      </c>
      <c r="L106" s="280">
        <v>0.20615427577074666</v>
      </c>
      <c r="M106" s="211">
        <f t="shared" si="21"/>
        <v>-0.88009866721586782</v>
      </c>
      <c r="N106" s="616">
        <v>65954.679999999993</v>
      </c>
      <c r="O106" s="280">
        <v>5.6354902932812062E-2</v>
      </c>
      <c r="P106" s="211">
        <f t="shared" si="22"/>
        <v>-0.74279474936426038</v>
      </c>
    </row>
    <row r="107" spans="1:19" ht="14.1" customHeight="1" x14ac:dyDescent="0.2">
      <c r="A107" s="39">
        <v>1536</v>
      </c>
      <c r="B107" s="40" t="s">
        <v>770</v>
      </c>
      <c r="C107" s="199">
        <v>19631487</v>
      </c>
      <c r="D107" s="205">
        <v>20880938.140000001</v>
      </c>
      <c r="E107" s="32">
        <v>2671776.5</v>
      </c>
      <c r="F107" s="280">
        <f t="shared" si="18"/>
        <v>0.12795289570260659</v>
      </c>
      <c r="G107" s="32">
        <v>2671776.5</v>
      </c>
      <c r="H107" s="280">
        <f t="shared" si="19"/>
        <v>0.12795289570260659</v>
      </c>
      <c r="I107" s="32">
        <v>653932.5</v>
      </c>
      <c r="J107" s="178">
        <f t="shared" si="20"/>
        <v>3.1317199237677548E-2</v>
      </c>
      <c r="K107" s="716">
        <v>0</v>
      </c>
      <c r="L107" s="280">
        <v>0</v>
      </c>
      <c r="M107" s="211" t="s">
        <v>129</v>
      </c>
      <c r="N107" s="616">
        <v>0</v>
      </c>
      <c r="O107" s="280">
        <v>0</v>
      </c>
      <c r="P107" s="211" t="s">
        <v>129</v>
      </c>
    </row>
    <row r="108" spans="1:19" ht="14.1" customHeight="1" x14ac:dyDescent="0.2">
      <c r="A108" s="39">
        <v>1601</v>
      </c>
      <c r="B108" s="40" t="s">
        <v>586</v>
      </c>
      <c r="C108" s="199">
        <v>18375699.07</v>
      </c>
      <c r="D108" s="205">
        <v>18538061.57</v>
      </c>
      <c r="E108" s="32">
        <v>18158298.059999999</v>
      </c>
      <c r="F108" s="280">
        <f t="shared" si="18"/>
        <v>0.97951438943246527</v>
      </c>
      <c r="G108" s="32">
        <v>18158298.059999999</v>
      </c>
      <c r="H108" s="280">
        <f t="shared" si="19"/>
        <v>0.97951438943246527</v>
      </c>
      <c r="I108" s="32">
        <v>2989378.54</v>
      </c>
      <c r="J108" s="178">
        <f t="shared" si="20"/>
        <v>0.16125626342927288</v>
      </c>
      <c r="K108" s="616">
        <v>19340617.449999999</v>
      </c>
      <c r="L108" s="280">
        <v>0.87660527272242961</v>
      </c>
      <c r="M108" s="211">
        <f t="shared" si="21"/>
        <v>-6.1131419048878421E-2</v>
      </c>
      <c r="N108" s="616">
        <v>4564460.07</v>
      </c>
      <c r="O108" s="280">
        <v>0.20688221432625414</v>
      </c>
      <c r="P108" s="211">
        <f t="shared" si="22"/>
        <v>-0.34507510326407564</v>
      </c>
    </row>
    <row r="109" spans="1:19" ht="14.1" customHeight="1" x14ac:dyDescent="0.2">
      <c r="A109" s="39" t="s">
        <v>587</v>
      </c>
      <c r="B109" s="40" t="s">
        <v>588</v>
      </c>
      <c r="C109" s="199">
        <v>8493454.4900000002</v>
      </c>
      <c r="D109" s="205">
        <v>8455161.5800000001</v>
      </c>
      <c r="E109" s="32">
        <v>6341788.7300000004</v>
      </c>
      <c r="F109" s="280">
        <f t="shared" si="18"/>
        <v>0.7500493834441897</v>
      </c>
      <c r="G109" s="32">
        <v>6341788.7300000004</v>
      </c>
      <c r="H109" s="280">
        <f t="shared" si="19"/>
        <v>0.7500493834441897</v>
      </c>
      <c r="I109" s="32">
        <v>1004660.59</v>
      </c>
      <c r="J109" s="178">
        <f t="shared" si="20"/>
        <v>0.11882216330157938</v>
      </c>
      <c r="K109" s="616">
        <v>6140658.3200000003</v>
      </c>
      <c r="L109" s="280">
        <v>0.99583507764852397</v>
      </c>
      <c r="M109" s="211">
        <f t="shared" si="21"/>
        <v>3.2753883951647689E-2</v>
      </c>
      <c r="N109" s="616">
        <v>494119.82</v>
      </c>
      <c r="O109" s="280">
        <v>8.0131774750394305E-2</v>
      </c>
      <c r="P109" s="211">
        <f t="shared" si="22"/>
        <v>1.0332327288551184</v>
      </c>
    </row>
    <row r="110" spans="1:19" ht="14.1" customHeight="1" x14ac:dyDescent="0.2">
      <c r="A110" s="39" t="s">
        <v>589</v>
      </c>
      <c r="B110" s="40" t="s">
        <v>590</v>
      </c>
      <c r="C110" s="199">
        <v>98538647.590000004</v>
      </c>
      <c r="D110" s="205">
        <v>94721202.489999995</v>
      </c>
      <c r="E110" s="32">
        <v>87650000</v>
      </c>
      <c r="F110" s="280">
        <f t="shared" si="18"/>
        <v>0.92534720522845426</v>
      </c>
      <c r="G110" s="32">
        <v>87650000</v>
      </c>
      <c r="H110" s="280">
        <f t="shared" si="19"/>
        <v>0.92534720522845426</v>
      </c>
      <c r="I110" s="32">
        <v>4054790.76</v>
      </c>
      <c r="J110" s="178">
        <f t="shared" si="20"/>
        <v>4.2807636024554022E-2</v>
      </c>
      <c r="K110" s="616">
        <v>85241375.739999995</v>
      </c>
      <c r="L110" s="280">
        <v>1</v>
      </c>
      <c r="M110" s="211">
        <f t="shared" si="21"/>
        <v>2.8256515560550088E-2</v>
      </c>
      <c r="N110" s="616">
        <v>7195039.8300000001</v>
      </c>
      <c r="O110" s="280">
        <v>8.4407833256305451E-2</v>
      </c>
      <c r="P110" s="211">
        <f t="shared" si="22"/>
        <v>-0.43644637753172799</v>
      </c>
    </row>
    <row r="111" spans="1:19" ht="14.1" customHeight="1" x14ac:dyDescent="0.2">
      <c r="A111" s="39" t="s">
        <v>591</v>
      </c>
      <c r="B111" s="40" t="s">
        <v>592</v>
      </c>
      <c r="C111" s="199">
        <v>4809562.41</v>
      </c>
      <c r="D111" s="205">
        <v>4809562.41</v>
      </c>
      <c r="E111" s="32">
        <v>4767846.51</v>
      </c>
      <c r="F111" s="280">
        <f t="shared" si="18"/>
        <v>0.99132646664210755</v>
      </c>
      <c r="G111" s="32">
        <v>4767846.51</v>
      </c>
      <c r="H111" s="280">
        <f t="shared" si="19"/>
        <v>0.99132646664210755</v>
      </c>
      <c r="I111" s="32">
        <v>0</v>
      </c>
      <c r="J111" s="178">
        <f t="shared" si="20"/>
        <v>0</v>
      </c>
      <c r="K111" s="616">
        <v>315880</v>
      </c>
      <c r="L111" s="280">
        <v>7.0545780080766521E-2</v>
      </c>
      <c r="M111" s="211">
        <f t="shared" si="21"/>
        <v>14.093853710269721</v>
      </c>
      <c r="N111" s="616">
        <v>0</v>
      </c>
      <c r="O111" s="280">
        <v>0</v>
      </c>
      <c r="P111" s="211" t="e">
        <f t="shared" si="22"/>
        <v>#DIV/0!</v>
      </c>
    </row>
    <row r="112" spans="1:19" ht="14.1" customHeight="1" x14ac:dyDescent="0.2">
      <c r="A112" s="39" t="s">
        <v>593</v>
      </c>
      <c r="B112" s="40" t="s">
        <v>594</v>
      </c>
      <c r="C112" s="199">
        <v>5470927.3399999999</v>
      </c>
      <c r="D112" s="205">
        <v>2663908.7799999998</v>
      </c>
      <c r="E112" s="32">
        <v>483047.16</v>
      </c>
      <c r="F112" s="280">
        <f t="shared" si="18"/>
        <v>0.18133021807150621</v>
      </c>
      <c r="G112" s="32">
        <v>483047.16</v>
      </c>
      <c r="H112" s="280">
        <f t="shared" si="19"/>
        <v>0.18133021807150621</v>
      </c>
      <c r="I112" s="32">
        <v>483047.16</v>
      </c>
      <c r="J112" s="178">
        <f t="shared" si="20"/>
        <v>0.18133021807150621</v>
      </c>
      <c r="K112" s="616">
        <v>3770734</v>
      </c>
      <c r="L112" s="280">
        <v>6.700517435227718E-2</v>
      </c>
      <c r="M112" s="211">
        <f t="shared" si="21"/>
        <v>-0.87189572109833258</v>
      </c>
      <c r="N112" s="616">
        <v>3770734</v>
      </c>
      <c r="O112" s="280">
        <v>6.700517435227718E-2</v>
      </c>
      <c r="P112" s="211">
        <f t="shared" si="22"/>
        <v>-0.87189572109833258</v>
      </c>
    </row>
    <row r="113" spans="1:18" ht="14.1" customHeight="1" x14ac:dyDescent="0.2">
      <c r="A113" s="39" t="s">
        <v>595</v>
      </c>
      <c r="B113" s="40" t="s">
        <v>98</v>
      </c>
      <c r="C113" s="199">
        <v>171073344.52000001</v>
      </c>
      <c r="D113" s="205">
        <v>174535316.71000001</v>
      </c>
      <c r="E113" s="32">
        <v>173631387.11000001</v>
      </c>
      <c r="F113" s="280">
        <f t="shared" si="18"/>
        <v>0.99482093585963505</v>
      </c>
      <c r="G113" s="32">
        <v>173608137.11000001</v>
      </c>
      <c r="H113" s="280">
        <f t="shared" si="19"/>
        <v>0.99468772499756852</v>
      </c>
      <c r="I113" s="32">
        <v>15851685.91</v>
      </c>
      <c r="J113" s="178">
        <f t="shared" si="20"/>
        <v>9.0822225603420112E-2</v>
      </c>
      <c r="K113" s="616">
        <v>174329012.34</v>
      </c>
      <c r="L113" s="280">
        <v>0.98543521457595007</v>
      </c>
      <c r="M113" s="211">
        <f t="shared" si="21"/>
        <v>-4.1351420530855165E-3</v>
      </c>
      <c r="N113" s="616">
        <v>15127785.09</v>
      </c>
      <c r="O113" s="280">
        <v>8.5513317296540867E-2</v>
      </c>
      <c r="P113" s="211">
        <f t="shared" si="22"/>
        <v>4.7852399785777155E-2</v>
      </c>
      <c r="R113"/>
    </row>
    <row r="114" spans="1:18" ht="14.1" customHeight="1" x14ac:dyDescent="0.2">
      <c r="A114" s="39" t="s">
        <v>596</v>
      </c>
      <c r="B114" s="40" t="s">
        <v>597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6">
        <v>0</v>
      </c>
      <c r="L114" s="280">
        <v>0</v>
      </c>
      <c r="M114" s="211" t="s">
        <v>129</v>
      </c>
      <c r="N114" s="616">
        <v>0</v>
      </c>
      <c r="O114" s="280">
        <v>0</v>
      </c>
      <c r="P114" s="211" t="s">
        <v>129</v>
      </c>
      <c r="R114"/>
    </row>
    <row r="115" spans="1:18" ht="14.1" customHeight="1" x14ac:dyDescent="0.2">
      <c r="A115" s="39" t="s">
        <v>598</v>
      </c>
      <c r="B115" s="40" t="s">
        <v>599</v>
      </c>
      <c r="C115" s="199">
        <v>31920925.68</v>
      </c>
      <c r="D115" s="205">
        <v>31749630.02</v>
      </c>
      <c r="E115" s="32">
        <v>26364746.690000001</v>
      </c>
      <c r="F115" s="280">
        <f t="shared" si="18"/>
        <v>0.83039539904534621</v>
      </c>
      <c r="G115" s="32">
        <v>26262426.620000001</v>
      </c>
      <c r="H115" s="280">
        <f t="shared" si="19"/>
        <v>0.82717268212122619</v>
      </c>
      <c r="I115" s="32">
        <v>2833691.69</v>
      </c>
      <c r="J115" s="178">
        <f t="shared" si="20"/>
        <v>8.9251172004680884E-2</v>
      </c>
      <c r="K115" s="616">
        <v>21801903.789999999</v>
      </c>
      <c r="L115" s="280">
        <v>0.70863984782917588</v>
      </c>
      <c r="M115" s="211">
        <f t="shared" si="21"/>
        <v>0.20459327189793108</v>
      </c>
      <c r="N115" s="616">
        <v>1174659.3500000001</v>
      </c>
      <c r="O115" s="280">
        <v>3.8180630051992299E-2</v>
      </c>
      <c r="P115" s="211">
        <f t="shared" si="22"/>
        <v>1.4123518788659877</v>
      </c>
      <c r="R115"/>
    </row>
    <row r="116" spans="1:18" ht="14.1" customHeight="1" x14ac:dyDescent="0.2">
      <c r="A116" s="39" t="s">
        <v>600</v>
      </c>
      <c r="B116" s="40" t="s">
        <v>601</v>
      </c>
      <c r="C116" s="199">
        <v>2348598.2599999998</v>
      </c>
      <c r="D116" s="205">
        <v>2406840.9</v>
      </c>
      <c r="E116" s="32">
        <v>2243741.7999999998</v>
      </c>
      <c r="F116" s="280">
        <f t="shared" si="18"/>
        <v>0.93223519676767996</v>
      </c>
      <c r="G116" s="32">
        <v>1479784.45</v>
      </c>
      <c r="H116" s="280">
        <f t="shared" si="19"/>
        <v>0.61482437414122393</v>
      </c>
      <c r="I116" s="32">
        <v>297905.19</v>
      </c>
      <c r="J116" s="178">
        <f t="shared" si="20"/>
        <v>0.12377435916100646</v>
      </c>
      <c r="K116" s="616">
        <v>713920.4</v>
      </c>
      <c r="L116" s="280">
        <v>0.42433348113751601</v>
      </c>
      <c r="M116" s="211">
        <f t="shared" si="21"/>
        <v>1.072758321515956</v>
      </c>
      <c r="N116" s="616">
        <v>185964.19</v>
      </c>
      <c r="O116" s="280">
        <v>0.11053169528370171</v>
      </c>
      <c r="P116" s="211">
        <f t="shared" si="22"/>
        <v>0.6019492247405267</v>
      </c>
    </row>
    <row r="117" spans="1:18" ht="14.1" customHeight="1" x14ac:dyDescent="0.2">
      <c r="A117" s="39" t="s">
        <v>602</v>
      </c>
      <c r="B117" s="40" t="s">
        <v>603</v>
      </c>
      <c r="C117" s="199">
        <v>56423741.060000002</v>
      </c>
      <c r="D117" s="205">
        <v>51303061.450000003</v>
      </c>
      <c r="E117" s="32">
        <v>48748731.82</v>
      </c>
      <c r="F117" s="280">
        <f t="shared" si="18"/>
        <v>0.9502109706944204</v>
      </c>
      <c r="G117" s="32">
        <v>48748731.82</v>
      </c>
      <c r="H117" s="280">
        <f t="shared" si="19"/>
        <v>0.9502109706944204</v>
      </c>
      <c r="I117" s="32">
        <v>8000000</v>
      </c>
      <c r="J117" s="178">
        <f t="shared" si="20"/>
        <v>0.15593611324339396</v>
      </c>
      <c r="K117" s="616">
        <v>48152759.93</v>
      </c>
      <c r="L117" s="280">
        <v>0.9494949825879877</v>
      </c>
      <c r="M117" s="211">
        <f t="shared" si="21"/>
        <v>1.2376692236672815E-2</v>
      </c>
      <c r="N117" s="616">
        <v>9328886.9299999997</v>
      </c>
      <c r="O117" s="280">
        <v>0.18395064677584838</v>
      </c>
      <c r="P117" s="211">
        <f t="shared" si="22"/>
        <v>-0.14244860506632806</v>
      </c>
      <c r="R117"/>
    </row>
    <row r="118" spans="1:18" ht="14.1" customHeight="1" x14ac:dyDescent="0.2">
      <c r="A118" s="41">
        <v>1721</v>
      </c>
      <c r="B118" s="42" t="s">
        <v>604</v>
      </c>
      <c r="C118" s="199">
        <v>13754086.91</v>
      </c>
      <c r="D118" s="205">
        <v>6873253.5499999998</v>
      </c>
      <c r="E118" s="32">
        <v>2231078.35</v>
      </c>
      <c r="F118" s="280">
        <f t="shared" ref="F118:F144" si="23">+E118/D118</f>
        <v>0.32460294586397154</v>
      </c>
      <c r="G118" s="32">
        <v>1000477.21</v>
      </c>
      <c r="H118" s="280">
        <f t="shared" ref="H118:H144" si="24">+G118/D118</f>
        <v>0.14556093453005237</v>
      </c>
      <c r="I118" s="32">
        <v>40848.46</v>
      </c>
      <c r="J118" s="178">
        <f t="shared" ref="J118:J144" si="25">+I118/D118</f>
        <v>5.9431039030998648E-3</v>
      </c>
      <c r="K118" s="580">
        <v>387552.54</v>
      </c>
      <c r="L118" s="390">
        <v>0.47278617084810176</v>
      </c>
      <c r="M118" s="211">
        <f t="shared" si="21"/>
        <v>1.5815266492641231</v>
      </c>
      <c r="N118" s="580">
        <v>77065.66</v>
      </c>
      <c r="O118" s="390">
        <v>9.4014551666418505E-2</v>
      </c>
      <c r="P118" s="211">
        <f t="shared" si="22"/>
        <v>-0.46995250543497591</v>
      </c>
      <c r="R118"/>
    </row>
    <row r="119" spans="1:18" ht="14.1" customHeight="1" x14ac:dyDescent="0.2">
      <c r="A119" s="41" t="s">
        <v>605</v>
      </c>
      <c r="B119" s="42" t="s">
        <v>606</v>
      </c>
      <c r="C119" s="200">
        <v>2576457.23</v>
      </c>
      <c r="D119" s="206">
        <v>2928655.81</v>
      </c>
      <c r="E119" s="34">
        <v>2157205.29</v>
      </c>
      <c r="F119" s="280">
        <f t="shared" si="23"/>
        <v>0.73658546102759681</v>
      </c>
      <c r="G119" s="34">
        <v>1997305.29</v>
      </c>
      <c r="H119" s="280">
        <f t="shared" si="24"/>
        <v>0.68198703418139117</v>
      </c>
      <c r="I119" s="34">
        <v>128498.6</v>
      </c>
      <c r="J119" s="178">
        <f t="shared" si="25"/>
        <v>4.3876306516196589E-2</v>
      </c>
      <c r="K119" s="580">
        <v>545786.28</v>
      </c>
      <c r="L119" s="390">
        <v>0.48565209459904191</v>
      </c>
      <c r="M119" s="211">
        <f t="shared" si="21"/>
        <v>2.6595007298461222</v>
      </c>
      <c r="N119" s="580">
        <v>162527.45000000001</v>
      </c>
      <c r="O119" s="390">
        <v>0.14462033842686747</v>
      </c>
      <c r="P119" s="211">
        <f t="shared" si="22"/>
        <v>-0.20937293977109717</v>
      </c>
      <c r="R119"/>
    </row>
    <row r="120" spans="1:18" ht="14.1" customHeight="1" x14ac:dyDescent="0.2">
      <c r="A120" s="41" t="s">
        <v>607</v>
      </c>
      <c r="B120" s="42" t="s">
        <v>608</v>
      </c>
      <c r="C120" s="662">
        <v>3772412.45</v>
      </c>
      <c r="D120" s="397">
        <v>3779582.45</v>
      </c>
      <c r="E120" s="398">
        <v>2597328.11</v>
      </c>
      <c r="F120" s="412">
        <f t="shared" si="23"/>
        <v>0.68719974874473233</v>
      </c>
      <c r="G120" s="398">
        <v>2381480.2799999998</v>
      </c>
      <c r="H120" s="412">
        <f t="shared" si="24"/>
        <v>0.63009083979633773</v>
      </c>
      <c r="I120" s="398">
        <v>483886.68</v>
      </c>
      <c r="J120" s="427">
        <f t="shared" si="25"/>
        <v>0.12802649139192609</v>
      </c>
      <c r="K120" s="665">
        <v>1842518.12</v>
      </c>
      <c r="L120" s="412">
        <v>0.72393749191079027</v>
      </c>
      <c r="M120" s="211">
        <f t="shared" si="21"/>
        <v>0.29251389940197692</v>
      </c>
      <c r="N120" s="665">
        <v>339625</v>
      </c>
      <c r="O120" s="412">
        <v>0.13344089701012118</v>
      </c>
      <c r="P120" s="211">
        <f t="shared" si="22"/>
        <v>0.42476755244755249</v>
      </c>
      <c r="R120"/>
    </row>
    <row r="121" spans="1:18" ht="14.1" customHeight="1" x14ac:dyDescent="0.2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1161907309.9700003</v>
      </c>
      <c r="E121" s="203">
        <f>SUBTOTAL(9,E87:E120)</f>
        <v>612522262.79999995</v>
      </c>
      <c r="F121" s="90">
        <f t="shared" si="23"/>
        <v>0.52716964386411758</v>
      </c>
      <c r="G121" s="203">
        <f>SUBTOTAL(9,G87:G120)</f>
        <v>602678147.00999999</v>
      </c>
      <c r="H121" s="90">
        <f t="shared" si="24"/>
        <v>0.51869726770680247</v>
      </c>
      <c r="I121" s="203">
        <f>SUBTOTAL(9,I87:I120)</f>
        <v>144941902.21000004</v>
      </c>
      <c r="J121" s="170">
        <f t="shared" si="25"/>
        <v>0.12474480620467251</v>
      </c>
      <c r="K121" s="568">
        <f>SUM(K87:K120)</f>
        <v>560052425.96999991</v>
      </c>
      <c r="L121" s="90">
        <v>0.5233366553228237</v>
      </c>
      <c r="M121" s="213">
        <f t="shared" ref="M121:M147" si="26">+G121/K121-1</f>
        <v>7.611023372708936E-2</v>
      </c>
      <c r="N121" s="568">
        <f>SUBTOTAL(9,N87:N120)</f>
        <v>161103988.22</v>
      </c>
      <c r="O121" s="90">
        <v>0.1505423750431869</v>
      </c>
      <c r="P121" s="213">
        <f t="shared" ref="P121:P147" si="27">+I121/N121-1</f>
        <v>-0.10032083121324953</v>
      </c>
      <c r="R121"/>
    </row>
    <row r="122" spans="1:18" ht="14.1" customHeight="1" x14ac:dyDescent="0.2">
      <c r="A122" s="37" t="s">
        <v>609</v>
      </c>
      <c r="B122" s="38" t="s">
        <v>100</v>
      </c>
      <c r="C122" s="198">
        <v>557191.48</v>
      </c>
      <c r="D122" s="204">
        <v>560338.96</v>
      </c>
      <c r="E122" s="30">
        <v>120902.14</v>
      </c>
      <c r="F122" s="48">
        <f t="shared" si="23"/>
        <v>0.21576607844651746</v>
      </c>
      <c r="G122" s="30">
        <v>120902.14</v>
      </c>
      <c r="H122" s="48">
        <f t="shared" si="24"/>
        <v>0.21576607844651746</v>
      </c>
      <c r="I122" s="30">
        <v>120902.14</v>
      </c>
      <c r="J122" s="153">
        <f t="shared" si="25"/>
        <v>0.21576607844651746</v>
      </c>
      <c r="K122" s="615">
        <v>126675.7</v>
      </c>
      <c r="L122" s="48">
        <v>0.21318626370110716</v>
      </c>
      <c r="M122" s="210">
        <f t="shared" si="26"/>
        <v>-4.5577486447677007E-2</v>
      </c>
      <c r="N122" s="615">
        <v>126675.7</v>
      </c>
      <c r="O122" s="48">
        <v>0.21318626370110716</v>
      </c>
      <c r="P122" s="210">
        <f t="shared" si="27"/>
        <v>-4.5577486447677007E-2</v>
      </c>
      <c r="R122"/>
    </row>
    <row r="123" spans="1:18" ht="14.1" customHeight="1" x14ac:dyDescent="0.2">
      <c r="A123" s="39" t="s">
        <v>610</v>
      </c>
      <c r="B123" s="40" t="s">
        <v>611</v>
      </c>
      <c r="C123" s="199">
        <v>9281481.3800000008</v>
      </c>
      <c r="D123" s="205">
        <v>9300048.1600000001</v>
      </c>
      <c r="E123" s="32">
        <v>3417208.13</v>
      </c>
      <c r="F123" s="280">
        <f t="shared" si="23"/>
        <v>0.36743983162340954</v>
      </c>
      <c r="G123" s="32">
        <v>2650258.73</v>
      </c>
      <c r="H123" s="48">
        <f t="shared" si="24"/>
        <v>0.28497258126026737</v>
      </c>
      <c r="I123" s="32">
        <v>1505994.91</v>
      </c>
      <c r="J123" s="178">
        <f t="shared" si="25"/>
        <v>0.16193409798428399</v>
      </c>
      <c r="K123" s="616">
        <v>2486091.27</v>
      </c>
      <c r="L123" s="280">
        <v>0.2918500165277777</v>
      </c>
      <c r="M123" s="211">
        <f t="shared" si="26"/>
        <v>6.603436566510279E-2</v>
      </c>
      <c r="N123" s="616">
        <v>1644051.75</v>
      </c>
      <c r="O123" s="280">
        <v>0.19300036816831018</v>
      </c>
      <c r="P123" s="211">
        <f t="shared" si="27"/>
        <v>-8.3973536721091757E-2</v>
      </c>
      <c r="R123"/>
    </row>
    <row r="124" spans="1:18" ht="14.1" customHeight="1" x14ac:dyDescent="0.2">
      <c r="A124" s="39" t="s">
        <v>612</v>
      </c>
      <c r="B124" s="40" t="s">
        <v>613</v>
      </c>
      <c r="C124" s="199">
        <v>9392699.8300000001</v>
      </c>
      <c r="D124" s="205">
        <v>9335127.8399999999</v>
      </c>
      <c r="E124" s="32">
        <v>2032634.15</v>
      </c>
      <c r="F124" s="280">
        <f t="shared" si="23"/>
        <v>0.21774036572808197</v>
      </c>
      <c r="G124" s="32">
        <v>1993773.67</v>
      </c>
      <c r="H124" s="48">
        <f t="shared" si="24"/>
        <v>0.21357754325086992</v>
      </c>
      <c r="I124" s="32">
        <v>1950225.28</v>
      </c>
      <c r="J124" s="178">
        <f t="shared" si="25"/>
        <v>0.20891254125556785</v>
      </c>
      <c r="K124" s="618">
        <v>2173055.5099999998</v>
      </c>
      <c r="L124" s="280">
        <v>0.23636682894994085</v>
      </c>
      <c r="M124" s="211">
        <f t="shared" si="26"/>
        <v>-8.2502190659639374E-2</v>
      </c>
      <c r="N124" s="618">
        <v>2135521.0699999998</v>
      </c>
      <c r="O124" s="280">
        <v>0.23228414605556241</v>
      </c>
      <c r="P124" s="211">
        <f t="shared" si="27"/>
        <v>-8.6768420411792002E-2</v>
      </c>
      <c r="R124"/>
    </row>
    <row r="125" spans="1:18" ht="14.1" customHeight="1" x14ac:dyDescent="0.2">
      <c r="A125" s="39" t="s">
        <v>614</v>
      </c>
      <c r="B125" s="40" t="s">
        <v>615</v>
      </c>
      <c r="C125" s="199">
        <v>8507680.8399999999</v>
      </c>
      <c r="D125" s="205">
        <v>8765469.5</v>
      </c>
      <c r="E125" s="32">
        <v>2797520.15</v>
      </c>
      <c r="F125" s="280">
        <f t="shared" si="23"/>
        <v>0.31915234546192878</v>
      </c>
      <c r="G125" s="32">
        <v>2182409.5</v>
      </c>
      <c r="H125" s="48">
        <f t="shared" si="24"/>
        <v>0.24897804960704045</v>
      </c>
      <c r="I125" s="32">
        <v>791522.33</v>
      </c>
      <c r="J125" s="178">
        <f t="shared" si="25"/>
        <v>9.0300049529577389E-2</v>
      </c>
      <c r="K125" s="618">
        <v>1265159.79</v>
      </c>
      <c r="L125" s="280">
        <v>0.24958839933381138</v>
      </c>
      <c r="M125" s="211">
        <f t="shared" si="26"/>
        <v>0.72500700484639968</v>
      </c>
      <c r="N125" s="618">
        <v>532586.42000000004</v>
      </c>
      <c r="O125" s="280">
        <v>0.10506767060208655</v>
      </c>
      <c r="P125" s="211">
        <f t="shared" si="27"/>
        <v>0.4861857161134524</v>
      </c>
      <c r="R125"/>
    </row>
    <row r="126" spans="1:18" ht="14.1" customHeight="1" x14ac:dyDescent="0.2">
      <c r="A126" s="39" t="s">
        <v>616</v>
      </c>
      <c r="B126" s="40" t="s">
        <v>618</v>
      </c>
      <c r="C126" s="199">
        <v>8498539.1999999993</v>
      </c>
      <c r="D126" s="205">
        <v>9063165.5500000007</v>
      </c>
      <c r="E126" s="32">
        <v>3751042.46</v>
      </c>
      <c r="F126" s="280">
        <f t="shared" si="23"/>
        <v>0.41387773833613795</v>
      </c>
      <c r="G126" s="32">
        <v>2239310.7200000002</v>
      </c>
      <c r="H126" s="48">
        <f t="shared" si="24"/>
        <v>0.24707820988661075</v>
      </c>
      <c r="I126" s="32">
        <v>1391890.24</v>
      </c>
      <c r="J126" s="178">
        <f t="shared" si="25"/>
        <v>0.15357660988549413</v>
      </c>
      <c r="K126" s="618">
        <v>3444101.28</v>
      </c>
      <c r="L126" s="280">
        <v>0.43137586899641395</v>
      </c>
      <c r="M126" s="211">
        <f t="shared" si="26"/>
        <v>-0.34981275579677484</v>
      </c>
      <c r="N126" s="618">
        <v>1441694.27</v>
      </c>
      <c r="O126" s="280">
        <v>0.18057312140030932</v>
      </c>
      <c r="P126" s="211">
        <f t="shared" si="27"/>
        <v>-3.4545486540638048E-2</v>
      </c>
      <c r="R126"/>
    </row>
    <row r="127" spans="1:18" ht="14.1" customHeight="1" x14ac:dyDescent="0.2">
      <c r="A127" s="39" t="s">
        <v>617</v>
      </c>
      <c r="B127" s="40" t="s">
        <v>619</v>
      </c>
      <c r="C127" s="199">
        <v>1364200</v>
      </c>
      <c r="D127" s="205">
        <v>1364200</v>
      </c>
      <c r="E127" s="32">
        <v>269091.94</v>
      </c>
      <c r="F127" s="280">
        <f t="shared" si="23"/>
        <v>0.19725255827591262</v>
      </c>
      <c r="G127" s="32">
        <v>116091.94</v>
      </c>
      <c r="H127" s="48">
        <f t="shared" si="24"/>
        <v>8.5098915115085771E-2</v>
      </c>
      <c r="I127" s="32">
        <v>34494.620000000003</v>
      </c>
      <c r="J127" s="178">
        <f t="shared" si="25"/>
        <v>2.5285603283975958E-2</v>
      </c>
      <c r="K127" s="618">
        <v>168551.31</v>
      </c>
      <c r="L127" s="280">
        <v>0.11414221555801497</v>
      </c>
      <c r="M127" s="211">
        <f t="shared" si="26"/>
        <v>-0.3112367978629178</v>
      </c>
      <c r="N127" s="618">
        <v>40309.96</v>
      </c>
      <c r="O127" s="280">
        <v>2.7297729952113461E-2</v>
      </c>
      <c r="P127" s="211">
        <f t="shared" si="27"/>
        <v>-0.14426558597428518</v>
      </c>
      <c r="R127"/>
    </row>
    <row r="128" spans="1:18" ht="14.1" customHeight="1" x14ac:dyDescent="0.2">
      <c r="A128" s="39" t="s">
        <v>620</v>
      </c>
      <c r="B128" s="40" t="s">
        <v>621</v>
      </c>
      <c r="C128" s="199">
        <v>33334210.969999999</v>
      </c>
      <c r="D128" s="205">
        <v>33460154.719999999</v>
      </c>
      <c r="E128" s="32">
        <v>24080071.190000001</v>
      </c>
      <c r="F128" s="280">
        <f t="shared" si="23"/>
        <v>0.71966407183427394</v>
      </c>
      <c r="G128" s="32">
        <v>22096579.809999999</v>
      </c>
      <c r="H128" s="48">
        <f t="shared" si="24"/>
        <v>0.66038486656465767</v>
      </c>
      <c r="I128" s="32">
        <v>2886942.41</v>
      </c>
      <c r="J128" s="178">
        <f t="shared" si="25"/>
        <v>8.6280007793102048E-2</v>
      </c>
      <c r="K128" s="618">
        <v>24493632.66</v>
      </c>
      <c r="L128" s="280">
        <v>0.83406662285214328</v>
      </c>
      <c r="M128" s="211">
        <f t="shared" si="26"/>
        <v>-9.7864325936208529E-2</v>
      </c>
      <c r="N128" s="618">
        <v>5049718.7300000004</v>
      </c>
      <c r="O128" s="280">
        <v>0.17195496911172808</v>
      </c>
      <c r="P128" s="211">
        <f t="shared" si="27"/>
        <v>-0.42829639345080917</v>
      </c>
      <c r="R128"/>
    </row>
    <row r="129" spans="1:19" ht="14.1" customHeight="1" x14ac:dyDescent="0.2">
      <c r="A129" s="39" t="s">
        <v>622</v>
      </c>
      <c r="B129" s="40" t="s">
        <v>625</v>
      </c>
      <c r="C129" s="199">
        <v>36709256.140000001</v>
      </c>
      <c r="D129" s="205">
        <v>36871235.530000001</v>
      </c>
      <c r="E129" s="32">
        <v>29946811.649999999</v>
      </c>
      <c r="F129" s="280">
        <f t="shared" si="23"/>
        <v>0.81219984140846058</v>
      </c>
      <c r="G129" s="32">
        <v>29718811.649999999</v>
      </c>
      <c r="H129" s="48">
        <f t="shared" si="24"/>
        <v>0.80601615928545467</v>
      </c>
      <c r="I129" s="32">
        <v>3858493.6</v>
      </c>
      <c r="J129" s="178">
        <f t="shared" si="25"/>
        <v>0.10464779778970427</v>
      </c>
      <c r="K129" s="618">
        <v>20911179.809999999</v>
      </c>
      <c r="L129" s="280">
        <v>0.77596302869683453</v>
      </c>
      <c r="M129" s="211">
        <f t="shared" si="26"/>
        <v>0.42119248746491467</v>
      </c>
      <c r="N129" s="618">
        <v>3984628.94</v>
      </c>
      <c r="O129" s="280">
        <v>0.14785988971491981</v>
      </c>
      <c r="P129" s="211">
        <f t="shared" si="27"/>
        <v>-3.1655479568945766E-2</v>
      </c>
    </row>
    <row r="130" spans="1:19" ht="14.1" customHeight="1" x14ac:dyDescent="0.2">
      <c r="A130" s="39" t="s">
        <v>623</v>
      </c>
      <c r="B130" s="40" t="s">
        <v>624</v>
      </c>
      <c r="C130" s="199">
        <v>140973391.11000001</v>
      </c>
      <c r="D130" s="205">
        <v>145859031.77000001</v>
      </c>
      <c r="E130" s="32">
        <v>139935753.61000001</v>
      </c>
      <c r="F130" s="280">
        <f t="shared" si="23"/>
        <v>0.95939039161222317</v>
      </c>
      <c r="G130" s="32">
        <v>136435753.61000001</v>
      </c>
      <c r="H130" s="48">
        <f t="shared" si="24"/>
        <v>0.93539462009552321</v>
      </c>
      <c r="I130" s="32">
        <v>34309400</v>
      </c>
      <c r="J130" s="178">
        <f t="shared" si="25"/>
        <v>0.23522300665001869</v>
      </c>
      <c r="K130" s="664">
        <v>94395071.620000005</v>
      </c>
      <c r="L130" s="280">
        <v>0.96622142811015221</v>
      </c>
      <c r="M130" s="211">
        <f t="shared" si="26"/>
        <v>0.44536945910947989</v>
      </c>
      <c r="N130" s="665">
        <v>29480412.609999999</v>
      </c>
      <c r="O130" s="280">
        <v>0.30175946566341233</v>
      </c>
      <c r="P130" s="211">
        <f t="shared" si="27"/>
        <v>0.16380324976733762</v>
      </c>
    </row>
    <row r="131" spans="1:19" ht="15.75" thickBot="1" x14ac:dyDescent="0.3">
      <c r="A131" s="7" t="s">
        <v>19</v>
      </c>
      <c r="L131" s="687"/>
      <c r="N131" s="97"/>
      <c r="O131" s="687"/>
    </row>
    <row r="132" spans="1:19" ht="12.75" customHeight="1" x14ac:dyDescent="0.2">
      <c r="A132" s="8" t="s">
        <v>759</v>
      </c>
      <c r="C132" s="164" t="s">
        <v>767</v>
      </c>
      <c r="D132" s="742" t="s">
        <v>781</v>
      </c>
      <c r="E132" s="740"/>
      <c r="F132" s="740"/>
      <c r="G132" s="740"/>
      <c r="H132" s="740"/>
      <c r="I132" s="740"/>
      <c r="J132" s="741"/>
      <c r="K132" s="751" t="s">
        <v>782</v>
      </c>
      <c r="L132" s="749"/>
      <c r="M132" s="749"/>
      <c r="N132" s="749"/>
      <c r="O132" s="749"/>
      <c r="P132" s="752"/>
    </row>
    <row r="133" spans="1:19" ht="12.75" customHeight="1" x14ac:dyDescent="0.2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545</v>
      </c>
      <c r="L133" s="88" t="s">
        <v>546</v>
      </c>
      <c r="M133" s="88" t="s">
        <v>547</v>
      </c>
      <c r="N133" s="87" t="s">
        <v>39</v>
      </c>
      <c r="O133" s="88" t="s">
        <v>40</v>
      </c>
      <c r="P133" s="611" t="s">
        <v>362</v>
      </c>
    </row>
    <row r="134" spans="1:19" ht="14.1" customHeight="1" x14ac:dyDescent="0.2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13" t="s">
        <v>766</v>
      </c>
      <c r="N134" s="564" t="s">
        <v>17</v>
      </c>
      <c r="O134" s="89" t="s">
        <v>18</v>
      </c>
      <c r="P134" s="612" t="s">
        <v>766</v>
      </c>
    </row>
    <row r="135" spans="1:19" ht="14.1" customHeight="1" x14ac:dyDescent="0.2">
      <c r="A135" s="39" t="s">
        <v>626</v>
      </c>
      <c r="B135" s="40" t="s">
        <v>627</v>
      </c>
      <c r="C135" s="199">
        <v>7411204.5599999996</v>
      </c>
      <c r="D135" s="204">
        <v>7462004.5599999996</v>
      </c>
      <c r="E135" s="30">
        <v>4783827.3499999996</v>
      </c>
      <c r="F135" s="48">
        <f t="shared" si="23"/>
        <v>0.64109145358120767</v>
      </c>
      <c r="G135" s="30">
        <v>3709579.41</v>
      </c>
      <c r="H135" s="48">
        <f t="shared" si="24"/>
        <v>0.49712907304897175</v>
      </c>
      <c r="I135" s="30">
        <v>784021.63</v>
      </c>
      <c r="J135" s="153">
        <f t="shared" si="25"/>
        <v>0.10506850052099138</v>
      </c>
      <c r="K135" s="614">
        <v>2818669.89</v>
      </c>
      <c r="L135" s="48">
        <v>0.43195926680672625</v>
      </c>
      <c r="M135" s="210">
        <f t="shared" si="26"/>
        <v>0.31607444460266332</v>
      </c>
      <c r="N135" s="614">
        <v>671410.81</v>
      </c>
      <c r="O135" s="48">
        <v>0.10289325551837154</v>
      </c>
      <c r="P135" s="210">
        <f t="shared" si="27"/>
        <v>0.16772267935334551</v>
      </c>
    </row>
    <row r="136" spans="1:19" ht="14.1" customHeight="1" x14ac:dyDescent="0.2">
      <c r="A136" s="39" t="s">
        <v>628</v>
      </c>
      <c r="B136" s="40" t="s">
        <v>629</v>
      </c>
      <c r="C136" s="199">
        <v>11963437.41</v>
      </c>
      <c r="D136" s="205">
        <v>11963437.41</v>
      </c>
      <c r="E136" s="32">
        <v>6288156.1799999997</v>
      </c>
      <c r="F136" s="280">
        <f t="shared" si="23"/>
        <v>0.52561450062369652</v>
      </c>
      <c r="G136" s="32">
        <v>5385536.0099999998</v>
      </c>
      <c r="H136" s="48">
        <f t="shared" si="24"/>
        <v>0.45016627123391284</v>
      </c>
      <c r="I136" s="32">
        <v>409870.18</v>
      </c>
      <c r="J136" s="178">
        <f t="shared" si="25"/>
        <v>3.4260235244545821E-2</v>
      </c>
      <c r="K136" s="618">
        <v>3916003.59</v>
      </c>
      <c r="L136" s="280">
        <v>0.60713134553379711</v>
      </c>
      <c r="M136" s="211">
        <f t="shared" si="26"/>
        <v>0.37526329744759002</v>
      </c>
      <c r="N136" s="618">
        <v>904989.52</v>
      </c>
      <c r="O136" s="280">
        <v>0.14030822299925041</v>
      </c>
      <c r="P136" s="211">
        <f t="shared" si="27"/>
        <v>-0.54709952884316282</v>
      </c>
    </row>
    <row r="137" spans="1:19" ht="14.1" customHeight="1" x14ac:dyDescent="0.2">
      <c r="A137" s="39" t="s">
        <v>630</v>
      </c>
      <c r="B137" s="40" t="s">
        <v>631</v>
      </c>
      <c r="C137" s="199">
        <v>619200</v>
      </c>
      <c r="D137" s="205">
        <v>605376</v>
      </c>
      <c r="E137" s="32">
        <v>146538</v>
      </c>
      <c r="F137" s="280">
        <f t="shared" si="23"/>
        <v>0.24206113225499523</v>
      </c>
      <c r="G137" s="32">
        <v>21538</v>
      </c>
      <c r="H137" s="48">
        <f t="shared" si="24"/>
        <v>3.5577888783169469E-2</v>
      </c>
      <c r="I137" s="32">
        <v>0</v>
      </c>
      <c r="J137" s="178">
        <f t="shared" si="25"/>
        <v>0</v>
      </c>
      <c r="K137" s="618">
        <v>0</v>
      </c>
      <c r="L137" s="280">
        <v>0</v>
      </c>
      <c r="M137" s="211" t="s">
        <v>129</v>
      </c>
      <c r="N137" s="618">
        <v>0</v>
      </c>
      <c r="O137" s="280">
        <v>0</v>
      </c>
      <c r="P137" s="211" t="s">
        <v>129</v>
      </c>
    </row>
    <row r="138" spans="1:19" ht="14.1" customHeight="1" x14ac:dyDescent="0.2">
      <c r="A138" s="39" t="s">
        <v>632</v>
      </c>
      <c r="B138" s="40" t="s">
        <v>633</v>
      </c>
      <c r="C138" s="199">
        <v>3840200</v>
      </c>
      <c r="D138" s="205">
        <v>3855014.28</v>
      </c>
      <c r="E138" s="32">
        <v>3393818.88</v>
      </c>
      <c r="F138" s="280">
        <f t="shared" si="23"/>
        <v>0.88036480113894677</v>
      </c>
      <c r="G138" s="32">
        <v>3393818.88</v>
      </c>
      <c r="H138" s="48">
        <f t="shared" si="24"/>
        <v>0.88036480113894677</v>
      </c>
      <c r="I138" s="32">
        <v>615839.68000000005</v>
      </c>
      <c r="J138" s="178">
        <f t="shared" si="25"/>
        <v>0.1597502979937081</v>
      </c>
      <c r="K138" s="618">
        <v>2889304.31</v>
      </c>
      <c r="L138" s="280">
        <v>0.75369878961784276</v>
      </c>
      <c r="M138" s="211">
        <f t="shared" si="26"/>
        <v>0.17461454934111797</v>
      </c>
      <c r="N138" s="618">
        <v>604381.61</v>
      </c>
      <c r="O138" s="280">
        <v>0.15765791313421154</v>
      </c>
      <c r="P138" s="211">
        <f t="shared" si="27"/>
        <v>1.8958336604583348E-2</v>
      </c>
    </row>
    <row r="139" spans="1:19" ht="14.1" customHeight="1" x14ac:dyDescent="0.2">
      <c r="A139" s="39" t="s">
        <v>634</v>
      </c>
      <c r="B139" s="40" t="s">
        <v>635</v>
      </c>
      <c r="C139" s="199">
        <v>7354400.5099999998</v>
      </c>
      <c r="D139" s="205">
        <v>7370802.0599999996</v>
      </c>
      <c r="E139" s="32">
        <v>6081812.7199999997</v>
      </c>
      <c r="F139" s="280">
        <f t="shared" si="23"/>
        <v>0.82512224185274075</v>
      </c>
      <c r="G139" s="32">
        <v>2694517.49</v>
      </c>
      <c r="H139" s="48">
        <f t="shared" si="24"/>
        <v>0.36556638857834156</v>
      </c>
      <c r="I139" s="32">
        <v>619758.93999999994</v>
      </c>
      <c r="J139" s="178">
        <f t="shared" si="25"/>
        <v>8.4082971561984937E-2</v>
      </c>
      <c r="K139" s="616">
        <v>2276862.9900000002</v>
      </c>
      <c r="L139" s="280">
        <v>0.44026740972705064</v>
      </c>
      <c r="M139" s="211">
        <f t="shared" si="26"/>
        <v>0.1834341819575187</v>
      </c>
      <c r="N139" s="616">
        <v>383125.86</v>
      </c>
      <c r="O139" s="280">
        <v>7.40834344106268E-2</v>
      </c>
      <c r="P139" s="211">
        <f t="shared" si="27"/>
        <v>0.61763797411117061</v>
      </c>
    </row>
    <row r="140" spans="1:19" ht="14.1" customHeight="1" x14ac:dyDescent="0.2">
      <c r="A140" s="39" t="s">
        <v>636</v>
      </c>
      <c r="B140" s="40" t="s">
        <v>637</v>
      </c>
      <c r="C140" s="199">
        <v>6846944.8200000003</v>
      </c>
      <c r="D140" s="205">
        <v>6782995.2599999998</v>
      </c>
      <c r="E140" s="32">
        <v>4958738.72</v>
      </c>
      <c r="F140" s="280">
        <f t="shared" si="23"/>
        <v>0.73105442801090792</v>
      </c>
      <c r="G140" s="32">
        <v>4112931.29</v>
      </c>
      <c r="H140" s="48">
        <f t="shared" si="24"/>
        <v>0.60635915732602186</v>
      </c>
      <c r="I140" s="32">
        <v>720558.37</v>
      </c>
      <c r="J140" s="178">
        <f t="shared" si="25"/>
        <v>0.10623011551389468</v>
      </c>
      <c r="K140" s="616">
        <v>3192374.47</v>
      </c>
      <c r="L140" s="390">
        <v>0.55276469888825119</v>
      </c>
      <c r="M140" s="211">
        <f t="shared" si="26"/>
        <v>0.28836116459733496</v>
      </c>
      <c r="N140" s="616">
        <v>778048.31</v>
      </c>
      <c r="O140" s="390">
        <v>0.13472029795980128</v>
      </c>
      <c r="P140" s="211">
        <f t="shared" si="27"/>
        <v>-7.3889936217456764E-2</v>
      </c>
    </row>
    <row r="141" spans="1:19" ht="14.1" customHeight="1" x14ac:dyDescent="0.2">
      <c r="A141" s="39" t="s">
        <v>638</v>
      </c>
      <c r="B141" s="40" t="s">
        <v>639</v>
      </c>
      <c r="C141" s="199">
        <v>6662283.29</v>
      </c>
      <c r="D141" s="205">
        <v>6611181.7400000002</v>
      </c>
      <c r="E141" s="32">
        <v>3380586.27</v>
      </c>
      <c r="F141" s="280">
        <f t="shared" si="23"/>
        <v>0.51134372082773816</v>
      </c>
      <c r="G141" s="32">
        <v>2888469.97</v>
      </c>
      <c r="H141" s="48">
        <f t="shared" si="24"/>
        <v>0.43690675640086096</v>
      </c>
      <c r="I141" s="32">
        <v>462743.81</v>
      </c>
      <c r="J141" s="178">
        <f t="shared" si="25"/>
        <v>6.9994114244392253E-2</v>
      </c>
      <c r="K141" s="616">
        <v>2717124.12</v>
      </c>
      <c r="L141" s="390">
        <v>0.69583461541684366</v>
      </c>
      <c r="M141" s="211">
        <f t="shared" si="26"/>
        <v>6.306147324620559E-2</v>
      </c>
      <c r="N141" s="616">
        <v>1105441.02</v>
      </c>
      <c r="O141" s="390">
        <v>0.28309495372544974</v>
      </c>
      <c r="P141" s="211">
        <f t="shared" si="27"/>
        <v>-0.58139439225803291</v>
      </c>
    </row>
    <row r="142" spans="1:19" ht="14.1" customHeight="1" x14ac:dyDescent="0.2">
      <c r="A142" s="39" t="s">
        <v>640</v>
      </c>
      <c r="B142" s="40" t="s">
        <v>641</v>
      </c>
      <c r="C142" s="199">
        <v>1046944.94</v>
      </c>
      <c r="D142" s="205">
        <v>1081444.94</v>
      </c>
      <c r="E142" s="32">
        <v>428766.34</v>
      </c>
      <c r="F142" s="280">
        <f t="shared" si="23"/>
        <v>0.39647542296513039</v>
      </c>
      <c r="G142" s="32">
        <v>142701.66</v>
      </c>
      <c r="H142" s="48">
        <f t="shared" si="24"/>
        <v>0.13195462359831284</v>
      </c>
      <c r="I142" s="32">
        <v>32270.799999999999</v>
      </c>
      <c r="J142" s="178">
        <f t="shared" si="25"/>
        <v>2.9840446615802742E-2</v>
      </c>
      <c r="K142" s="616">
        <v>342292.03</v>
      </c>
      <c r="L142" s="390">
        <v>0.44593447523617918</v>
      </c>
      <c r="M142" s="211">
        <f t="shared" si="26"/>
        <v>-0.58309967076943048</v>
      </c>
      <c r="N142" s="616">
        <v>67053.39</v>
      </c>
      <c r="O142" s="390">
        <v>8.7356454903308331E-2</v>
      </c>
      <c r="P142" s="211">
        <f t="shared" si="27"/>
        <v>-0.51872977637670514</v>
      </c>
    </row>
    <row r="143" spans="1:19" ht="14.1" customHeight="1" x14ac:dyDescent="0.2">
      <c r="A143" s="39" t="s">
        <v>642</v>
      </c>
      <c r="B143" s="40" t="s">
        <v>643</v>
      </c>
      <c r="C143" s="199">
        <v>3071168.61</v>
      </c>
      <c r="D143" s="205">
        <v>3035368.61</v>
      </c>
      <c r="E143" s="32">
        <v>1810606.17</v>
      </c>
      <c r="F143" s="280">
        <f t="shared" si="23"/>
        <v>0.59650289722143501</v>
      </c>
      <c r="G143" s="32">
        <v>717768.23</v>
      </c>
      <c r="H143" s="48">
        <f t="shared" si="24"/>
        <v>0.23646822584753555</v>
      </c>
      <c r="I143" s="32">
        <v>113811.29</v>
      </c>
      <c r="J143" s="178">
        <f t="shared" si="25"/>
        <v>3.7495047430170271E-2</v>
      </c>
      <c r="K143" s="616">
        <v>511784.17</v>
      </c>
      <c r="L143" s="390">
        <v>0.27981423499828095</v>
      </c>
      <c r="M143" s="211">
        <f t="shared" si="26"/>
        <v>0.40248228076300219</v>
      </c>
      <c r="N143" s="616">
        <v>52394.9</v>
      </c>
      <c r="O143" s="390">
        <v>2.864652664288431E-2</v>
      </c>
      <c r="P143" s="211">
        <f t="shared" si="27"/>
        <v>1.172182597924607</v>
      </c>
    </row>
    <row r="144" spans="1:19" ht="14.1" customHeight="1" x14ac:dyDescent="0.2">
      <c r="A144" s="39" t="s">
        <v>644</v>
      </c>
      <c r="B144" s="40" t="s">
        <v>645</v>
      </c>
      <c r="C144" s="199">
        <v>3957522.84</v>
      </c>
      <c r="D144" s="205">
        <v>4025107.1</v>
      </c>
      <c r="E144" s="32">
        <v>2304752.2000000002</v>
      </c>
      <c r="F144" s="280">
        <f t="shared" si="23"/>
        <v>0.57259400625638013</v>
      </c>
      <c r="G144" s="32">
        <v>1492289.13</v>
      </c>
      <c r="H144" s="48">
        <f t="shared" si="24"/>
        <v>0.37074519830789093</v>
      </c>
      <c r="I144" s="32">
        <v>300213.78000000003</v>
      </c>
      <c r="J144" s="178">
        <f t="shared" si="25"/>
        <v>7.4585289916881972E-2</v>
      </c>
      <c r="K144" s="616">
        <v>529276.11</v>
      </c>
      <c r="L144" s="390">
        <v>0.19144057086226909</v>
      </c>
      <c r="M144" s="211">
        <f t="shared" si="26"/>
        <v>1.8194908135944394</v>
      </c>
      <c r="N144" s="616">
        <v>196364.21</v>
      </c>
      <c r="O144" s="390">
        <v>7.1025454860070086E-2</v>
      </c>
      <c r="P144" s="211">
        <f t="shared" si="27"/>
        <v>0.5288620059633069</v>
      </c>
      <c r="R144" s="275"/>
      <c r="S144" s="275"/>
    </row>
    <row r="145" spans="1:19" ht="14.1" customHeight="1" x14ac:dyDescent="0.2">
      <c r="A145" s="39" t="s">
        <v>648</v>
      </c>
      <c r="B145" s="40" t="s">
        <v>649</v>
      </c>
      <c r="C145" s="199">
        <v>543815.78</v>
      </c>
      <c r="D145" s="205">
        <v>638250.91</v>
      </c>
      <c r="E145" s="32">
        <v>226844.78</v>
      </c>
      <c r="F145" s="280">
        <f t="shared" ref="F145:F174" si="28">+E145/D145</f>
        <v>0.35541630485101855</v>
      </c>
      <c r="G145" s="32">
        <v>226844.78</v>
      </c>
      <c r="H145" s="48">
        <f>+G145/D145</f>
        <v>0.35541630485101855</v>
      </c>
      <c r="I145" s="32">
        <v>43213.61</v>
      </c>
      <c r="J145" s="178">
        <f>+I145/D145</f>
        <v>6.7706303779496366E-2</v>
      </c>
      <c r="K145" s="616">
        <v>394689.26</v>
      </c>
      <c r="L145" s="390">
        <v>0.67826130381489147</v>
      </c>
      <c r="M145" s="211">
        <f t="shared" si="26"/>
        <v>-0.42525727707918881</v>
      </c>
      <c r="N145" s="616">
        <v>157500</v>
      </c>
      <c r="O145" s="390">
        <v>0.27065888580511516</v>
      </c>
      <c r="P145" s="211">
        <f t="shared" si="27"/>
        <v>-0.72562787301587295</v>
      </c>
      <c r="R145" s="275"/>
      <c r="S145" s="275"/>
    </row>
    <row r="146" spans="1:19" ht="14.1" customHeight="1" x14ac:dyDescent="0.2">
      <c r="A146" s="39" t="s">
        <v>650</v>
      </c>
      <c r="B146" s="40" t="s">
        <v>651</v>
      </c>
      <c r="C146" s="199">
        <v>10158466.529999999</v>
      </c>
      <c r="D146" s="205">
        <v>10170466.529999999</v>
      </c>
      <c r="E146" s="32">
        <v>7850013.4699999997</v>
      </c>
      <c r="F146" s="280">
        <f t="shared" si="28"/>
        <v>0.77184399032676432</v>
      </c>
      <c r="G146" s="32">
        <v>2500624.71</v>
      </c>
      <c r="H146" s="48">
        <f>+G146/D146</f>
        <v>0.24587119013900341</v>
      </c>
      <c r="I146" s="32">
        <v>76971.44</v>
      </c>
      <c r="J146" s="178">
        <f>+I146/D146</f>
        <v>7.5681326685414115E-3</v>
      </c>
      <c r="K146" s="616">
        <v>2302213.0499999998</v>
      </c>
      <c r="L146" s="390">
        <v>0.31322626530612241</v>
      </c>
      <c r="M146" s="211">
        <f t="shared" si="26"/>
        <v>8.6183014208871755E-2</v>
      </c>
      <c r="N146" s="616">
        <v>1144.78</v>
      </c>
      <c r="O146" s="390">
        <v>1.5575238095238094E-4</v>
      </c>
      <c r="P146" s="211">
        <f t="shared" si="27"/>
        <v>66.236883942766298</v>
      </c>
    </row>
    <row r="147" spans="1:19" ht="14.1" customHeight="1" x14ac:dyDescent="0.2">
      <c r="A147" s="253">
        <v>2341</v>
      </c>
      <c r="B147" s="40" t="s">
        <v>431</v>
      </c>
      <c r="C147" s="199">
        <v>10668077.699999999</v>
      </c>
      <c r="D147" s="205">
        <v>10666625.029999999</v>
      </c>
      <c r="E147" s="32">
        <v>10566894.73</v>
      </c>
      <c r="F147" s="280">
        <f t="shared" si="28"/>
        <v>0.99065024787882705</v>
      </c>
      <c r="G147" s="32">
        <v>10508445.6</v>
      </c>
      <c r="H147" s="48">
        <f>+G147/D147</f>
        <v>0.98517062055194415</v>
      </c>
      <c r="I147" s="32">
        <v>1802375.87</v>
      </c>
      <c r="J147" s="178">
        <f>+I147/D147</f>
        <v>0.16897339738959588</v>
      </c>
      <c r="K147" s="616">
        <v>8729160.3399999999</v>
      </c>
      <c r="L147" s="390">
        <v>0.97811375592876448</v>
      </c>
      <c r="M147" s="211">
        <f t="shared" si="26"/>
        <v>0.20383234935514993</v>
      </c>
      <c r="N147" s="616">
        <v>2757115.74</v>
      </c>
      <c r="O147" s="390">
        <v>0.30893840036643377</v>
      </c>
      <c r="P147" s="211">
        <f t="shared" si="27"/>
        <v>-0.34628211509176621</v>
      </c>
    </row>
    <row r="148" spans="1:19" ht="14.1" customHeight="1" x14ac:dyDescent="0.2">
      <c r="A148" s="532">
        <v>2</v>
      </c>
      <c r="B148" s="518" t="s">
        <v>125</v>
      </c>
      <c r="C148" s="201">
        <f>SUM(C122:C130,C135:C147)</f>
        <v>322762317.93999994</v>
      </c>
      <c r="D148" s="207">
        <f>SUM(D122:D130,D135:D147)</f>
        <v>328846846.46000004</v>
      </c>
      <c r="E148" s="203">
        <f>SUM(E122:E130,E135:E147)</f>
        <v>258572391.22999999</v>
      </c>
      <c r="F148" s="263">
        <f t="shared" si="28"/>
        <v>0.7863003523175095</v>
      </c>
      <c r="G148" s="203">
        <f>SUM(G122:G130,G135:G147)</f>
        <v>235348956.92999998</v>
      </c>
      <c r="H148" s="232">
        <f>G148/D148</f>
        <v>0.71567953125750028</v>
      </c>
      <c r="I148" s="203">
        <f>SUM(I122:I130,I135:I147)</f>
        <v>52831514.929999992</v>
      </c>
      <c r="J148" s="277">
        <f>I148/D148</f>
        <v>0.1606569000090024</v>
      </c>
      <c r="K148" s="568">
        <f>SUM(K122:K147)</f>
        <v>180083273.28</v>
      </c>
      <c r="L148" s="90">
        <v>0.73731373003140144</v>
      </c>
      <c r="M148" s="213">
        <f t="shared" ref="M148:M172" si="29">+G148/K148-1</f>
        <v>0.30688959970241592</v>
      </c>
      <c r="N148" s="568">
        <f>SUBTOTAL(9,N122:N147)</f>
        <v>52114569.600000009</v>
      </c>
      <c r="O148" s="90">
        <v>0.21337233048298071</v>
      </c>
      <c r="P148" s="213">
        <f>+I148/N148-1</f>
        <v>1.3757099703649578E-2</v>
      </c>
    </row>
    <row r="149" spans="1:19" ht="14.1" customHeight="1" x14ac:dyDescent="0.2">
      <c r="A149" s="37">
        <v>3111</v>
      </c>
      <c r="B149" s="38" t="s">
        <v>653</v>
      </c>
      <c r="C149" s="198">
        <v>19998074.850000001</v>
      </c>
      <c r="D149" s="516">
        <v>19983074.850000001</v>
      </c>
      <c r="E149" s="180">
        <v>18090513.149999999</v>
      </c>
      <c r="F149" s="48">
        <f t="shared" si="28"/>
        <v>0.90529176744789086</v>
      </c>
      <c r="G149" s="180">
        <v>17780123.399999999</v>
      </c>
      <c r="H149" s="48">
        <f t="shared" ref="H149:H198" si="30">+G149/D149</f>
        <v>0.8897591353414761</v>
      </c>
      <c r="I149" s="180">
        <v>5785201.7699999996</v>
      </c>
      <c r="J149" s="153">
        <f t="shared" ref="J149:J198" si="31">+I149/D149</f>
        <v>0.28950508434891836</v>
      </c>
      <c r="K149" s="615">
        <v>16110733.17</v>
      </c>
      <c r="L149" s="48">
        <v>0.97035956626289366</v>
      </c>
      <c r="M149" s="210">
        <f t="shared" si="29"/>
        <v>0.10361975537578827</v>
      </c>
      <c r="N149" s="615">
        <v>5183836.0999999996</v>
      </c>
      <c r="O149" s="48">
        <v>0.31222570050012999</v>
      </c>
      <c r="P149" s="210">
        <f>+I149/N149-1</f>
        <v>0.11600784793330954</v>
      </c>
    </row>
    <row r="150" spans="1:19" ht="14.1" customHeight="1" x14ac:dyDescent="0.2">
      <c r="A150" s="37" t="s">
        <v>652</v>
      </c>
      <c r="B150" s="38" t="s">
        <v>654</v>
      </c>
      <c r="C150" s="200">
        <v>2248848</v>
      </c>
      <c r="D150" s="206">
        <v>2248848</v>
      </c>
      <c r="E150" s="34">
        <v>2248848</v>
      </c>
      <c r="F150" s="48">
        <f t="shared" si="28"/>
        <v>1</v>
      </c>
      <c r="G150" s="34">
        <v>2248848</v>
      </c>
      <c r="H150" s="48">
        <f t="shared" si="30"/>
        <v>1</v>
      </c>
      <c r="I150" s="34">
        <v>750000</v>
      </c>
      <c r="J150" s="153">
        <f t="shared" si="31"/>
        <v>0.3335040874260955</v>
      </c>
      <c r="K150" s="615">
        <v>2248848</v>
      </c>
      <c r="L150" s="48">
        <v>1</v>
      </c>
      <c r="M150" s="210">
        <f t="shared" si="29"/>
        <v>0</v>
      </c>
      <c r="N150" s="615">
        <v>750000</v>
      </c>
      <c r="O150" s="48">
        <v>0.3335040874260955</v>
      </c>
      <c r="P150" s="210">
        <f>+I150/N150-1</f>
        <v>0</v>
      </c>
    </row>
    <row r="151" spans="1:19" ht="14.1" customHeight="1" x14ac:dyDescent="0.2">
      <c r="A151" s="37">
        <v>3131</v>
      </c>
      <c r="B151" s="38" t="s">
        <v>763</v>
      </c>
      <c r="C151" s="200">
        <v>9000</v>
      </c>
      <c r="D151" s="206">
        <v>9000</v>
      </c>
      <c r="E151" s="34">
        <v>6000</v>
      </c>
      <c r="F151" s="48">
        <f t="shared" si="28"/>
        <v>0.66666666666666663</v>
      </c>
      <c r="G151" s="34">
        <v>0</v>
      </c>
      <c r="H151" s="48">
        <f t="shared" si="30"/>
        <v>0</v>
      </c>
      <c r="I151" s="34">
        <v>0</v>
      </c>
      <c r="J151" s="153">
        <f t="shared" si="31"/>
        <v>0</v>
      </c>
      <c r="K151" s="615">
        <v>0</v>
      </c>
      <c r="L151" s="48">
        <v>0</v>
      </c>
      <c r="M151" s="210" t="s">
        <v>129</v>
      </c>
      <c r="N151" s="615">
        <v>0</v>
      </c>
      <c r="O151" s="48">
        <v>0</v>
      </c>
      <c r="P151" s="210" t="s">
        <v>129</v>
      </c>
    </row>
    <row r="152" spans="1:19" ht="14.1" customHeight="1" x14ac:dyDescent="0.2">
      <c r="A152" s="39" t="s">
        <v>655</v>
      </c>
      <c r="B152" s="40" t="s">
        <v>656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0</v>
      </c>
      <c r="J152" s="178">
        <f t="shared" si="31"/>
        <v>0</v>
      </c>
      <c r="K152" s="616">
        <v>21495802.09</v>
      </c>
      <c r="L152" s="280">
        <v>0.99942812248386537</v>
      </c>
      <c r="M152" s="212">
        <f t="shared" si="29"/>
        <v>-0.50339435368331498</v>
      </c>
      <c r="N152" s="616">
        <v>3154964.81</v>
      </c>
      <c r="O152" s="280">
        <v>0.14668727146626631</v>
      </c>
      <c r="P152" s="210">
        <f t="shared" ref="P152:P171" si="32">+I152/N152-1</f>
        <v>-1</v>
      </c>
    </row>
    <row r="153" spans="1:19" ht="14.1" customHeight="1" x14ac:dyDescent="0.2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23120700</v>
      </c>
      <c r="J153" s="178">
        <f t="shared" si="31"/>
        <v>0.56947761917525463</v>
      </c>
      <c r="K153" s="579">
        <v>37980210.549999997</v>
      </c>
      <c r="L153" s="610">
        <v>1</v>
      </c>
      <c r="M153" s="211">
        <f t="shared" si="29"/>
        <v>6.8973526530384133E-2</v>
      </c>
      <c r="N153" s="579">
        <v>21040000</v>
      </c>
      <c r="O153" s="610">
        <v>0.55397270566210699</v>
      </c>
      <c r="P153" s="210">
        <f t="shared" si="32"/>
        <v>9.8892585551330736E-2</v>
      </c>
    </row>
    <row r="154" spans="1:19" ht="14.1" customHeight="1" x14ac:dyDescent="0.2">
      <c r="A154" s="253" t="s">
        <v>657</v>
      </c>
      <c r="B154" s="40" t="s">
        <v>658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9">
        <v>1326943.5</v>
      </c>
      <c r="L154" s="610">
        <v>1</v>
      </c>
      <c r="M154" s="211">
        <f t="shared" si="29"/>
        <v>0.18840289733511639</v>
      </c>
      <c r="N154" s="579">
        <v>0</v>
      </c>
      <c r="O154" s="610">
        <v>0</v>
      </c>
      <c r="P154" s="210" t="s">
        <v>129</v>
      </c>
    </row>
    <row r="155" spans="1:19" ht="14.1" customHeight="1" x14ac:dyDescent="0.2">
      <c r="A155" s="39" t="s">
        <v>659</v>
      </c>
      <c r="B155" s="40" t="s">
        <v>660</v>
      </c>
      <c r="C155" s="200">
        <v>8163831</v>
      </c>
      <c r="D155" s="206">
        <v>8163831</v>
      </c>
      <c r="E155" s="34">
        <v>7463831</v>
      </c>
      <c r="F155" s="280">
        <f t="shared" si="28"/>
        <v>0.91425594184886971</v>
      </c>
      <c r="G155" s="34">
        <v>7463831</v>
      </c>
      <c r="H155" s="280">
        <f t="shared" si="30"/>
        <v>0.91425594184886971</v>
      </c>
      <c r="I155" s="34">
        <v>0</v>
      </c>
      <c r="J155" s="178">
        <f t="shared" si="31"/>
        <v>0</v>
      </c>
      <c r="K155" s="579">
        <v>7493661</v>
      </c>
      <c r="L155" s="280">
        <v>1</v>
      </c>
      <c r="M155" s="211">
        <f t="shared" si="29"/>
        <v>-3.9806978191300191E-3</v>
      </c>
      <c r="N155" s="579">
        <v>29830</v>
      </c>
      <c r="O155" s="280">
        <v>3.9806978191300624E-3</v>
      </c>
      <c r="P155" s="210">
        <f t="shared" si="32"/>
        <v>-1</v>
      </c>
    </row>
    <row r="156" spans="1:19" ht="14.1" customHeight="1" x14ac:dyDescent="0.2">
      <c r="A156" s="39" t="s">
        <v>661</v>
      </c>
      <c r="B156" s="40" t="s">
        <v>114</v>
      </c>
      <c r="C156" s="200">
        <v>9096798.4100000001</v>
      </c>
      <c r="D156" s="206">
        <v>9081096.2200000007</v>
      </c>
      <c r="E156" s="34">
        <v>8429105.4399999995</v>
      </c>
      <c r="F156" s="280">
        <f t="shared" si="28"/>
        <v>0.92820351594072181</v>
      </c>
      <c r="G156" s="34">
        <v>8233367.6399999997</v>
      </c>
      <c r="H156" s="280">
        <f t="shared" si="30"/>
        <v>0.90664909175469555</v>
      </c>
      <c r="I156" s="34">
        <v>70246.2</v>
      </c>
      <c r="J156" s="178">
        <f t="shared" si="31"/>
        <v>7.7354317472478002E-3</v>
      </c>
      <c r="K156" s="579">
        <v>6272474.4800000004</v>
      </c>
      <c r="L156" s="280">
        <v>0.94351166865972447</v>
      </c>
      <c r="M156" s="211">
        <f t="shared" si="29"/>
        <v>0.31261875456845201</v>
      </c>
      <c r="N156" s="579">
        <v>52137.15</v>
      </c>
      <c r="O156" s="280">
        <v>7.8425204522573604E-3</v>
      </c>
      <c r="P156" s="210">
        <f t="shared" si="32"/>
        <v>0.34733486582983519</v>
      </c>
    </row>
    <row r="157" spans="1:19" ht="14.1" customHeight="1" x14ac:dyDescent="0.2">
      <c r="A157" s="39" t="s">
        <v>662</v>
      </c>
      <c r="B157" s="40" t="s">
        <v>663</v>
      </c>
      <c r="C157" s="200">
        <v>8827393.0999999996</v>
      </c>
      <c r="D157" s="206">
        <v>8827393.0999999996</v>
      </c>
      <c r="E157" s="34">
        <v>8744700.8900000006</v>
      </c>
      <c r="F157" s="280">
        <f t="shared" si="28"/>
        <v>0.99063231816423825</v>
      </c>
      <c r="G157" s="34">
        <v>8744700.8900000006</v>
      </c>
      <c r="H157" s="280">
        <f t="shared" si="30"/>
        <v>0.99063231816423825</v>
      </c>
      <c r="I157" s="34">
        <v>0</v>
      </c>
      <c r="J157" s="178">
        <f t="shared" si="31"/>
        <v>0</v>
      </c>
      <c r="K157" s="579">
        <v>7468371.0999999996</v>
      </c>
      <c r="L157" s="280">
        <v>0.98289106990312702</v>
      </c>
      <c r="M157" s="211">
        <f t="shared" si="29"/>
        <v>0.17089801416000894</v>
      </c>
      <c r="N157" s="579">
        <v>0</v>
      </c>
      <c r="O157" s="280">
        <v>0</v>
      </c>
      <c r="P157" s="210" t="s">
        <v>129</v>
      </c>
    </row>
    <row r="158" spans="1:19" ht="14.1" customHeight="1" x14ac:dyDescent="0.2">
      <c r="A158" s="39">
        <v>3281</v>
      </c>
      <c r="B158" s="40" t="s">
        <v>666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9">
        <v>4793232.18</v>
      </c>
      <c r="L158" s="280">
        <v>1</v>
      </c>
      <c r="M158" s="211">
        <f t="shared" si="29"/>
        <v>9.6499168542259151E-2</v>
      </c>
      <c r="N158" s="579">
        <v>0</v>
      </c>
      <c r="O158" s="280">
        <v>0</v>
      </c>
      <c r="P158" s="210" t="s">
        <v>129</v>
      </c>
    </row>
    <row r="159" spans="1:19" ht="14.1" customHeight="1" x14ac:dyDescent="0.2">
      <c r="A159" s="39" t="s">
        <v>664</v>
      </c>
      <c r="B159" s="40" t="s">
        <v>667</v>
      </c>
      <c r="C159" s="200">
        <v>2919606</v>
      </c>
      <c r="D159" s="206">
        <v>2919606</v>
      </c>
      <c r="E159" s="34">
        <v>2919606</v>
      </c>
      <c r="F159" s="280">
        <f t="shared" si="28"/>
        <v>1</v>
      </c>
      <c r="G159" s="34">
        <v>2919606</v>
      </c>
      <c r="H159" s="280">
        <f t="shared" si="30"/>
        <v>1</v>
      </c>
      <c r="I159" s="34">
        <v>0</v>
      </c>
      <c r="J159" s="178">
        <f t="shared" si="31"/>
        <v>0</v>
      </c>
      <c r="K159" s="579">
        <v>2919606</v>
      </c>
      <c r="L159" s="280">
        <v>1</v>
      </c>
      <c r="M159" s="211">
        <f t="shared" si="29"/>
        <v>0</v>
      </c>
      <c r="N159" s="579">
        <v>0</v>
      </c>
      <c r="O159" s="280">
        <v>0</v>
      </c>
      <c r="P159" s="210" t="s">
        <v>129</v>
      </c>
    </row>
    <row r="160" spans="1:19" ht="14.1" customHeight="1" x14ac:dyDescent="0.2">
      <c r="A160" s="39" t="s">
        <v>665</v>
      </c>
      <c r="B160" s="40" t="s">
        <v>668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9">
        <v>1326943.5</v>
      </c>
      <c r="L160" s="280">
        <v>1</v>
      </c>
      <c r="M160" s="211">
        <f t="shared" si="29"/>
        <v>0</v>
      </c>
      <c r="N160" s="579">
        <v>0</v>
      </c>
      <c r="O160" s="280">
        <v>0</v>
      </c>
      <c r="P160" s="210" t="s">
        <v>129</v>
      </c>
    </row>
    <row r="161" spans="1:19" ht="14.1" customHeight="1" x14ac:dyDescent="0.2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11200000</v>
      </c>
      <c r="J161" s="178">
        <f t="shared" si="31"/>
        <v>0.33556854422076976</v>
      </c>
      <c r="K161" s="579">
        <v>28919222.559999999</v>
      </c>
      <c r="L161" s="610">
        <v>1</v>
      </c>
      <c r="M161" s="211">
        <f t="shared" si="29"/>
        <v>0.15411786920457238</v>
      </c>
      <c r="N161" s="579">
        <v>13500000</v>
      </c>
      <c r="O161" s="610">
        <v>0.46681752844465124</v>
      </c>
      <c r="P161" s="210">
        <f t="shared" si="32"/>
        <v>-0.17037037037037039</v>
      </c>
    </row>
    <row r="162" spans="1:19" ht="14.1" customHeight="1" x14ac:dyDescent="0.2">
      <c r="A162" s="253" t="s">
        <v>669</v>
      </c>
      <c r="B162" s="40" t="s">
        <v>670</v>
      </c>
      <c r="C162" s="200">
        <v>28640778.239999998</v>
      </c>
      <c r="D162" s="206">
        <v>30899327.100000001</v>
      </c>
      <c r="E162" s="34">
        <v>12514472.689999999</v>
      </c>
      <c r="F162" s="280">
        <f t="shared" si="28"/>
        <v>0.40500793591715462</v>
      </c>
      <c r="G162" s="34">
        <v>12514472.689999999</v>
      </c>
      <c r="H162" s="280">
        <f t="shared" si="30"/>
        <v>0.40500793591715462</v>
      </c>
      <c r="I162" s="34">
        <v>1334616.6499999999</v>
      </c>
      <c r="J162" s="178">
        <f t="shared" si="31"/>
        <v>4.3192417934564013E-2</v>
      </c>
      <c r="K162" s="579">
        <v>14772961.42</v>
      </c>
      <c r="L162" s="280">
        <v>0.84348918325871025</v>
      </c>
      <c r="M162" s="211">
        <f t="shared" si="29"/>
        <v>-0.15287989088920262</v>
      </c>
      <c r="N162" s="579">
        <v>558053.57999999996</v>
      </c>
      <c r="O162" s="280">
        <v>3.1863087232566485E-2</v>
      </c>
      <c r="P162" s="210">
        <f t="shared" si="32"/>
        <v>1.3915564702586445</v>
      </c>
    </row>
    <row r="163" spans="1:19" s="6" customFormat="1" ht="14.1" customHeight="1" x14ac:dyDescent="0.2">
      <c r="A163" s="39" t="s">
        <v>671</v>
      </c>
      <c r="B163" s="40" t="s">
        <v>672</v>
      </c>
      <c r="C163" s="200">
        <v>12623127.310000001</v>
      </c>
      <c r="D163" s="206">
        <v>12615513.119999999</v>
      </c>
      <c r="E163" s="34">
        <v>12522188.5</v>
      </c>
      <c r="F163" s="280">
        <f t="shared" si="28"/>
        <v>0.99260239206187761</v>
      </c>
      <c r="G163" s="34">
        <v>12427044.130000001</v>
      </c>
      <c r="H163" s="280">
        <f t="shared" si="30"/>
        <v>0.98506053711749475</v>
      </c>
      <c r="I163" s="34">
        <v>7012764.8399999999</v>
      </c>
      <c r="J163" s="178">
        <f t="shared" si="31"/>
        <v>0.55588423342704274</v>
      </c>
      <c r="K163" s="579">
        <v>12352958.27</v>
      </c>
      <c r="L163" s="280">
        <v>0.99037580520137958</v>
      </c>
      <c r="M163" s="211">
        <f t="shared" si="29"/>
        <v>5.9974184629056904E-3</v>
      </c>
      <c r="N163" s="579">
        <v>6498.84</v>
      </c>
      <c r="O163" s="280">
        <v>5.2103259455720105E-4</v>
      </c>
      <c r="P163" s="210">
        <f t="shared" si="32"/>
        <v>1078.0794726443487</v>
      </c>
      <c r="R163" s="255"/>
    </row>
    <row r="164" spans="1:19" s="272" customFormat="1" ht="14.1" customHeight="1" x14ac:dyDescent="0.2">
      <c r="A164" s="39" t="s">
        <v>673</v>
      </c>
      <c r="B164" s="40" t="s">
        <v>674</v>
      </c>
      <c r="C164" s="200">
        <v>48067327.659999996</v>
      </c>
      <c r="D164" s="206">
        <v>48067327.659999996</v>
      </c>
      <c r="E164" s="34">
        <v>48067327.659999996</v>
      </c>
      <c r="F164" s="280">
        <f t="shared" si="28"/>
        <v>1</v>
      </c>
      <c r="G164" s="34">
        <v>48067327.659999996</v>
      </c>
      <c r="H164" s="280">
        <f t="shared" si="30"/>
        <v>1</v>
      </c>
      <c r="I164" s="34">
        <v>13000000</v>
      </c>
      <c r="J164" s="178">
        <f t="shared" si="31"/>
        <v>0.27045397846858377</v>
      </c>
      <c r="K164" s="579">
        <v>47277327.799999997</v>
      </c>
      <c r="L164" s="280">
        <v>1</v>
      </c>
      <c r="M164" s="211">
        <f t="shared" si="29"/>
        <v>1.6709909310906434E-2</v>
      </c>
      <c r="N164" s="579">
        <v>38000000</v>
      </c>
      <c r="O164" s="280">
        <v>0.80376793207842856</v>
      </c>
      <c r="P164" s="210">
        <f t="shared" si="32"/>
        <v>-0.65789473684210531</v>
      </c>
      <c r="R164" s="273"/>
      <c r="S164" s="274"/>
    </row>
    <row r="165" spans="1:19" x14ac:dyDescent="0.2">
      <c r="A165" s="39" t="s">
        <v>675</v>
      </c>
      <c r="B165" s="40" t="s">
        <v>676</v>
      </c>
      <c r="C165" s="200">
        <v>17219551.329999998</v>
      </c>
      <c r="D165" s="206">
        <v>17219551.329999998</v>
      </c>
      <c r="E165" s="34">
        <v>17219551.329999998</v>
      </c>
      <c r="F165" s="280">
        <f t="shared" si="28"/>
        <v>1</v>
      </c>
      <c r="G165" s="34">
        <v>17219551.329999998</v>
      </c>
      <c r="H165" s="280">
        <f t="shared" si="30"/>
        <v>1</v>
      </c>
      <c r="I165" s="34">
        <v>0</v>
      </c>
      <c r="J165" s="178">
        <f t="shared" si="31"/>
        <v>0</v>
      </c>
      <c r="K165" s="579">
        <v>17219551.329999998</v>
      </c>
      <c r="L165" s="280">
        <v>1</v>
      </c>
      <c r="M165" s="211">
        <f t="shared" si="29"/>
        <v>0</v>
      </c>
      <c r="N165" s="579">
        <v>0</v>
      </c>
      <c r="O165" s="280">
        <v>0</v>
      </c>
      <c r="P165" s="210" t="s">
        <v>129</v>
      </c>
    </row>
    <row r="166" spans="1:19" x14ac:dyDescent="0.2">
      <c r="A166" s="39" t="s">
        <v>677</v>
      </c>
      <c r="B166" s="40" t="s">
        <v>102</v>
      </c>
      <c r="C166" s="200">
        <v>17748245.370000001</v>
      </c>
      <c r="D166" s="206">
        <v>17686904.239999998</v>
      </c>
      <c r="E166" s="34">
        <v>16820470.18</v>
      </c>
      <c r="F166" s="280">
        <f t="shared" si="28"/>
        <v>0.95101267874563911</v>
      </c>
      <c r="G166" s="34">
        <v>16626386.83</v>
      </c>
      <c r="H166" s="280">
        <f t="shared" si="30"/>
        <v>0.94003939889030586</v>
      </c>
      <c r="I166" s="34">
        <v>876014.32</v>
      </c>
      <c r="J166" s="178">
        <f t="shared" si="31"/>
        <v>4.9528979640136278E-2</v>
      </c>
      <c r="K166" s="579">
        <v>15395977.710000001</v>
      </c>
      <c r="L166" s="610">
        <v>0.93056039935193957</v>
      </c>
      <c r="M166" s="211">
        <f t="shared" si="29"/>
        <v>7.9917569587076187E-2</v>
      </c>
      <c r="N166" s="579">
        <v>964474.06</v>
      </c>
      <c r="O166" s="610">
        <v>5.8294535322381061E-2</v>
      </c>
      <c r="P166" s="210">
        <f t="shared" si="32"/>
        <v>-9.1718112149123066E-2</v>
      </c>
    </row>
    <row r="167" spans="1:19" x14ac:dyDescent="0.2">
      <c r="A167" s="253">
        <v>3361</v>
      </c>
      <c r="B167" s="40" t="s">
        <v>678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9">
        <v>211322.62</v>
      </c>
      <c r="L167" s="280">
        <v>1</v>
      </c>
      <c r="M167" s="212">
        <f t="shared" si="29"/>
        <v>0</v>
      </c>
      <c r="N167" s="579">
        <v>0</v>
      </c>
      <c r="O167" s="280">
        <v>0</v>
      </c>
      <c r="P167" s="210" t="s">
        <v>129</v>
      </c>
    </row>
    <row r="168" spans="1:19" x14ac:dyDescent="0.2">
      <c r="A168" s="253">
        <v>3371</v>
      </c>
      <c r="B168" s="40" t="s">
        <v>679</v>
      </c>
      <c r="C168" s="200">
        <v>15245118.1</v>
      </c>
      <c r="D168" s="206">
        <v>15888148.949999999</v>
      </c>
      <c r="E168" s="34">
        <v>13238212.24</v>
      </c>
      <c r="F168" s="280">
        <f t="shared" si="28"/>
        <v>0.83321299930285464</v>
      </c>
      <c r="G168" s="34">
        <v>12471469.92</v>
      </c>
      <c r="H168" s="280">
        <f t="shared" si="30"/>
        <v>0.78495424226243804</v>
      </c>
      <c r="I168" s="34">
        <v>3508460.62</v>
      </c>
      <c r="J168" s="178">
        <f t="shared" si="31"/>
        <v>0.22082249046387498</v>
      </c>
      <c r="K168" s="579">
        <v>9503788.5</v>
      </c>
      <c r="L168" s="280">
        <v>0.74363367917455936</v>
      </c>
      <c r="M168" s="211">
        <f t="shared" si="29"/>
        <v>0.31226299070102415</v>
      </c>
      <c r="N168" s="579">
        <v>3700421.74</v>
      </c>
      <c r="O168" s="280">
        <v>0.28954329455182265</v>
      </c>
      <c r="P168" s="210">
        <f t="shared" si="32"/>
        <v>-5.1875470821334035E-2</v>
      </c>
    </row>
    <row r="169" spans="1:19" x14ac:dyDescent="0.2">
      <c r="A169" s="253">
        <v>3381</v>
      </c>
      <c r="B169" s="40" t="s">
        <v>680</v>
      </c>
      <c r="C169" s="200">
        <v>8127724.7699999996</v>
      </c>
      <c r="D169" s="206">
        <v>8057094.6399999997</v>
      </c>
      <c r="E169" s="34">
        <v>6997868.4000000004</v>
      </c>
      <c r="F169" s="280">
        <f t="shared" si="28"/>
        <v>0.86853496361561922</v>
      </c>
      <c r="G169" s="34">
        <v>6794585.4400000004</v>
      </c>
      <c r="H169" s="280">
        <f t="shared" si="30"/>
        <v>0.84330465801752086</v>
      </c>
      <c r="I169" s="34">
        <v>432063.54</v>
      </c>
      <c r="J169" s="178">
        <f t="shared" si="31"/>
        <v>5.3625228361472987E-2</v>
      </c>
      <c r="K169" s="579">
        <v>4777635.42</v>
      </c>
      <c r="L169" s="280">
        <v>0.71895787695913294</v>
      </c>
      <c r="M169" s="211">
        <f t="shared" si="29"/>
        <v>0.42216490851451383</v>
      </c>
      <c r="N169" s="579">
        <v>315396.28000000003</v>
      </c>
      <c r="O169" s="280">
        <v>4.7462106237819261E-2</v>
      </c>
      <c r="P169" s="210">
        <f t="shared" si="32"/>
        <v>0.36990689934580057</v>
      </c>
      <c r="R169"/>
    </row>
    <row r="170" spans="1:19" x14ac:dyDescent="0.2">
      <c r="A170" s="253" t="s">
        <v>681</v>
      </c>
      <c r="B170" s="40" t="s">
        <v>682</v>
      </c>
      <c r="C170" s="200">
        <v>14042820.529999999</v>
      </c>
      <c r="D170" s="206">
        <v>13053133.460000001</v>
      </c>
      <c r="E170" s="34">
        <v>12134166.24</v>
      </c>
      <c r="F170" s="390">
        <f t="shared" si="28"/>
        <v>0.92959796030462094</v>
      </c>
      <c r="G170" s="34">
        <v>12053735.460000001</v>
      </c>
      <c r="H170" s="390">
        <f t="shared" si="30"/>
        <v>0.92343616166474096</v>
      </c>
      <c r="I170" s="34">
        <v>1547573.07</v>
      </c>
      <c r="J170" s="392">
        <f t="shared" si="31"/>
        <v>0.11855950716679488</v>
      </c>
      <c r="K170" s="579">
        <v>11144308.779999999</v>
      </c>
      <c r="L170" s="390">
        <v>0.97824053667359068</v>
      </c>
      <c r="M170" s="211">
        <f t="shared" si="29"/>
        <v>8.1604583824175236E-2</v>
      </c>
      <c r="N170" s="579">
        <v>3929241.42</v>
      </c>
      <c r="O170" s="390">
        <v>0.34490638327601164</v>
      </c>
      <c r="P170" s="210">
        <f t="shared" si="32"/>
        <v>-0.60613947971667259</v>
      </c>
    </row>
    <row r="171" spans="1:19" x14ac:dyDescent="0.2">
      <c r="A171" s="253">
        <v>3421</v>
      </c>
      <c r="B171" s="40" t="s">
        <v>484</v>
      </c>
      <c r="C171" s="200">
        <v>5455050.5800000001</v>
      </c>
      <c r="D171" s="206">
        <v>6445868.8799999999</v>
      </c>
      <c r="E171" s="34">
        <v>6403992.3399999999</v>
      </c>
      <c r="F171" s="390">
        <f t="shared" si="28"/>
        <v>0.99350335218112595</v>
      </c>
      <c r="G171" s="34">
        <v>6349638.4000000004</v>
      </c>
      <c r="H171" s="390">
        <f t="shared" si="30"/>
        <v>0.98507098394468129</v>
      </c>
      <c r="I171" s="34">
        <v>1306276.68</v>
      </c>
      <c r="J171" s="392">
        <f t="shared" si="31"/>
        <v>0.20265331242667164</v>
      </c>
      <c r="K171" s="579">
        <v>4610331.54</v>
      </c>
      <c r="L171" s="390">
        <v>0.9861227576750623</v>
      </c>
      <c r="M171" s="211">
        <f t="shared" si="29"/>
        <v>0.37726285949491611</v>
      </c>
      <c r="N171" s="579">
        <v>4515.24</v>
      </c>
      <c r="O171" s="390">
        <v>9.6578323743822295E-4</v>
      </c>
      <c r="P171" s="210">
        <f t="shared" si="32"/>
        <v>288.30393068806973</v>
      </c>
      <c r="R171"/>
    </row>
    <row r="172" spans="1:19" x14ac:dyDescent="0.2">
      <c r="A172" s="670">
        <v>3431</v>
      </c>
      <c r="B172" s="669" t="s">
        <v>435</v>
      </c>
      <c r="C172" s="662">
        <v>6518951.2199999997</v>
      </c>
      <c r="D172" s="397">
        <v>6518951.2199999997</v>
      </c>
      <c r="E172" s="398">
        <v>6518951.2199999997</v>
      </c>
      <c r="F172" s="412">
        <f t="shared" si="28"/>
        <v>1</v>
      </c>
      <c r="G172" s="398">
        <v>6518951.2199999997</v>
      </c>
      <c r="H172" s="412">
        <f t="shared" si="30"/>
        <v>1</v>
      </c>
      <c r="I172" s="398">
        <v>0</v>
      </c>
      <c r="J172" s="427">
        <f t="shared" si="31"/>
        <v>0</v>
      </c>
      <c r="K172" s="635">
        <v>7608676.7199999997</v>
      </c>
      <c r="L172" s="412">
        <v>1</v>
      </c>
      <c r="M172" s="666">
        <f t="shared" si="29"/>
        <v>-0.14322142208192024</v>
      </c>
      <c r="N172" s="635">
        <v>0</v>
      </c>
      <c r="O172" s="412">
        <v>0</v>
      </c>
      <c r="P172" s="210" t="s">
        <v>129</v>
      </c>
    </row>
    <row r="173" spans="1:19" x14ac:dyDescent="0.2">
      <c r="A173" s="532">
        <v>3</v>
      </c>
      <c r="B173" s="2" t="s">
        <v>124</v>
      </c>
      <c r="C173" s="201">
        <f>SUBTOTAL(9,C149:C172)</f>
        <v>317974199.00999999</v>
      </c>
      <c r="D173" s="207">
        <f>SUBTOTAL(9,D149:D172)</f>
        <v>320706622.31</v>
      </c>
      <c r="E173" s="203">
        <f>SUBTOTAL(9,E149:E172)</f>
        <v>293361757.81999999</v>
      </c>
      <c r="F173" s="90">
        <f t="shared" si="28"/>
        <v>0.91473557891309132</v>
      </c>
      <c r="G173" s="203">
        <f>SUBTOTAL(9,G149:G172)</f>
        <v>291455592.54999995</v>
      </c>
      <c r="H173" s="90">
        <f t="shared" si="30"/>
        <v>0.90879193716266471</v>
      </c>
      <c r="I173" s="203">
        <f>SUBTOTAL(9,I149:I172)</f>
        <v>69943917.689999998</v>
      </c>
      <c r="J173" s="170">
        <f t="shared" si="31"/>
        <v>0.21809315063781601</v>
      </c>
      <c r="K173" s="568">
        <f>SUM(K149:K172)</f>
        <v>283230888.24000001</v>
      </c>
      <c r="L173" s="90">
        <v>0.96432923818274907</v>
      </c>
      <c r="M173" s="213">
        <f t="shared" ref="M173:M179" si="33">+G173/K173-1</f>
        <v>2.9038867763005571E-2</v>
      </c>
      <c r="N173" s="568">
        <f>SUBTOTAL(9,N149:N172)</f>
        <v>91189369.219999999</v>
      </c>
      <c r="O173" s="90">
        <v>0.31047664150166288</v>
      </c>
      <c r="P173" s="213">
        <f t="shared" ref="P173:P179" si="34">+I173/N173-1</f>
        <v>-0.23298167003155856</v>
      </c>
    </row>
    <row r="174" spans="1:19" x14ac:dyDescent="0.2">
      <c r="A174" s="37">
        <v>4301</v>
      </c>
      <c r="B174" s="534" t="s">
        <v>683</v>
      </c>
      <c r="C174" s="198">
        <v>4583248.97</v>
      </c>
      <c r="D174" s="516">
        <v>5226567.25</v>
      </c>
      <c r="E174" s="180">
        <v>1099254.1200000001</v>
      </c>
      <c r="F174" s="78">
        <f t="shared" si="28"/>
        <v>0.21032047755627753</v>
      </c>
      <c r="G174" s="180">
        <v>990254.12</v>
      </c>
      <c r="H174" s="78">
        <f t="shared" si="30"/>
        <v>0.18946548903584853</v>
      </c>
      <c r="I174" s="180">
        <v>959822.52</v>
      </c>
      <c r="J174" s="153">
        <f t="shared" si="31"/>
        <v>0.18364300583714865</v>
      </c>
      <c r="K174" s="615">
        <v>1076551.42</v>
      </c>
      <c r="L174" s="48">
        <v>0.30826670771424336</v>
      </c>
      <c r="M174" s="210">
        <f t="shared" si="33"/>
        <v>-8.0160871461207095E-2</v>
      </c>
      <c r="N174" s="615">
        <v>840016.99</v>
      </c>
      <c r="O174" s="48">
        <v>0.24053590671157027</v>
      </c>
      <c r="P174" s="210">
        <f t="shared" si="34"/>
        <v>0.14262274623754934</v>
      </c>
    </row>
    <row r="175" spans="1:19" x14ac:dyDescent="0.2">
      <c r="A175" s="37" t="s">
        <v>684</v>
      </c>
      <c r="B175" s="38" t="s">
        <v>686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1623081.61</v>
      </c>
      <c r="J175" s="153">
        <f t="shared" si="31"/>
        <v>6.2703529265965147E-2</v>
      </c>
      <c r="K175" s="615">
        <v>825238.14</v>
      </c>
      <c r="L175" s="48">
        <v>0.36062927196693834</v>
      </c>
      <c r="M175" s="210">
        <f t="shared" si="33"/>
        <v>30.366718023963362</v>
      </c>
      <c r="N175" s="615">
        <v>752000</v>
      </c>
      <c r="O175" s="48">
        <v>0.32862418661253057</v>
      </c>
      <c r="P175" s="210">
        <f t="shared" si="34"/>
        <v>1.1583532047872342</v>
      </c>
    </row>
    <row r="176" spans="1:19" x14ac:dyDescent="0.2">
      <c r="A176" s="37" t="s">
        <v>685</v>
      </c>
      <c r="B176" s="38" t="s">
        <v>687</v>
      </c>
      <c r="C176" s="200">
        <v>7512544.6100000003</v>
      </c>
      <c r="D176" s="206">
        <v>7478354.6100000003</v>
      </c>
      <c r="E176" s="34">
        <v>1763585.3</v>
      </c>
      <c r="F176" s="48">
        <f t="shared" si="35"/>
        <v>0.23582531077648375</v>
      </c>
      <c r="G176" s="34">
        <v>438163.4</v>
      </c>
      <c r="H176" s="48">
        <f t="shared" si="30"/>
        <v>5.8590883001735594E-2</v>
      </c>
      <c r="I176" s="34">
        <v>310325.65000000002</v>
      </c>
      <c r="J176" s="153">
        <f t="shared" si="31"/>
        <v>4.1496514431802266E-2</v>
      </c>
      <c r="K176" s="615">
        <v>175438.54</v>
      </c>
      <c r="L176" s="48">
        <v>2.8089850553786554E-2</v>
      </c>
      <c r="M176" s="210">
        <f t="shared" si="33"/>
        <v>1.4975321842053635</v>
      </c>
      <c r="N176" s="615">
        <v>100119.24</v>
      </c>
      <c r="O176" s="48">
        <v>1.6030311749964908E-2</v>
      </c>
      <c r="P176" s="210">
        <f t="shared" si="34"/>
        <v>2.0995605839596867</v>
      </c>
    </row>
    <row r="177" spans="1:16" x14ac:dyDescent="0.2">
      <c r="A177" s="39" t="s">
        <v>688</v>
      </c>
      <c r="B177" s="40" t="s">
        <v>689</v>
      </c>
      <c r="C177" s="200">
        <v>2743104</v>
      </c>
      <c r="D177" s="206">
        <v>7437178.2999999998</v>
      </c>
      <c r="E177" s="34">
        <v>3006261.95</v>
      </c>
      <c r="F177" s="280">
        <f t="shared" si="35"/>
        <v>0.40422077147189012</v>
      </c>
      <c r="G177" s="34">
        <v>2786441.8</v>
      </c>
      <c r="H177" s="280">
        <f t="shared" si="30"/>
        <v>0.37466384260277852</v>
      </c>
      <c r="I177" s="34">
        <v>1634517.69</v>
      </c>
      <c r="J177" s="178">
        <f t="shared" si="31"/>
        <v>0.21977659053837664</v>
      </c>
      <c r="K177" s="616">
        <v>2457124.6</v>
      </c>
      <c r="L177" s="280">
        <v>0.42094556175982206</v>
      </c>
      <c r="M177" s="211">
        <f t="shared" si="33"/>
        <v>0.1340254377006358</v>
      </c>
      <c r="N177" s="616">
        <v>1613316.03</v>
      </c>
      <c r="O177" s="280">
        <v>0.27638737675105118</v>
      </c>
      <c r="P177" s="211">
        <f t="shared" si="34"/>
        <v>1.31416657404686E-2</v>
      </c>
    </row>
    <row r="178" spans="1:16" x14ac:dyDescent="0.2">
      <c r="A178" s="39" t="s">
        <v>690</v>
      </c>
      <c r="B178" s="40" t="s">
        <v>691</v>
      </c>
      <c r="C178" s="200">
        <v>36360768.060000002</v>
      </c>
      <c r="D178" s="206">
        <v>40073130.359999999</v>
      </c>
      <c r="E178" s="34">
        <v>11605291.460000001</v>
      </c>
      <c r="F178" s="280">
        <f t="shared" si="35"/>
        <v>0.28960281754240275</v>
      </c>
      <c r="G178" s="34">
        <v>7630660</v>
      </c>
      <c r="H178" s="280">
        <f t="shared" si="30"/>
        <v>0.19041836590876202</v>
      </c>
      <c r="I178" s="34">
        <v>7005660</v>
      </c>
      <c r="J178" s="178">
        <f t="shared" si="31"/>
        <v>0.17482188032390092</v>
      </c>
      <c r="K178" s="616">
        <v>2311259.7200000002</v>
      </c>
      <c r="L178" s="280">
        <v>3.7467125199928508E-2</v>
      </c>
      <c r="M178" s="211">
        <f t="shared" si="33"/>
        <v>2.3015155908138265</v>
      </c>
      <c r="N178" s="616">
        <v>2081259.72</v>
      </c>
      <c r="O178" s="280">
        <v>3.3738665468028034E-2</v>
      </c>
      <c r="P178" s="211">
        <f t="shared" si="34"/>
        <v>2.3660671624394864</v>
      </c>
    </row>
    <row r="179" spans="1:16" x14ac:dyDescent="0.2">
      <c r="A179" s="667" t="s">
        <v>692</v>
      </c>
      <c r="B179" s="663" t="s">
        <v>693</v>
      </c>
      <c r="C179" s="662">
        <v>1922280</v>
      </c>
      <c r="D179" s="397">
        <v>1922280</v>
      </c>
      <c r="E179" s="398">
        <v>1162500</v>
      </c>
      <c r="F179" s="412">
        <f t="shared" si="35"/>
        <v>0.60475060865222552</v>
      </c>
      <c r="G179" s="398">
        <v>1162500</v>
      </c>
      <c r="H179" s="412">
        <f t="shared" si="30"/>
        <v>0.60475060865222552</v>
      </c>
      <c r="I179" s="398">
        <v>0</v>
      </c>
      <c r="J179" s="427">
        <f t="shared" si="31"/>
        <v>0</v>
      </c>
      <c r="K179" s="665">
        <v>112500</v>
      </c>
      <c r="L179" s="412">
        <v>7.3912015137180695E-2</v>
      </c>
      <c r="M179" s="211">
        <f t="shared" si="33"/>
        <v>9.3333333333333339</v>
      </c>
      <c r="N179" s="665">
        <v>112500</v>
      </c>
      <c r="O179" s="412">
        <v>7.3912015137180695E-2</v>
      </c>
      <c r="P179" s="211">
        <f t="shared" si="34"/>
        <v>-1</v>
      </c>
    </row>
    <row r="180" spans="1:16" ht="15.75" thickBot="1" x14ac:dyDescent="0.3">
      <c r="A180" s="7" t="s">
        <v>19</v>
      </c>
      <c r="N180" s="97"/>
    </row>
    <row r="181" spans="1:16" ht="12.75" customHeight="1" x14ac:dyDescent="0.2">
      <c r="A181" s="8" t="s">
        <v>759</v>
      </c>
      <c r="C181" s="164" t="s">
        <v>767</v>
      </c>
      <c r="D181" s="742" t="s">
        <v>781</v>
      </c>
      <c r="E181" s="740"/>
      <c r="F181" s="740"/>
      <c r="G181" s="740"/>
      <c r="H181" s="740"/>
      <c r="I181" s="740"/>
      <c r="J181" s="741"/>
      <c r="K181" s="751" t="s">
        <v>782</v>
      </c>
      <c r="L181" s="749"/>
      <c r="M181" s="749"/>
      <c r="N181" s="749"/>
      <c r="O181" s="749"/>
      <c r="P181" s="752"/>
    </row>
    <row r="182" spans="1:16" ht="12.75" customHeight="1" x14ac:dyDescent="0.2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545</v>
      </c>
      <c r="L182" s="88" t="s">
        <v>546</v>
      </c>
      <c r="M182" s="88" t="s">
        <v>547</v>
      </c>
      <c r="N182" s="87" t="s">
        <v>39</v>
      </c>
      <c r="O182" s="88" t="s">
        <v>40</v>
      </c>
      <c r="P182" s="611" t="s">
        <v>362</v>
      </c>
    </row>
    <row r="183" spans="1:16" ht="14.1" customHeight="1" x14ac:dyDescent="0.2">
      <c r="A183" s="681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13" t="s">
        <v>766</v>
      </c>
      <c r="N183" s="564" t="s">
        <v>17</v>
      </c>
      <c r="O183" s="89" t="s">
        <v>18</v>
      </c>
      <c r="P183" s="612" t="s">
        <v>766</v>
      </c>
    </row>
    <row r="184" spans="1:16" x14ac:dyDescent="0.2">
      <c r="A184" s="37" t="s">
        <v>694</v>
      </c>
      <c r="B184" s="40" t="s">
        <v>695</v>
      </c>
      <c r="C184" s="530">
        <v>10510570.890000001</v>
      </c>
      <c r="D184" s="516">
        <v>10400570.890000001</v>
      </c>
      <c r="E184" s="180">
        <v>5568951.7000000002</v>
      </c>
      <c r="F184" s="48">
        <f t="shared" si="35"/>
        <v>0.53544673257834985</v>
      </c>
      <c r="G184" s="180">
        <v>5568951.7000000002</v>
      </c>
      <c r="H184" s="48">
        <f t="shared" si="30"/>
        <v>0.53544673257834985</v>
      </c>
      <c r="I184" s="180">
        <v>5255731.5199999996</v>
      </c>
      <c r="J184" s="153">
        <f t="shared" si="31"/>
        <v>0.50533106072603284</v>
      </c>
      <c r="K184" s="615">
        <v>9219220.1799999997</v>
      </c>
      <c r="L184" s="48">
        <v>0.56621485517961312</v>
      </c>
      <c r="M184" s="210">
        <f>+G184/K184-1</f>
        <v>-0.39594113262625208</v>
      </c>
      <c r="N184" s="615">
        <v>6617000</v>
      </c>
      <c r="O184" s="48">
        <v>0.40639486025633681</v>
      </c>
      <c r="P184" s="210">
        <f>+I184/N184-1</f>
        <v>-0.20572290766208257</v>
      </c>
    </row>
    <row r="185" spans="1:16" x14ac:dyDescent="0.2">
      <c r="A185" s="39" t="s">
        <v>696</v>
      </c>
      <c r="B185" s="40" t="s">
        <v>697</v>
      </c>
      <c r="C185" s="200">
        <v>1031566.99</v>
      </c>
      <c r="D185" s="206">
        <v>1082779.1299999999</v>
      </c>
      <c r="E185" s="34">
        <v>357455.01</v>
      </c>
      <c r="F185" s="280">
        <f t="shared" si="35"/>
        <v>0.33012735478194899</v>
      </c>
      <c r="G185" s="34">
        <v>110444.22</v>
      </c>
      <c r="H185" s="280">
        <f t="shared" si="30"/>
        <v>0.10200069149836681</v>
      </c>
      <c r="I185" s="34">
        <v>32008.13</v>
      </c>
      <c r="J185" s="178">
        <f t="shared" si="31"/>
        <v>2.9561088788255464E-2</v>
      </c>
      <c r="K185" s="616">
        <v>94849.19</v>
      </c>
      <c r="L185" s="280">
        <v>0.16317194449409034</v>
      </c>
      <c r="M185" s="211">
        <f>+G185/K185-1</f>
        <v>0.16441922171396506</v>
      </c>
      <c r="N185" s="616">
        <v>4820.25</v>
      </c>
      <c r="O185" s="280">
        <v>8.2924225862934502E-3</v>
      </c>
      <c r="P185" s="211">
        <f t="shared" ref="P185:P191" si="36">+I185/N185-1</f>
        <v>5.6403464550593849</v>
      </c>
    </row>
    <row r="186" spans="1:16" x14ac:dyDescent="0.2">
      <c r="A186" s="39" t="s">
        <v>698</v>
      </c>
      <c r="B186" s="40" t="s">
        <v>699</v>
      </c>
      <c r="C186" s="200">
        <v>4649794.68</v>
      </c>
      <c r="D186" s="206">
        <v>4705707.68</v>
      </c>
      <c r="E186" s="34">
        <v>1803414.83</v>
      </c>
      <c r="F186" s="280">
        <f t="shared" si="35"/>
        <v>0.38323987647273494</v>
      </c>
      <c r="G186" s="34">
        <v>704757.25</v>
      </c>
      <c r="H186" s="280">
        <f t="shared" si="30"/>
        <v>0.14976647465700632</v>
      </c>
      <c r="I186" s="34">
        <v>70462.42</v>
      </c>
      <c r="J186" s="178">
        <f t="shared" si="31"/>
        <v>1.4973820048252552E-2</v>
      </c>
      <c r="K186" s="692">
        <v>305395.59000000003</v>
      </c>
      <c r="L186" s="418">
        <v>0.36361157807417671</v>
      </c>
      <c r="M186" s="211">
        <f>+G186/K186-1</f>
        <v>1.3076864011035654</v>
      </c>
      <c r="N186" s="692">
        <v>63844.62</v>
      </c>
      <c r="O186" s="280">
        <v>7.6014991014592401E-2</v>
      </c>
      <c r="P186" s="211">
        <f t="shared" si="36"/>
        <v>0.10365477936903678</v>
      </c>
    </row>
    <row r="187" spans="1:16" x14ac:dyDescent="0.2">
      <c r="A187" s="39" t="s">
        <v>700</v>
      </c>
      <c r="B187" s="40" t="s">
        <v>702</v>
      </c>
      <c r="C187" s="200">
        <v>145653002</v>
      </c>
      <c r="D187" s="206">
        <v>146363689.83000001</v>
      </c>
      <c r="E187" s="34">
        <v>114326047.42</v>
      </c>
      <c r="F187" s="280">
        <f t="shared" si="35"/>
        <v>0.78110935541997184</v>
      </c>
      <c r="G187" s="34">
        <v>112362129.12</v>
      </c>
      <c r="H187" s="280">
        <f t="shared" si="30"/>
        <v>0.76769128497995309</v>
      </c>
      <c r="I187" s="34">
        <v>36279341</v>
      </c>
      <c r="J187" s="178">
        <f t="shared" si="31"/>
        <v>0.24787118336616204</v>
      </c>
      <c r="K187" s="692">
        <v>110924325</v>
      </c>
      <c r="L187" s="418">
        <v>0.95136971527631864</v>
      </c>
      <c r="M187" s="211">
        <f t="shared" ref="M187:M191" si="37">+G187/K187-1</f>
        <v>1.2962027219908689E-2</v>
      </c>
      <c r="N187" s="692">
        <v>42981164.079999998</v>
      </c>
      <c r="O187" s="280">
        <v>0.36863850947963245</v>
      </c>
      <c r="P187" s="211">
        <f t="shared" si="36"/>
        <v>-0.15592465265775557</v>
      </c>
    </row>
    <row r="188" spans="1:16" x14ac:dyDescent="0.2">
      <c r="A188" s="39" t="s">
        <v>701</v>
      </c>
      <c r="B188" s="40" t="s">
        <v>703</v>
      </c>
      <c r="C188" s="200">
        <v>16809054</v>
      </c>
      <c r="D188" s="206">
        <v>16809054</v>
      </c>
      <c r="E188" s="34">
        <v>14327012</v>
      </c>
      <c r="F188" s="280">
        <f t="shared" si="35"/>
        <v>0.85233898350258142</v>
      </c>
      <c r="G188" s="34">
        <v>14327012</v>
      </c>
      <c r="H188" s="280">
        <f t="shared" si="30"/>
        <v>0.85233898350258142</v>
      </c>
      <c r="I188" s="34">
        <v>2529997.6</v>
      </c>
      <c r="J188" s="178">
        <f t="shared" si="31"/>
        <v>0.1505139789544373</v>
      </c>
      <c r="K188" s="616">
        <v>16692043</v>
      </c>
      <c r="L188" s="280">
        <v>0.99303881110739489</v>
      </c>
      <c r="M188" s="211">
        <f t="shared" si="37"/>
        <v>-0.14168613152985532</v>
      </c>
      <c r="N188" s="616">
        <v>2503542.64</v>
      </c>
      <c r="O188" s="280">
        <v>0.14894012714814292</v>
      </c>
      <c r="P188" s="211">
        <f t="shared" si="36"/>
        <v>1.0567009955140927E-2</v>
      </c>
    </row>
    <row r="189" spans="1:16" x14ac:dyDescent="0.2">
      <c r="A189" s="39">
        <v>4591</v>
      </c>
      <c r="B189" s="40" t="s">
        <v>762</v>
      </c>
      <c r="C189" s="200">
        <v>0</v>
      </c>
      <c r="F189" s="280" t="s">
        <v>129</v>
      </c>
      <c r="H189" s="280" t="s">
        <v>129</v>
      </c>
      <c r="J189" s="178" t="s">
        <v>129</v>
      </c>
      <c r="K189" s="616">
        <v>0</v>
      </c>
      <c r="L189" s="280">
        <v>0</v>
      </c>
      <c r="M189" s="211" t="s">
        <v>129</v>
      </c>
      <c r="N189" s="616">
        <v>0</v>
      </c>
      <c r="O189" s="280">
        <v>0</v>
      </c>
      <c r="P189" s="211" t="s">
        <v>129</v>
      </c>
    </row>
    <row r="190" spans="1:16" x14ac:dyDescent="0.2">
      <c r="A190" s="39">
        <v>4911</v>
      </c>
      <c r="B190" s="40" t="s">
        <v>704</v>
      </c>
      <c r="C190" s="200">
        <v>34765352.369999997</v>
      </c>
      <c r="D190" s="206">
        <v>37838133.950000003</v>
      </c>
      <c r="E190" s="34">
        <v>36916054.609999999</v>
      </c>
      <c r="F190" s="280">
        <f t="shared" si="35"/>
        <v>0.97563095100782571</v>
      </c>
      <c r="G190" s="34">
        <v>36847865.229999997</v>
      </c>
      <c r="H190" s="280">
        <f t="shared" si="30"/>
        <v>0.9738288172110029</v>
      </c>
      <c r="I190" s="34">
        <v>3900000</v>
      </c>
      <c r="J190" s="178">
        <f t="shared" si="31"/>
        <v>0.10307062195914658</v>
      </c>
      <c r="K190" s="616">
        <v>15669752</v>
      </c>
      <c r="L190" s="280">
        <v>0.91320892825922262</v>
      </c>
      <c r="M190" s="211">
        <f t="shared" si="37"/>
        <v>1.3515282966826785</v>
      </c>
      <c r="N190" s="616">
        <v>3800000</v>
      </c>
      <c r="O190" s="280">
        <v>0.22145812693047381</v>
      </c>
      <c r="P190" s="211">
        <f t="shared" si="36"/>
        <v>2.6315789473684292E-2</v>
      </c>
    </row>
    <row r="191" spans="1:16" x14ac:dyDescent="0.2">
      <c r="A191" s="667" t="s">
        <v>705</v>
      </c>
      <c r="B191" s="663" t="s">
        <v>706</v>
      </c>
      <c r="C191" s="662">
        <v>1548192.01</v>
      </c>
      <c r="D191" s="397">
        <v>1483243.86</v>
      </c>
      <c r="E191" s="398">
        <v>610865.56000000006</v>
      </c>
      <c r="F191" s="412">
        <f t="shared" si="35"/>
        <v>0.41184432073091476</v>
      </c>
      <c r="G191" s="398">
        <v>186883.26</v>
      </c>
      <c r="H191" s="412">
        <f t="shared" si="30"/>
        <v>0.1259963145911826</v>
      </c>
      <c r="I191" s="398">
        <v>166598.35</v>
      </c>
      <c r="J191" s="427">
        <f t="shared" si="31"/>
        <v>0.11232026943971303</v>
      </c>
      <c r="K191" s="616">
        <v>264694.32</v>
      </c>
      <c r="L191" s="280">
        <v>0.16235293173794121</v>
      </c>
      <c r="M191" s="211">
        <f t="shared" si="37"/>
        <v>-0.29396573375658386</v>
      </c>
      <c r="N191" s="616">
        <v>194287.39</v>
      </c>
      <c r="O191" s="412">
        <v>0.11916813086964906</v>
      </c>
      <c r="P191" s="211">
        <f t="shared" si="36"/>
        <v>-0.14251588844752094</v>
      </c>
    </row>
    <row r="192" spans="1:16" x14ac:dyDescent="0.2">
      <c r="A192" s="18">
        <v>4</v>
      </c>
      <c r="B192" s="518" t="s">
        <v>123</v>
      </c>
      <c r="C192" s="201">
        <f>SUM(C174:C179,C184:C191)</f>
        <v>298186053.5</v>
      </c>
      <c r="D192" s="207">
        <f>SUM(D174:D179,D184:D191)</f>
        <v>306705701.90000004</v>
      </c>
      <c r="E192" s="203">
        <f>SUM(E174:E179,E184:E191)</f>
        <v>218431706</v>
      </c>
      <c r="F192" s="90">
        <f t="shared" si="35"/>
        <v>0.7121866487869164</v>
      </c>
      <c r="G192" s="203">
        <f>SUM(G174:G179,G184:G191)</f>
        <v>209001074.13999999</v>
      </c>
      <c r="H192" s="90">
        <f t="shared" si="30"/>
        <v>0.68143850226867908</v>
      </c>
      <c r="I192" s="203">
        <f>SUM(I174:I179,I184:I191)</f>
        <v>59767546.490000002</v>
      </c>
      <c r="J192" s="170">
        <f t="shared" si="31"/>
        <v>0.19486936864801729</v>
      </c>
      <c r="K192" s="568">
        <f>SUM(K174:K191)</f>
        <v>160128391.69999999</v>
      </c>
      <c r="L192" s="90">
        <v>0.63803986124678369</v>
      </c>
      <c r="M192" s="213">
        <f t="shared" ref="M192:M198" si="38">+G192/K192-1</f>
        <v>0.30520935057889553</v>
      </c>
      <c r="N192" s="568">
        <f>SUBTOTAL(9,N174:N191)</f>
        <v>61663870.960000001</v>
      </c>
      <c r="O192" s="90">
        <v>0.24570288412668778</v>
      </c>
      <c r="P192" s="213">
        <f t="shared" ref="P192:P198" si="39">+I192/N192-1</f>
        <v>-3.0752601814928227E-2</v>
      </c>
    </row>
    <row r="193" spans="1:16" x14ac:dyDescent="0.2">
      <c r="A193" s="37" t="s">
        <v>707</v>
      </c>
      <c r="B193" s="38" t="s">
        <v>113</v>
      </c>
      <c r="C193" s="198">
        <v>22797084.350000001</v>
      </c>
      <c r="D193" s="516">
        <v>23400277.890000001</v>
      </c>
      <c r="E193" s="180">
        <v>7873050.1500000004</v>
      </c>
      <c r="F193" s="48">
        <f t="shared" si="35"/>
        <v>0.33645113904243468</v>
      </c>
      <c r="G193" s="472">
        <v>6989050.1500000004</v>
      </c>
      <c r="H193" s="48">
        <f t="shared" si="30"/>
        <v>0.29867380989465675</v>
      </c>
      <c r="I193" s="30">
        <v>5004522.88</v>
      </c>
      <c r="J193" s="153">
        <f t="shared" si="31"/>
        <v>0.21386595934993829</v>
      </c>
      <c r="K193" s="615">
        <v>7095160</v>
      </c>
      <c r="L193" s="48">
        <v>0.33635395954333269</v>
      </c>
      <c r="M193" s="210">
        <f t="shared" si="38"/>
        <v>-1.4955244138257551E-2</v>
      </c>
      <c r="N193" s="615">
        <v>5029945.8899999997</v>
      </c>
      <c r="O193" s="48">
        <v>0.23845018525166625</v>
      </c>
      <c r="P193" s="210">
        <f t="shared" si="39"/>
        <v>-5.0543307136848847E-3</v>
      </c>
    </row>
    <row r="194" spans="1:16" x14ac:dyDescent="0.2">
      <c r="A194" s="37" t="s">
        <v>708</v>
      </c>
      <c r="B194" s="38" t="s">
        <v>709</v>
      </c>
      <c r="C194" s="530">
        <v>7386447.1399999997</v>
      </c>
      <c r="D194" s="697">
        <v>6996896.0199999996</v>
      </c>
      <c r="E194" s="698">
        <v>1748174.39</v>
      </c>
      <c r="F194" s="48">
        <f t="shared" si="35"/>
        <v>0.24984998848103504</v>
      </c>
      <c r="G194" s="180">
        <v>1065585.3700000001</v>
      </c>
      <c r="H194" s="48">
        <f t="shared" si="30"/>
        <v>0.15229401250985009</v>
      </c>
      <c r="I194" s="180">
        <v>993992.96</v>
      </c>
      <c r="J194" s="153">
        <f t="shared" si="31"/>
        <v>0.14206198822431551</v>
      </c>
      <c r="K194" s="615">
        <v>2443349.52</v>
      </c>
      <c r="L194" s="48">
        <v>0.32760111383515667</v>
      </c>
      <c r="M194" s="210">
        <f>+G194/K194-1</f>
        <v>-0.56388336532384442</v>
      </c>
      <c r="N194" s="615">
        <v>1955905.6</v>
      </c>
      <c r="O194" s="48">
        <v>0.26224526940231641</v>
      </c>
      <c r="P194" s="210">
        <f t="shared" si="39"/>
        <v>-0.49179911341324456</v>
      </c>
    </row>
    <row r="195" spans="1:16" x14ac:dyDescent="0.2">
      <c r="A195" s="39" t="s">
        <v>710</v>
      </c>
      <c r="B195" s="40" t="s">
        <v>711</v>
      </c>
      <c r="C195" s="200">
        <v>53388679.920000002</v>
      </c>
      <c r="D195" s="206">
        <v>58615605.490000002</v>
      </c>
      <c r="E195" s="34">
        <v>18194747.82</v>
      </c>
      <c r="F195" s="48">
        <f t="shared" si="35"/>
        <v>0.31040791386355426</v>
      </c>
      <c r="G195" s="34">
        <v>14596907.42</v>
      </c>
      <c r="H195" s="48">
        <f t="shared" si="30"/>
        <v>0.24902766589164171</v>
      </c>
      <c r="I195" s="34">
        <v>8080127.75</v>
      </c>
      <c r="J195" s="153">
        <f t="shared" si="31"/>
        <v>0.13784942904630568</v>
      </c>
      <c r="K195" s="616">
        <v>13559077.49</v>
      </c>
      <c r="L195" s="280">
        <v>0.28158684938721756</v>
      </c>
      <c r="M195" s="211">
        <f t="shared" si="38"/>
        <v>7.6541337769137519E-2</v>
      </c>
      <c r="N195" s="616">
        <v>8500718.6699999999</v>
      </c>
      <c r="O195" s="280">
        <v>0.17653786473141531</v>
      </c>
      <c r="P195" s="211">
        <f t="shared" si="39"/>
        <v>-4.9477101446059213E-2</v>
      </c>
    </row>
    <row r="196" spans="1:16" x14ac:dyDescent="0.2">
      <c r="A196" s="39" t="s">
        <v>712</v>
      </c>
      <c r="B196" s="40" t="s">
        <v>713</v>
      </c>
      <c r="C196" s="200">
        <v>877692.04</v>
      </c>
      <c r="D196" s="206">
        <v>884664.91</v>
      </c>
      <c r="E196" s="34">
        <v>226006.98</v>
      </c>
      <c r="F196" s="48">
        <f t="shared" si="35"/>
        <v>0.25547184865736339</v>
      </c>
      <c r="G196" s="34">
        <v>220939.04</v>
      </c>
      <c r="H196" s="48">
        <f t="shared" si="30"/>
        <v>0.24974319372518122</v>
      </c>
      <c r="I196" s="34">
        <v>184757.15</v>
      </c>
      <c r="J196" s="153">
        <f t="shared" si="31"/>
        <v>0.20884421650679011</v>
      </c>
      <c r="K196" s="616">
        <v>217168.92</v>
      </c>
      <c r="L196" s="280">
        <v>0.29916673858762483</v>
      </c>
      <c r="M196" s="211">
        <f t="shared" si="38"/>
        <v>1.7360311042666776E-2</v>
      </c>
      <c r="N196" s="616">
        <v>193087.03</v>
      </c>
      <c r="O196" s="280">
        <v>0.26599209973817095</v>
      </c>
      <c r="P196" s="211">
        <f t="shared" si="39"/>
        <v>-4.3140546519359724E-2</v>
      </c>
    </row>
    <row r="197" spans="1:16" x14ac:dyDescent="0.2">
      <c r="A197" s="39" t="s">
        <v>714</v>
      </c>
      <c r="B197" s="40" t="s">
        <v>715</v>
      </c>
      <c r="C197" s="200">
        <v>4144550.55</v>
      </c>
      <c r="D197" s="206">
        <v>4181555.24</v>
      </c>
      <c r="E197" s="34">
        <v>1432960.19</v>
      </c>
      <c r="F197" s="48">
        <f t="shared" si="35"/>
        <v>0.34268594045884226</v>
      </c>
      <c r="G197" s="34">
        <v>1086045.9099999999</v>
      </c>
      <c r="H197" s="48">
        <f t="shared" si="30"/>
        <v>0.25972296135444567</v>
      </c>
      <c r="I197" s="34">
        <v>783187.85</v>
      </c>
      <c r="J197" s="153">
        <f t="shared" si="31"/>
        <v>0.18729582776000825</v>
      </c>
      <c r="K197" s="616">
        <v>1104280.93</v>
      </c>
      <c r="L197" s="280">
        <v>0.25869884439528751</v>
      </c>
      <c r="M197" s="211">
        <f t="shared" si="38"/>
        <v>-1.6513026264068476E-2</v>
      </c>
      <c r="N197" s="616">
        <v>785623.99</v>
      </c>
      <c r="O197" s="280">
        <v>0.1840473857881571</v>
      </c>
      <c r="P197" s="211">
        <f t="shared" si="39"/>
        <v>-3.1008981790385803E-3</v>
      </c>
    </row>
    <row r="198" spans="1:16" x14ac:dyDescent="0.2">
      <c r="A198" s="39" t="s">
        <v>716</v>
      </c>
      <c r="B198" s="40" t="s">
        <v>717</v>
      </c>
      <c r="C198" s="200">
        <v>7218581.6100000003</v>
      </c>
      <c r="D198" s="206">
        <v>7260705.21</v>
      </c>
      <c r="E198" s="34">
        <v>2488374.35</v>
      </c>
      <c r="F198" s="48">
        <f t="shared" si="35"/>
        <v>0.34271799749875814</v>
      </c>
      <c r="G198" s="34">
        <v>2279371.0499999998</v>
      </c>
      <c r="H198" s="48">
        <f t="shared" si="30"/>
        <v>0.31393246028783472</v>
      </c>
      <c r="I198" s="34">
        <v>1308047.47</v>
      </c>
      <c r="J198" s="153">
        <f t="shared" si="31"/>
        <v>0.18015432828734826</v>
      </c>
      <c r="K198" s="616">
        <v>1284935.93</v>
      </c>
      <c r="L198" s="280">
        <v>0.19510795211385135</v>
      </c>
      <c r="M198" s="211">
        <f t="shared" si="38"/>
        <v>0.7739180583112808</v>
      </c>
      <c r="N198" s="616">
        <v>1126635.42</v>
      </c>
      <c r="O198" s="280">
        <v>0.17107119852670694</v>
      </c>
      <c r="P198" s="211">
        <f t="shared" si="39"/>
        <v>0.16102107814078859</v>
      </c>
    </row>
    <row r="199" spans="1:16" x14ac:dyDescent="0.2">
      <c r="A199" s="39" t="s">
        <v>718</v>
      </c>
      <c r="B199" s="40" t="s">
        <v>719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6">
        <v>0</v>
      </c>
      <c r="L199" s="418">
        <v>0</v>
      </c>
      <c r="M199" s="212" t="s">
        <v>129</v>
      </c>
      <c r="N199" s="616">
        <v>0</v>
      </c>
      <c r="O199" s="418">
        <v>0</v>
      </c>
      <c r="P199" s="211" t="s">
        <v>129</v>
      </c>
    </row>
    <row r="200" spans="1:16" x14ac:dyDescent="0.2">
      <c r="A200" s="39" t="s">
        <v>720</v>
      </c>
      <c r="B200" s="40" t="s">
        <v>721</v>
      </c>
      <c r="C200" s="200">
        <v>2204546.69</v>
      </c>
      <c r="D200" s="206">
        <v>2309210.9900000002</v>
      </c>
      <c r="E200" s="34">
        <v>888628.24</v>
      </c>
      <c r="F200" s="48">
        <f t="shared" ref="F200:F214" si="40">+E200/D200</f>
        <v>0.38481898962381084</v>
      </c>
      <c r="G200" s="34">
        <v>719343.85</v>
      </c>
      <c r="H200" s="48">
        <f t="shared" ref="H200:H214" si="41">+G200/D200</f>
        <v>0.31151066451489556</v>
      </c>
      <c r="I200" s="34">
        <v>380276</v>
      </c>
      <c r="J200" s="153">
        <f t="shared" ref="J200:J214" si="42">+I200/D200</f>
        <v>0.16467789285898035</v>
      </c>
      <c r="K200" s="616">
        <v>655306.21</v>
      </c>
      <c r="L200" s="280">
        <v>0.30508076921692795</v>
      </c>
      <c r="M200" s="211">
        <f>+G200/K200-1</f>
        <v>9.7721704788971797E-2</v>
      </c>
      <c r="N200" s="616">
        <v>405080.03</v>
      </c>
      <c r="O200" s="280">
        <v>0.18858683964984288</v>
      </c>
      <c r="P200" s="211">
        <f>+I200/N200-1</f>
        <v>-6.1232418690203128E-2</v>
      </c>
    </row>
    <row r="201" spans="1:16" x14ac:dyDescent="0.2">
      <c r="A201" s="39" t="s">
        <v>722</v>
      </c>
      <c r="B201" s="40" t="s">
        <v>723</v>
      </c>
      <c r="C201" s="200">
        <v>14812972.529999999</v>
      </c>
      <c r="D201" s="206">
        <v>14555010.550000001</v>
      </c>
      <c r="E201" s="34">
        <v>8047183.3399999999</v>
      </c>
      <c r="F201" s="48">
        <f t="shared" si="40"/>
        <v>0.55288062570315344</v>
      </c>
      <c r="G201" s="34">
        <v>2872964.7</v>
      </c>
      <c r="H201" s="48">
        <f t="shared" si="41"/>
        <v>0.19738664497223604</v>
      </c>
      <c r="I201" s="34">
        <v>745317.54</v>
      </c>
      <c r="J201" s="153">
        <f t="shared" si="42"/>
        <v>5.1206939180129966E-2</v>
      </c>
      <c r="K201" s="616">
        <v>2888264.5</v>
      </c>
      <c r="L201" s="280">
        <v>0.29382220164954359</v>
      </c>
      <c r="M201" s="211">
        <f>+G201/K201-1</f>
        <v>-5.2972295300516281E-3</v>
      </c>
      <c r="N201" s="616">
        <v>934138.78</v>
      </c>
      <c r="O201" s="280">
        <v>9.502963214962433E-2</v>
      </c>
      <c r="P201" s="211">
        <f>+I201/N201-1</f>
        <v>-0.20213403408859654</v>
      </c>
    </row>
    <row r="202" spans="1:16" x14ac:dyDescent="0.2">
      <c r="A202" s="39" t="s">
        <v>724</v>
      </c>
      <c r="B202" s="40" t="s">
        <v>725</v>
      </c>
      <c r="C202" s="200">
        <v>871764.12</v>
      </c>
      <c r="D202" s="206">
        <v>881894.41</v>
      </c>
      <c r="E202" s="34">
        <v>23481.13</v>
      </c>
      <c r="F202" s="48">
        <f t="shared" si="40"/>
        <v>2.6625783918961456E-2</v>
      </c>
      <c r="G202" s="34">
        <v>8481.1299999999992</v>
      </c>
      <c r="H202" s="48">
        <f t="shared" si="41"/>
        <v>9.6169449582972164E-3</v>
      </c>
      <c r="I202" s="34">
        <v>350.84</v>
      </c>
      <c r="J202" s="153">
        <f t="shared" si="42"/>
        <v>3.9782540406396266E-4</v>
      </c>
      <c r="K202" s="692">
        <v>0</v>
      </c>
      <c r="L202" s="418">
        <v>0</v>
      </c>
      <c r="M202" s="211" t="s">
        <v>129</v>
      </c>
      <c r="N202" s="692">
        <v>0</v>
      </c>
      <c r="O202" s="418">
        <v>0</v>
      </c>
      <c r="P202" s="211" t="s">
        <v>129</v>
      </c>
    </row>
    <row r="203" spans="1:16" x14ac:dyDescent="0.2">
      <c r="A203" s="39" t="s">
        <v>726</v>
      </c>
      <c r="B203" s="40" t="s">
        <v>727</v>
      </c>
      <c r="C203" s="200">
        <v>16719312.35</v>
      </c>
      <c r="D203" s="206">
        <v>16906629.129999999</v>
      </c>
      <c r="E203" s="34">
        <v>7067655.1900000004</v>
      </c>
      <c r="F203" s="48">
        <f t="shared" si="40"/>
        <v>0.41804047014072054</v>
      </c>
      <c r="G203" s="34">
        <v>7008790.1299999999</v>
      </c>
      <c r="H203" s="48">
        <f t="shared" si="41"/>
        <v>0.41455869624319369</v>
      </c>
      <c r="I203" s="34">
        <v>3124137.6</v>
      </c>
      <c r="J203" s="153">
        <f t="shared" si="42"/>
        <v>0.18478772888300771</v>
      </c>
      <c r="K203" s="692">
        <v>7545010.96</v>
      </c>
      <c r="L203" s="280">
        <v>0.52314664915149733</v>
      </c>
      <c r="M203" s="211">
        <f t="shared" ref="M203:M212" si="43">+G203/K203-1</f>
        <v>-7.1069589274658895E-2</v>
      </c>
      <c r="N203" s="616">
        <v>2078957.05</v>
      </c>
      <c r="O203" s="280">
        <v>0.1441481556757582</v>
      </c>
      <c r="P203" s="211">
        <f>+I203/N203-1</f>
        <v>0.50274273342972631</v>
      </c>
    </row>
    <row r="204" spans="1:16" x14ac:dyDescent="0.2">
      <c r="A204" s="39" t="s">
        <v>728</v>
      </c>
      <c r="B204" s="40" t="s">
        <v>729</v>
      </c>
      <c r="C204" s="200">
        <v>22448323.75</v>
      </c>
      <c r="D204" s="206">
        <v>22978284.329999998</v>
      </c>
      <c r="E204" s="34">
        <v>13315327.35</v>
      </c>
      <c r="F204" s="48">
        <f t="shared" si="40"/>
        <v>0.57947439237731813</v>
      </c>
      <c r="G204" s="34">
        <v>8700166.7200000007</v>
      </c>
      <c r="H204" s="48">
        <f t="shared" si="41"/>
        <v>0.37862560124392025</v>
      </c>
      <c r="I204" s="34">
        <v>2408234.4</v>
      </c>
      <c r="J204" s="153">
        <f t="shared" si="42"/>
        <v>0.10480479592881772</v>
      </c>
      <c r="K204" s="616">
        <v>5209735.6399999997</v>
      </c>
      <c r="L204" s="280">
        <v>0.2402691363395911</v>
      </c>
      <c r="M204" s="211">
        <f t="shared" si="43"/>
        <v>0.66998237937462823</v>
      </c>
      <c r="N204" s="616">
        <v>1707744.64</v>
      </c>
      <c r="O204" s="280">
        <v>7.8759913764331793E-2</v>
      </c>
      <c r="P204" s="211">
        <f>+I204/N204-1</f>
        <v>0.41018413619497585</v>
      </c>
    </row>
    <row r="205" spans="1:16" x14ac:dyDescent="0.2">
      <c r="A205" s="39" t="s">
        <v>730</v>
      </c>
      <c r="B205" s="40" t="s">
        <v>731</v>
      </c>
      <c r="C205" s="200">
        <v>49281328.299999997</v>
      </c>
      <c r="D205" s="206">
        <v>49774081.899999999</v>
      </c>
      <c r="E205" s="34">
        <v>36885715.619999997</v>
      </c>
      <c r="F205" s="48">
        <f t="shared" si="40"/>
        <v>0.74106270195211776</v>
      </c>
      <c r="G205" s="34">
        <v>36765402.899999999</v>
      </c>
      <c r="H205" s="48">
        <f t="shared" si="41"/>
        <v>0.7386455258755863</v>
      </c>
      <c r="I205" s="34">
        <v>9000000</v>
      </c>
      <c r="J205" s="153">
        <f t="shared" si="42"/>
        <v>0.18081699664660214</v>
      </c>
      <c r="K205" s="616">
        <v>36335300.68</v>
      </c>
      <c r="L205" s="280">
        <v>0.66879770067519362</v>
      </c>
      <c r="M205" s="211">
        <f t="shared" si="43"/>
        <v>1.1837034838044991E-2</v>
      </c>
      <c r="N205" s="616">
        <v>11000000</v>
      </c>
      <c r="O205" s="280">
        <v>0.2024690746945301</v>
      </c>
      <c r="P205" s="211">
        <f t="shared" ref="P205" si="44">+I205/N205-1</f>
        <v>-0.18181818181818177</v>
      </c>
    </row>
    <row r="206" spans="1:16" x14ac:dyDescent="0.2">
      <c r="A206" s="39" t="s">
        <v>732</v>
      </c>
      <c r="B206" s="40" t="s">
        <v>733</v>
      </c>
      <c r="C206" s="200">
        <v>13647818.9</v>
      </c>
      <c r="D206" s="206">
        <v>10266413.83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16">
        <v>0</v>
      </c>
      <c r="L206" s="280">
        <v>0</v>
      </c>
      <c r="M206" s="212" t="s">
        <v>129</v>
      </c>
      <c r="N206" s="616">
        <v>0</v>
      </c>
      <c r="O206" s="280">
        <v>0</v>
      </c>
      <c r="P206" s="211" t="s">
        <v>129</v>
      </c>
    </row>
    <row r="207" spans="1:16" x14ac:dyDescent="0.2">
      <c r="A207" s="39" t="s">
        <v>734</v>
      </c>
      <c r="B207" s="40" t="s">
        <v>735</v>
      </c>
      <c r="C207" s="200">
        <v>30916505.399999999</v>
      </c>
      <c r="D207" s="206">
        <v>13806832.92</v>
      </c>
      <c r="E207" s="34">
        <v>1739.5</v>
      </c>
      <c r="F207" s="48">
        <f t="shared" si="40"/>
        <v>1.2598834287914307E-4</v>
      </c>
      <c r="G207" s="34">
        <v>1739.5</v>
      </c>
      <c r="H207" s="48">
        <f t="shared" si="41"/>
        <v>1.2598834287914307E-4</v>
      </c>
      <c r="I207" s="34">
        <v>1739.5</v>
      </c>
      <c r="J207" s="153">
        <f t="shared" si="42"/>
        <v>1.2598834287914307E-4</v>
      </c>
      <c r="K207" s="616">
        <v>1551252.79</v>
      </c>
      <c r="L207" s="280">
        <v>0.25139510337412074</v>
      </c>
      <c r="M207" s="211">
        <f t="shared" si="43"/>
        <v>-0.99887864826982842</v>
      </c>
      <c r="N207" s="616">
        <v>1551252.79</v>
      </c>
      <c r="O207" s="280">
        <v>0.25139510337412074</v>
      </c>
      <c r="P207" s="211">
        <f t="shared" ref="P207:P212" si="45">+I207/N207-1</f>
        <v>-0.99887864826982842</v>
      </c>
    </row>
    <row r="208" spans="1:16" x14ac:dyDescent="0.2">
      <c r="A208" s="253">
        <v>9311</v>
      </c>
      <c r="B208" s="40" t="s">
        <v>736</v>
      </c>
      <c r="C208" s="200">
        <v>5805408.6299999999</v>
      </c>
      <c r="D208" s="206">
        <v>5139664.4800000004</v>
      </c>
      <c r="E208" s="34">
        <v>1649293.75</v>
      </c>
      <c r="F208" s="280">
        <f t="shared" si="40"/>
        <v>0.32089521726912412</v>
      </c>
      <c r="G208" s="34">
        <v>1498151.25</v>
      </c>
      <c r="H208" s="280">
        <f t="shared" si="41"/>
        <v>0.29148814204307744</v>
      </c>
      <c r="I208" s="34">
        <v>922420.31</v>
      </c>
      <c r="J208" s="178">
        <f t="shared" si="42"/>
        <v>0.17947091947138152</v>
      </c>
      <c r="K208" s="616">
        <v>1319315.1000000001</v>
      </c>
      <c r="L208" s="280">
        <v>0.26684222430910831</v>
      </c>
      <c r="M208" s="211">
        <f t="shared" si="43"/>
        <v>0.13555226495929595</v>
      </c>
      <c r="N208" s="616">
        <v>922060.4</v>
      </c>
      <c r="O208" s="280">
        <v>0.18649422574133057</v>
      </c>
      <c r="P208" s="211">
        <f t="shared" si="45"/>
        <v>3.9033234699159536E-4</v>
      </c>
    </row>
    <row r="209" spans="1:16" x14ac:dyDescent="0.2">
      <c r="A209" s="39" t="s">
        <v>737</v>
      </c>
      <c r="B209" s="40" t="s">
        <v>738</v>
      </c>
      <c r="C209" s="200">
        <v>30138334.93</v>
      </c>
      <c r="D209" s="206">
        <v>30139104.140000001</v>
      </c>
      <c r="E209" s="34">
        <v>26940304.670000002</v>
      </c>
      <c r="F209" s="280">
        <f t="shared" si="40"/>
        <v>0.89386547605591837</v>
      </c>
      <c r="G209" s="34">
        <v>26775893.969999999</v>
      </c>
      <c r="H209" s="280">
        <f t="shared" si="41"/>
        <v>0.88841041344900429</v>
      </c>
      <c r="I209" s="34">
        <v>7180495.3499999996</v>
      </c>
      <c r="J209" s="178">
        <f t="shared" si="42"/>
        <v>0.23824514878231545</v>
      </c>
      <c r="K209" s="616">
        <v>24986971.870000001</v>
      </c>
      <c r="L209" s="280">
        <v>0.94153666902055</v>
      </c>
      <c r="M209" s="211">
        <f t="shared" si="43"/>
        <v>7.1594193538426554E-2</v>
      </c>
      <c r="N209" s="616">
        <v>2898518.86</v>
      </c>
      <c r="O209" s="280">
        <v>0.10921938867727399</v>
      </c>
      <c r="P209" s="211">
        <f t="shared" si="45"/>
        <v>1.4772981294315262</v>
      </c>
    </row>
    <row r="210" spans="1:16" x14ac:dyDescent="0.2">
      <c r="A210" s="39" t="s">
        <v>739</v>
      </c>
      <c r="B210" s="40" t="s">
        <v>740</v>
      </c>
      <c r="C210" s="200">
        <v>113561295.48999999</v>
      </c>
      <c r="D210" s="206">
        <v>110427408.62</v>
      </c>
      <c r="E210" s="34">
        <v>69722008.189999998</v>
      </c>
      <c r="F210" s="280">
        <f t="shared" si="40"/>
        <v>0.63138317797464216</v>
      </c>
      <c r="G210" s="34">
        <v>68144903.200000003</v>
      </c>
      <c r="H210" s="280">
        <f t="shared" si="41"/>
        <v>0.61710135238705555</v>
      </c>
      <c r="I210" s="34">
        <v>22082664.690000001</v>
      </c>
      <c r="J210" s="178">
        <f t="shared" si="42"/>
        <v>0.19997448972102846</v>
      </c>
      <c r="K210" s="616">
        <v>66465825.130000003</v>
      </c>
      <c r="L210" s="280">
        <v>0.73834632828956126</v>
      </c>
      <c r="M210" s="211">
        <f t="shared" si="43"/>
        <v>2.5262276767284542E-2</v>
      </c>
      <c r="N210" s="616">
        <v>19279691.510000002</v>
      </c>
      <c r="O210" s="280">
        <v>0.21417155973196189</v>
      </c>
      <c r="P210" s="211">
        <f t="shared" si="45"/>
        <v>0.14538475257999606</v>
      </c>
    </row>
    <row r="211" spans="1:16" x14ac:dyDescent="0.2">
      <c r="A211" s="39" t="s">
        <v>741</v>
      </c>
      <c r="B211" s="40" t="s">
        <v>117</v>
      </c>
      <c r="C211" s="200">
        <v>799840.54</v>
      </c>
      <c r="D211" s="206">
        <v>801333.05</v>
      </c>
      <c r="E211" s="34">
        <v>167718.74</v>
      </c>
      <c r="F211" s="280">
        <f t="shared" si="40"/>
        <v>0.20929966634971561</v>
      </c>
      <c r="G211" s="34">
        <v>167718.74</v>
      </c>
      <c r="H211" s="280">
        <f t="shared" si="41"/>
        <v>0.20929966634971561</v>
      </c>
      <c r="I211" s="34">
        <v>167718.74</v>
      </c>
      <c r="J211" s="178">
        <f t="shared" si="42"/>
        <v>0.20929966634971561</v>
      </c>
      <c r="K211" s="616">
        <v>180338.42</v>
      </c>
      <c r="L211" s="280">
        <v>0.22599537806955675</v>
      </c>
      <c r="M211" s="211">
        <f t="shared" si="43"/>
        <v>-6.9977767355397846E-2</v>
      </c>
      <c r="N211" s="616">
        <v>180338.42</v>
      </c>
      <c r="O211" s="280">
        <v>0.22599537806955675</v>
      </c>
      <c r="P211" s="211">
        <f t="shared" si="45"/>
        <v>-6.9977767355397846E-2</v>
      </c>
    </row>
    <row r="212" spans="1:16" x14ac:dyDescent="0.2">
      <c r="A212" s="667">
        <v>9431</v>
      </c>
      <c r="B212" s="663" t="s">
        <v>742</v>
      </c>
      <c r="C212" s="662">
        <v>98287346.239999995</v>
      </c>
      <c r="D212" s="397">
        <v>98287346.239999995</v>
      </c>
      <c r="E212" s="398">
        <v>89498375.260000005</v>
      </c>
      <c r="F212" s="412">
        <f t="shared" si="40"/>
        <v>0.91057881491134263</v>
      </c>
      <c r="G212" s="398">
        <v>89498375.260000005</v>
      </c>
      <c r="H212" s="412">
        <f t="shared" si="41"/>
        <v>0.91057881491134263</v>
      </c>
      <c r="I212" s="398">
        <v>22432102.539999999</v>
      </c>
      <c r="J212" s="427">
        <f t="shared" si="42"/>
        <v>0.22822981185416122</v>
      </c>
      <c r="K212" s="616">
        <v>84274401.209999993</v>
      </c>
      <c r="L212" s="412">
        <v>0.94587005248899569</v>
      </c>
      <c r="M212" s="211">
        <f t="shared" si="43"/>
        <v>6.1987673302864588E-2</v>
      </c>
      <c r="N212" s="665">
        <v>16253391.82</v>
      </c>
      <c r="O212" s="412">
        <v>0.18242308878112068</v>
      </c>
      <c r="P212" s="443">
        <f t="shared" si="45"/>
        <v>0.38014900449252798</v>
      </c>
    </row>
    <row r="213" spans="1:16" ht="13.5" thickBot="1" x14ac:dyDescent="0.25">
      <c r="A213" s="18">
        <v>9</v>
      </c>
      <c r="B213" s="2" t="s">
        <v>535</v>
      </c>
      <c r="C213" s="201">
        <f>SUBTOTAL(9,DTProg!C66:C78)</f>
        <v>496436210.86000007</v>
      </c>
      <c r="D213" s="207">
        <f>SUBTOTAL(9,DTProg!D66:D78)</f>
        <v>477612919.35000002</v>
      </c>
      <c r="E213" s="203">
        <f>SUBTOTAL(9,DTProg!E66:E78)</f>
        <v>286170744.86000001</v>
      </c>
      <c r="F213" s="535">
        <f t="shared" si="40"/>
        <v>0.59916876882111925</v>
      </c>
      <c r="G213" s="203">
        <f>SUBTOTAL(9,DTProg!G66:G78)</f>
        <v>268399830.29000002</v>
      </c>
      <c r="H213" s="535">
        <f t="shared" si="41"/>
        <v>0.56196099271199496</v>
      </c>
      <c r="I213" s="203">
        <f>SUBTOTAL(9,DTProg!I66:I78)</f>
        <v>84800093.570000008</v>
      </c>
      <c r="J213" s="536">
        <f t="shared" si="42"/>
        <v>0.17754983195472893</v>
      </c>
      <c r="K213" s="568">
        <f>SUM(K193:K212)</f>
        <v>257115695.30000001</v>
      </c>
      <c r="L213" s="90">
        <v>0.62483520227226996</v>
      </c>
      <c r="M213" s="647">
        <f>+G213/K213-1</f>
        <v>4.3887382980777545E-2</v>
      </c>
      <c r="N213" s="568">
        <f>SUM(N193:N212)</f>
        <v>74803090.900000006</v>
      </c>
      <c r="O213" s="90">
        <v>0.18178433011861528</v>
      </c>
      <c r="P213" s="647">
        <f>+I213/N213-1</f>
        <v>0.1336442458422531</v>
      </c>
    </row>
    <row r="214" spans="1:16" ht="13.5" thickBot="1" x14ac:dyDescent="0.25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2750964399.9899988</v>
      </c>
      <c r="E214" s="209">
        <f>SUM(E85,E87:E120,E122:E130,E135:E147,E149:E172,E174:E179,E184:E191,E193:E212)</f>
        <v>1707558811.0000002</v>
      </c>
      <c r="F214" s="181">
        <f t="shared" si="40"/>
        <v>0.62071279839397708</v>
      </c>
      <c r="G214" s="209">
        <f>SUM(G85,G87:G120,G122:G130,G135:G147,G149:G172,G174:G179,G184:G191,G193:G212)</f>
        <v>1645383549.2100008</v>
      </c>
      <c r="H214" s="181">
        <f t="shared" si="41"/>
        <v>0.59811153834487374</v>
      </c>
      <c r="I214" s="209">
        <f>SUM(I85,I87:I120,I122:I130,I135:I147,I149:I172,I174:I179,I184:I191,I193:I212)</f>
        <v>450784923.18000001</v>
      </c>
      <c r="J214" s="173">
        <f t="shared" si="42"/>
        <v>0.16386432451893557</v>
      </c>
      <c r="K214" s="154">
        <f>K86+K121+K148+K173+K192+K213</f>
        <v>1570698252.4199998</v>
      </c>
      <c r="L214" s="181">
        <v>0.63632331786873131</v>
      </c>
      <c r="M214" s="181">
        <f>+G214/K214-1</f>
        <v>4.7549105421701432E-2</v>
      </c>
      <c r="N214" s="576">
        <f>N86+N121+N148+N173+N192+N213</f>
        <v>570962466.83000004</v>
      </c>
      <c r="O214" s="181">
        <v>0.2313090567917887</v>
      </c>
      <c r="P214" s="630">
        <f>+I214/N214-1</f>
        <v>-0.21048238830343646</v>
      </c>
    </row>
    <row r="296" spans="1:16" x14ac:dyDescent="0.2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220"/>
  <sheetViews>
    <sheetView topLeftCell="A203" zoomScaleNormal="100" workbookViewId="0">
      <pane xSplit="1" topLeftCell="E1" activePane="topRight" state="frozen"/>
      <selection activeCell="N21" sqref="N21"/>
      <selection pane="topRight" activeCell="N212" sqref="N21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7"/>
      <c r="P1" s="522"/>
    </row>
    <row r="2" spans="1:16" x14ac:dyDescent="0.2">
      <c r="A2" s="753" t="s">
        <v>465</v>
      </c>
      <c r="B2" s="754"/>
      <c r="C2" s="164" t="s">
        <v>767</v>
      </c>
      <c r="D2" s="739" t="s">
        <v>781</v>
      </c>
      <c r="E2" s="740"/>
      <c r="F2" s="740"/>
      <c r="G2" s="740"/>
      <c r="H2" s="740"/>
      <c r="I2" s="740"/>
      <c r="J2" s="741"/>
      <c r="K2" s="748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611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3" t="s">
        <v>766</v>
      </c>
      <c r="N4" s="564" t="s">
        <v>17</v>
      </c>
      <c r="O4" s="89" t="s">
        <v>18</v>
      </c>
      <c r="P4" s="612" t="s">
        <v>766</v>
      </c>
    </row>
    <row r="5" spans="1:16" x14ac:dyDescent="0.2">
      <c r="A5" s="17" t="s">
        <v>53</v>
      </c>
      <c r="B5" s="13" t="s">
        <v>96</v>
      </c>
      <c r="C5" s="530">
        <v>24060000</v>
      </c>
      <c r="D5" s="516">
        <v>24060000</v>
      </c>
      <c r="E5" s="180">
        <v>3249948.29</v>
      </c>
      <c r="F5" s="78">
        <f>+E5/D5</f>
        <v>0.13507682003325022</v>
      </c>
      <c r="G5" s="180">
        <v>3249948.29</v>
      </c>
      <c r="H5" s="78">
        <f>+G5/D5</f>
        <v>0.13507682003325022</v>
      </c>
      <c r="I5" s="180">
        <v>3249948.29</v>
      </c>
      <c r="J5" s="172">
        <f>I5/D5</f>
        <v>0.13507682003325022</v>
      </c>
      <c r="K5" s="180">
        <v>4837577.93</v>
      </c>
      <c r="L5" s="78">
        <v>0.13193003769672032</v>
      </c>
      <c r="M5" s="245">
        <f>+G5/K5-1</f>
        <v>-0.32818688669683094</v>
      </c>
      <c r="N5" s="180">
        <v>4837577.93</v>
      </c>
      <c r="O5" s="172">
        <v>0.13193003769672032</v>
      </c>
      <c r="P5" s="245">
        <f>+I5/N5-1</f>
        <v>-0.32818688669683094</v>
      </c>
    </row>
    <row r="6" spans="1:16" x14ac:dyDescent="0.2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3249948.29</v>
      </c>
      <c r="F6" s="90">
        <f t="shared" ref="F6:F27" si="0">+E6/D6</f>
        <v>0.13507682003325022</v>
      </c>
      <c r="G6" s="203">
        <f>SUBTOTAL(9,G5:G5)</f>
        <v>3249948.29</v>
      </c>
      <c r="H6" s="90">
        <f>+G6/D6</f>
        <v>0.13507682003325022</v>
      </c>
      <c r="I6" s="203">
        <f>SUBTOTAL(9,I5:I5)</f>
        <v>3249948.29</v>
      </c>
      <c r="J6" s="170">
        <f>+I6/D6</f>
        <v>0.13507682003325022</v>
      </c>
      <c r="K6" s="568">
        <f>SUBTOTAL(9,K5:K5)</f>
        <v>4837577.93</v>
      </c>
      <c r="L6" s="90">
        <v>0.13193003769672032</v>
      </c>
      <c r="M6" s="213">
        <f>+G6/K6-1</f>
        <v>-0.32818688669683094</v>
      </c>
      <c r="N6" s="568">
        <f>SUBTOTAL(9,N5:N5)</f>
        <v>4837577.93</v>
      </c>
      <c r="O6" s="170">
        <v>0.13193003769672032</v>
      </c>
      <c r="P6" s="213">
        <f>+I6/N6-1</f>
        <v>-0.32818688669683094</v>
      </c>
    </row>
    <row r="7" spans="1:16" x14ac:dyDescent="0.2">
      <c r="A7" s="37" t="s">
        <v>54</v>
      </c>
      <c r="B7" s="38" t="s">
        <v>501</v>
      </c>
      <c r="C7" s="198">
        <v>8245978.9400000004</v>
      </c>
      <c r="D7" s="30">
        <v>19522107.91</v>
      </c>
      <c r="E7" s="30">
        <v>2384654.4</v>
      </c>
      <c r="F7" s="414">
        <f>+E7/D7</f>
        <v>0.12215148133560337</v>
      </c>
      <c r="G7" s="30">
        <v>1978292.56</v>
      </c>
      <c r="H7" s="48">
        <f>+G7/D7</f>
        <v>0.10133601192659324</v>
      </c>
      <c r="I7" s="30">
        <v>1664064.25</v>
      </c>
      <c r="J7" s="153">
        <f>I7/D7</f>
        <v>8.523998830820928E-2</v>
      </c>
      <c r="K7" s="30">
        <v>1977774.0800000001</v>
      </c>
      <c r="L7" s="48">
        <v>0.24054222269752376</v>
      </c>
      <c r="M7" s="210">
        <f>+G7/K7-1</f>
        <v>2.6215329912715468E-4</v>
      </c>
      <c r="N7" s="30">
        <v>1736195.29</v>
      </c>
      <c r="O7" s="153">
        <v>0.21116075810517843</v>
      </c>
      <c r="P7" s="210">
        <f>+I7/N7-1</f>
        <v>-4.1545464623395034E-2</v>
      </c>
    </row>
    <row r="8" spans="1:16" x14ac:dyDescent="0.2">
      <c r="A8" s="39" t="s">
        <v>55</v>
      </c>
      <c r="B8" s="40" t="s">
        <v>106</v>
      </c>
      <c r="C8" s="199">
        <v>169263309.75999999</v>
      </c>
      <c r="D8" s="32">
        <v>169608455.03</v>
      </c>
      <c r="E8" s="32">
        <v>42554973.700000003</v>
      </c>
      <c r="F8" s="130">
        <f t="shared" ref="F8:F45" si="1">+E8/D8</f>
        <v>0.25090125190087348</v>
      </c>
      <c r="G8" s="32">
        <v>41633053.630000003</v>
      </c>
      <c r="H8" s="280">
        <f t="shared" ref="H8:H45" si="2">+G8/D8</f>
        <v>0.24546567341018485</v>
      </c>
      <c r="I8" s="32">
        <v>36090695.299999997</v>
      </c>
      <c r="J8" s="153">
        <f t="shared" ref="J8:J26" si="3">I8/D8</f>
        <v>0.21278830288039796</v>
      </c>
      <c r="K8" s="32">
        <v>45457908.840000004</v>
      </c>
      <c r="L8" s="280">
        <v>0.2544359811758487</v>
      </c>
      <c r="M8" s="210">
        <f>+G8/K8-1</f>
        <v>-8.4140588680893691E-2</v>
      </c>
      <c r="N8" s="32">
        <v>39007857.68</v>
      </c>
      <c r="O8" s="178">
        <v>0.21833390042890202</v>
      </c>
      <c r="P8" s="210">
        <f>+I8/N8-1</f>
        <v>-7.4783967987446798E-2</v>
      </c>
    </row>
    <row r="9" spans="1:16" x14ac:dyDescent="0.2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">
      <c r="A10" s="39">
        <v>134</v>
      </c>
      <c r="B10" s="40" t="s">
        <v>468</v>
      </c>
      <c r="C10" s="199">
        <v>14562809.07</v>
      </c>
      <c r="D10" s="32">
        <v>14666964.640000001</v>
      </c>
      <c r="E10" s="32">
        <v>10140021.810000001</v>
      </c>
      <c r="F10" s="130">
        <f t="shared" si="1"/>
        <v>0.69135107766919657</v>
      </c>
      <c r="G10" s="32">
        <v>9926200.1799999997</v>
      </c>
      <c r="H10" s="280">
        <f t="shared" si="2"/>
        <v>0.67677262635031477</v>
      </c>
      <c r="I10" s="32">
        <v>1396880.34</v>
      </c>
      <c r="J10" s="153">
        <f t="shared" si="3"/>
        <v>9.5239906435064539E-2</v>
      </c>
      <c r="K10" s="32">
        <v>9746321.5899999999</v>
      </c>
      <c r="L10" s="280">
        <v>0.65617794149066477</v>
      </c>
      <c r="M10" s="210">
        <f t="shared" ref="M10:M20" si="4">+G10/K10-1</f>
        <v>1.8456049119552898E-2</v>
      </c>
      <c r="N10" s="32">
        <v>813065.82</v>
      </c>
      <c r="O10" s="178">
        <v>5.4740226980753606E-2</v>
      </c>
      <c r="P10" s="210">
        <f t="shared" ref="P10:P20" si="5">+I10/N10-1</f>
        <v>0.71804090842239576</v>
      </c>
    </row>
    <row r="11" spans="1:16" x14ac:dyDescent="0.2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69769.86</v>
      </c>
      <c r="F11" s="130">
        <f t="shared" si="1"/>
        <v>0.21429654124319827</v>
      </c>
      <c r="G11" s="32">
        <v>69769.86</v>
      </c>
      <c r="H11" s="280">
        <f t="shared" si="2"/>
        <v>0.21429654124319827</v>
      </c>
      <c r="I11" s="32">
        <v>69769.86</v>
      </c>
      <c r="J11" s="153">
        <f t="shared" si="3"/>
        <v>0.21429654124319827</v>
      </c>
      <c r="K11" s="32">
        <v>101964.29</v>
      </c>
      <c r="L11" s="280">
        <v>0.22913457986798527</v>
      </c>
      <c r="M11" s="210">
        <f t="shared" si="4"/>
        <v>-0.31574220739437298</v>
      </c>
      <c r="N11" s="32">
        <v>101964.29</v>
      </c>
      <c r="O11" s="178">
        <v>0.22913457986798527</v>
      </c>
      <c r="P11" s="210">
        <f t="shared" si="5"/>
        <v>-0.31574220739437298</v>
      </c>
    </row>
    <row r="12" spans="1:16" x14ac:dyDescent="0.2">
      <c r="A12" s="39">
        <v>136</v>
      </c>
      <c r="B12" s="40" t="s">
        <v>469</v>
      </c>
      <c r="C12" s="199">
        <v>40845954.75</v>
      </c>
      <c r="D12" s="32">
        <v>41702601.43</v>
      </c>
      <c r="E12" s="32">
        <v>11127530.460000001</v>
      </c>
      <c r="F12" s="130">
        <f t="shared" si="1"/>
        <v>0.266830607166753</v>
      </c>
      <c r="G12" s="32">
        <v>10707460.970000001</v>
      </c>
      <c r="H12" s="280">
        <f t="shared" si="2"/>
        <v>0.25675762669082008</v>
      </c>
      <c r="I12" s="32">
        <v>8483243.3800000008</v>
      </c>
      <c r="J12" s="153">
        <f t="shared" si="3"/>
        <v>0.20342240265849049</v>
      </c>
      <c r="K12" s="32">
        <v>11282100.34</v>
      </c>
      <c r="L12" s="280">
        <v>0.26344024478317324</v>
      </c>
      <c r="M12" s="210">
        <f t="shared" si="4"/>
        <v>-5.0933722683058402E-2</v>
      </c>
      <c r="N12" s="32">
        <v>9776119.1500000004</v>
      </c>
      <c r="O12" s="178">
        <v>0.22827515660133438</v>
      </c>
      <c r="P12" s="210">
        <f t="shared" si="5"/>
        <v>-0.13224836462841183</v>
      </c>
    </row>
    <row r="13" spans="1:16" x14ac:dyDescent="0.2">
      <c r="A13" s="39" t="s">
        <v>58</v>
      </c>
      <c r="B13" s="40" t="s">
        <v>744</v>
      </c>
      <c r="C13" s="199">
        <v>27221948.489999998</v>
      </c>
      <c r="D13" s="32">
        <v>28177703.109999999</v>
      </c>
      <c r="E13" s="32">
        <v>10442727.59</v>
      </c>
      <c r="F13" s="130">
        <f t="shared" si="1"/>
        <v>0.37060251324367083</v>
      </c>
      <c r="G13" s="32">
        <v>9447680.1999999993</v>
      </c>
      <c r="H13" s="280">
        <f t="shared" si="2"/>
        <v>0.33528922365028069</v>
      </c>
      <c r="I13" s="32">
        <v>4172181.41</v>
      </c>
      <c r="J13" s="153">
        <f t="shared" si="3"/>
        <v>0.14806676731998544</v>
      </c>
      <c r="K13" s="32">
        <v>10305643.699999999</v>
      </c>
      <c r="L13" s="280">
        <v>0.47896034015967121</v>
      </c>
      <c r="M13" s="210">
        <f t="shared" si="4"/>
        <v>-8.3251810850010322E-2</v>
      </c>
      <c r="N13" s="32">
        <v>4703082.22</v>
      </c>
      <c r="O13" s="178">
        <v>0.21857827860768189</v>
      </c>
      <c r="P13" s="210">
        <f t="shared" si="5"/>
        <v>-0.1128835910506365</v>
      </c>
    </row>
    <row r="14" spans="1:16" x14ac:dyDescent="0.2">
      <c r="A14" s="39" t="s">
        <v>59</v>
      </c>
      <c r="B14" s="40" t="s">
        <v>476</v>
      </c>
      <c r="C14" s="199">
        <v>26796599.550000001</v>
      </c>
      <c r="D14" s="32">
        <v>26580872.219999999</v>
      </c>
      <c r="E14" s="32">
        <v>15781390.93</v>
      </c>
      <c r="F14" s="130">
        <f t="shared" si="1"/>
        <v>0.59371230557760835</v>
      </c>
      <c r="G14" s="32">
        <v>14989846.74</v>
      </c>
      <c r="H14" s="280">
        <f t="shared" si="2"/>
        <v>0.56393359164193746</v>
      </c>
      <c r="I14" s="32">
        <v>5352532.22</v>
      </c>
      <c r="J14" s="153">
        <f t="shared" si="3"/>
        <v>0.20136781726720929</v>
      </c>
      <c r="K14" s="32">
        <v>15115683.65</v>
      </c>
      <c r="L14" s="280">
        <v>0.55039133355156178</v>
      </c>
      <c r="M14" s="210">
        <f t="shared" si="4"/>
        <v>-8.32492349758851E-3</v>
      </c>
      <c r="N14" s="32">
        <v>4864185.99</v>
      </c>
      <c r="O14" s="178">
        <v>0.17711443793539061</v>
      </c>
      <c r="P14" s="210">
        <f t="shared" si="5"/>
        <v>0.10039629056207189</v>
      </c>
    </row>
    <row r="15" spans="1:16" x14ac:dyDescent="0.2">
      <c r="A15" s="39">
        <v>152</v>
      </c>
      <c r="B15" s="40" t="s">
        <v>470</v>
      </c>
      <c r="C15" s="199">
        <v>28986451.059999999</v>
      </c>
      <c r="D15" s="32">
        <v>28986451.059999999</v>
      </c>
      <c r="E15" s="32">
        <v>25961540.190000001</v>
      </c>
      <c r="F15" s="130">
        <f t="shared" si="1"/>
        <v>0.89564397298107878</v>
      </c>
      <c r="G15" s="32">
        <v>25878418.469999999</v>
      </c>
      <c r="H15" s="280">
        <f t="shared" si="2"/>
        <v>0.8927763670148311</v>
      </c>
      <c r="I15" s="32">
        <v>4343537.53</v>
      </c>
      <c r="J15" s="153">
        <f t="shared" si="3"/>
        <v>0.14984716552603045</v>
      </c>
      <c r="K15" s="32">
        <v>19324142.559999999</v>
      </c>
      <c r="L15" s="280">
        <v>0.82572154961987521</v>
      </c>
      <c r="M15" s="210">
        <f t="shared" si="4"/>
        <v>0.33917551009828606</v>
      </c>
      <c r="N15" s="32">
        <v>7544339.1500000004</v>
      </c>
      <c r="O15" s="178">
        <v>0.32236997809624385</v>
      </c>
      <c r="P15" s="210">
        <f t="shared" si="5"/>
        <v>-0.42426534072238786</v>
      </c>
    </row>
    <row r="16" spans="1:16" x14ac:dyDescent="0.2">
      <c r="A16" s="39" t="s">
        <v>60</v>
      </c>
      <c r="B16" s="40" t="s">
        <v>97</v>
      </c>
      <c r="C16" s="199">
        <v>36362669.469999999</v>
      </c>
      <c r="D16" s="32">
        <v>36635766.759999998</v>
      </c>
      <c r="E16" s="32">
        <v>25327995.620000001</v>
      </c>
      <c r="F16" s="78">
        <f t="shared" si="1"/>
        <v>0.69134613138911694</v>
      </c>
      <c r="G16" s="32">
        <v>24652157.239999998</v>
      </c>
      <c r="H16" s="280">
        <f t="shared" si="2"/>
        <v>0.67289862940485645</v>
      </c>
      <c r="I16" s="32">
        <v>3504311.44</v>
      </c>
      <c r="J16" s="153">
        <f t="shared" si="3"/>
        <v>9.5652739110297799E-2</v>
      </c>
      <c r="K16" s="32">
        <v>19693885.260000002</v>
      </c>
      <c r="L16" s="280">
        <v>0.71863349818843147</v>
      </c>
      <c r="M16" s="210">
        <f t="shared" si="4"/>
        <v>0.25176707970725709</v>
      </c>
      <c r="N16" s="32">
        <v>3312701.74</v>
      </c>
      <c r="O16" s="178">
        <v>0.12088109626120082</v>
      </c>
      <c r="P16" s="210">
        <f t="shared" si="5"/>
        <v>5.7840915071333709E-2</v>
      </c>
    </row>
    <row r="17" spans="1:16" x14ac:dyDescent="0.2">
      <c r="A17" s="39" t="s">
        <v>489</v>
      </c>
      <c r="B17" s="40" t="s">
        <v>162</v>
      </c>
      <c r="C17" s="199">
        <v>18215182.399999999</v>
      </c>
      <c r="D17" s="32">
        <v>18415182.399999999</v>
      </c>
      <c r="E17" s="32">
        <v>18124807.469999999</v>
      </c>
      <c r="F17" s="414">
        <f t="shared" si="1"/>
        <v>0.98423176465523365</v>
      </c>
      <c r="G17" s="32">
        <v>18124807.469999999</v>
      </c>
      <c r="H17" s="280">
        <f t="shared" si="2"/>
        <v>0.98423176465523365</v>
      </c>
      <c r="I17" s="32">
        <v>2955887.95</v>
      </c>
      <c r="J17" s="153">
        <f t="shared" si="3"/>
        <v>0.16051363954994008</v>
      </c>
      <c r="K17" s="32">
        <v>19340617.449999999</v>
      </c>
      <c r="L17" s="280">
        <v>0.87660527272242961</v>
      </c>
      <c r="M17" s="210">
        <f t="shared" si="4"/>
        <v>-6.2863038532412596E-2</v>
      </c>
      <c r="N17" s="32">
        <v>4564460.07</v>
      </c>
      <c r="O17" s="178">
        <v>0.20688221432625414</v>
      </c>
      <c r="P17" s="210">
        <f t="shared" si="5"/>
        <v>-0.35241235443647989</v>
      </c>
    </row>
    <row r="18" spans="1:16" x14ac:dyDescent="0.2">
      <c r="A18" s="39" t="s">
        <v>61</v>
      </c>
      <c r="B18" s="40" t="s">
        <v>478</v>
      </c>
      <c r="C18" s="199">
        <v>8305266.9900000002</v>
      </c>
      <c r="D18" s="32">
        <v>8326562.9900000002</v>
      </c>
      <c r="E18" s="32">
        <v>6341788.7300000004</v>
      </c>
      <c r="F18" s="78">
        <f t="shared" si="1"/>
        <v>0.76163342997781136</v>
      </c>
      <c r="G18" s="32">
        <v>6341788.7300000004</v>
      </c>
      <c r="H18" s="280">
        <f t="shared" si="2"/>
        <v>0.76163342997781136</v>
      </c>
      <c r="I18" s="32">
        <v>1004660.59</v>
      </c>
      <c r="J18" s="153">
        <f t="shared" si="3"/>
        <v>0.12065729775978071</v>
      </c>
      <c r="K18" s="32">
        <v>6140658.3200000003</v>
      </c>
      <c r="L18" s="280">
        <v>0.99583507764852397</v>
      </c>
      <c r="M18" s="210">
        <f t="shared" si="4"/>
        <v>3.2753883951647689E-2</v>
      </c>
      <c r="N18" s="32">
        <v>494119.82</v>
      </c>
      <c r="O18" s="178">
        <v>8.0131774750394305E-2</v>
      </c>
      <c r="P18" s="210">
        <f t="shared" si="5"/>
        <v>1.0332327288551184</v>
      </c>
    </row>
    <row r="19" spans="1:16" x14ac:dyDescent="0.2">
      <c r="A19" s="39" t="s">
        <v>62</v>
      </c>
      <c r="B19" s="40" t="s">
        <v>490</v>
      </c>
      <c r="C19" s="199">
        <v>103800543.09999999</v>
      </c>
      <c r="D19" s="32">
        <v>100328587.58</v>
      </c>
      <c r="E19" s="32">
        <v>92900893.670000002</v>
      </c>
      <c r="F19" s="414">
        <f t="shared" si="1"/>
        <v>0.92596632635660991</v>
      </c>
      <c r="G19" s="32">
        <v>92900893.670000002</v>
      </c>
      <c r="H19" s="280">
        <f t="shared" si="2"/>
        <v>0.92596632635660991</v>
      </c>
      <c r="I19" s="32">
        <v>4537837.92</v>
      </c>
      <c r="J19" s="153">
        <f t="shared" si="3"/>
        <v>4.5229759826745486E-2</v>
      </c>
      <c r="K19" s="32">
        <v>89327989.739999995</v>
      </c>
      <c r="L19" s="280">
        <v>0.61185942821129569</v>
      </c>
      <c r="M19" s="210">
        <f t="shared" si="4"/>
        <v>3.999758575558876E-2</v>
      </c>
      <c r="N19" s="32">
        <v>10965773.83</v>
      </c>
      <c r="O19" s="178">
        <v>7.5110971656779046E-2</v>
      </c>
      <c r="P19" s="210">
        <f t="shared" si="5"/>
        <v>-0.58618169676403031</v>
      </c>
    </row>
    <row r="20" spans="1:16" x14ac:dyDescent="0.2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173631387.11000001</v>
      </c>
      <c r="F20" s="130">
        <f t="shared" si="1"/>
        <v>0.99482093585963505</v>
      </c>
      <c r="G20" s="32">
        <v>173608137.11000001</v>
      </c>
      <c r="H20" s="280">
        <f t="shared" si="2"/>
        <v>0.99468772499756852</v>
      </c>
      <c r="I20" s="32">
        <v>15851685.91</v>
      </c>
      <c r="J20" s="153">
        <f t="shared" si="3"/>
        <v>9.0822225603420112E-2</v>
      </c>
      <c r="K20" s="32">
        <v>174329012.34</v>
      </c>
      <c r="L20" s="280">
        <v>0.98543521457595007</v>
      </c>
      <c r="M20" s="210">
        <f t="shared" si="4"/>
        <v>-4.1351420530855165E-3</v>
      </c>
      <c r="N20" s="32">
        <v>15127785.09</v>
      </c>
      <c r="O20" s="178">
        <v>8.5513317296540867E-2</v>
      </c>
      <c r="P20" s="210">
        <f t="shared" si="5"/>
        <v>4.7852399785777155E-2</v>
      </c>
    </row>
    <row r="21" spans="1:16" x14ac:dyDescent="0.2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">
      <c r="A22" s="39" t="s">
        <v>65</v>
      </c>
      <c r="B22" s="40" t="s">
        <v>99</v>
      </c>
      <c r="C22" s="199">
        <v>29617801.809999999</v>
      </c>
      <c r="D22" s="32">
        <v>29549630.02</v>
      </c>
      <c r="E22" s="32">
        <v>24164746.690000001</v>
      </c>
      <c r="F22" s="130">
        <f t="shared" si="1"/>
        <v>0.81776816405635666</v>
      </c>
      <c r="G22" s="32">
        <v>24062426.620000001</v>
      </c>
      <c r="H22" s="280">
        <f t="shared" si="2"/>
        <v>0.81430551258049222</v>
      </c>
      <c r="I22" s="32">
        <v>2833691.69</v>
      </c>
      <c r="J22" s="153">
        <f t="shared" si="3"/>
        <v>9.5896012507841202E-2</v>
      </c>
      <c r="K22" s="32">
        <v>21801903.789999999</v>
      </c>
      <c r="L22" s="280">
        <v>0.71095069184967608</v>
      </c>
      <c r="M22" s="210">
        <f>+G22/K22-1</f>
        <v>0.10368465303644037</v>
      </c>
      <c r="N22" s="32">
        <v>1174659.3500000001</v>
      </c>
      <c r="O22" s="178">
        <v>3.8305135442036134E-2</v>
      </c>
      <c r="P22" s="210">
        <f>+I22/N22-1</f>
        <v>1.4123518788659877</v>
      </c>
    </row>
    <row r="23" spans="1:16" x14ac:dyDescent="0.2">
      <c r="A23" s="39" t="s">
        <v>66</v>
      </c>
      <c r="B23" s="40" t="s">
        <v>112</v>
      </c>
      <c r="C23" s="199">
        <v>1946253.38</v>
      </c>
      <c r="D23" s="32">
        <v>2306840.9</v>
      </c>
      <c r="E23" s="32">
        <v>2243741.7999999998</v>
      </c>
      <c r="F23" s="130">
        <f t="shared" si="1"/>
        <v>0.9726469649467373</v>
      </c>
      <c r="G23" s="32">
        <v>1479784.45</v>
      </c>
      <c r="H23" s="280">
        <f t="shared" si="2"/>
        <v>0.64147659684722946</v>
      </c>
      <c r="I23" s="32">
        <v>297905.19</v>
      </c>
      <c r="J23" s="153">
        <f t="shared" si="3"/>
        <v>0.12913989430307049</v>
      </c>
      <c r="K23" s="32">
        <v>513920.4</v>
      </c>
      <c r="L23" s="280">
        <v>0.34666934007665118</v>
      </c>
      <c r="M23" s="210">
        <f>+G23/K23-1</f>
        <v>1.8794039894115895</v>
      </c>
      <c r="N23" s="32">
        <v>185964.19</v>
      </c>
      <c r="O23" s="178">
        <v>0.12544371273292318</v>
      </c>
      <c r="P23" s="210">
        <f>+I23/N23-1</f>
        <v>0.6019492247405267</v>
      </c>
    </row>
    <row r="24" spans="1:16" x14ac:dyDescent="0.2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48748731.82</v>
      </c>
      <c r="F24" s="130">
        <f t="shared" si="1"/>
        <v>0.99890649760465833</v>
      </c>
      <c r="G24" s="32">
        <v>48748731.82</v>
      </c>
      <c r="H24" s="280">
        <f t="shared" si="2"/>
        <v>0.99890649760465833</v>
      </c>
      <c r="I24" s="32">
        <v>8000000</v>
      </c>
      <c r="J24" s="153">
        <f t="shared" si="3"/>
        <v>0.16392738195414386</v>
      </c>
      <c r="K24" s="32">
        <v>47823873</v>
      </c>
      <c r="L24" s="280">
        <v>0.99905252263540734</v>
      </c>
      <c r="M24" s="210">
        <f>+G24/K24-1</f>
        <v>1.9338852376092674E-2</v>
      </c>
      <c r="N24" s="32">
        <v>9000000</v>
      </c>
      <c r="O24" s="178">
        <v>0.18801222359633371</v>
      </c>
      <c r="P24" s="210">
        <f>+I24/N24-1</f>
        <v>-0.11111111111111116</v>
      </c>
    </row>
    <row r="25" spans="1:16" x14ac:dyDescent="0.2">
      <c r="A25" s="41" t="s">
        <v>492</v>
      </c>
      <c r="B25" s="42" t="s">
        <v>493</v>
      </c>
      <c r="C25" s="199">
        <v>3847206.77</v>
      </c>
      <c r="D25" s="32">
        <v>4199405.3499999996</v>
      </c>
      <c r="E25" s="32">
        <v>2995178.59</v>
      </c>
      <c r="F25" s="130">
        <f t="shared" si="1"/>
        <v>0.71323874224239869</v>
      </c>
      <c r="G25" s="32">
        <v>2419341.85</v>
      </c>
      <c r="H25" s="280">
        <f t="shared" si="2"/>
        <v>0.57611534214004856</v>
      </c>
      <c r="I25" s="32">
        <v>169347.06</v>
      </c>
      <c r="J25" s="153">
        <f t="shared" si="3"/>
        <v>4.0326438122959482E-2</v>
      </c>
      <c r="K25" s="32">
        <v>925552.53</v>
      </c>
      <c r="L25" s="390">
        <v>0.47813496660133975</v>
      </c>
      <c r="M25" s="210">
        <f>+G25/K25-1</f>
        <v>1.6139433166478407</v>
      </c>
      <c r="N25" s="32">
        <v>239593.11</v>
      </c>
      <c r="O25" s="178">
        <v>0.12377238453203851</v>
      </c>
      <c r="P25" s="210">
        <f>+I25/N25-1</f>
        <v>-0.29318894019949071</v>
      </c>
    </row>
    <row r="26" spans="1:16" x14ac:dyDescent="0.2">
      <c r="A26" s="667" t="s">
        <v>68</v>
      </c>
      <c r="B26" s="663" t="s">
        <v>131</v>
      </c>
      <c r="C26" s="662">
        <v>3772412.45</v>
      </c>
      <c r="D26" s="397">
        <v>3779582.45</v>
      </c>
      <c r="E26" s="398">
        <v>2597328.11</v>
      </c>
      <c r="F26" s="130">
        <f t="shared" si="1"/>
        <v>0.68719974874473233</v>
      </c>
      <c r="G26" s="398">
        <v>2381480.2799999998</v>
      </c>
      <c r="H26" s="280">
        <f t="shared" si="2"/>
        <v>0.63009083979633773</v>
      </c>
      <c r="I26" s="398">
        <v>483886.68</v>
      </c>
      <c r="J26" s="153">
        <f t="shared" si="3"/>
        <v>0.12802649139192609</v>
      </c>
      <c r="K26" s="398">
        <v>1260608.19</v>
      </c>
      <c r="L26" s="412">
        <v>0.69305552158381389</v>
      </c>
      <c r="M26" s="443">
        <f>+G26/K26-1</f>
        <v>0.88915183868510317</v>
      </c>
      <c r="N26" s="398">
        <v>339625</v>
      </c>
      <c r="O26" s="427">
        <v>0.1867185882061442</v>
      </c>
      <c r="P26" s="443">
        <f>+I26/N26-1</f>
        <v>0.42476755244755249</v>
      </c>
    </row>
    <row r="27" spans="1:16" x14ac:dyDescent="0.2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823162792.81999993</v>
      </c>
      <c r="E27" s="203">
        <f>SUBTOTAL(9,E7:E26)</f>
        <v>515539208.55000001</v>
      </c>
      <c r="F27" s="90">
        <f t="shared" si="0"/>
        <v>0.62629070828609767</v>
      </c>
      <c r="G27" s="203">
        <f>SUBTOTAL(9,G7:G26)</f>
        <v>509350271.84999996</v>
      </c>
      <c r="H27" s="90">
        <f t="shared" si="2"/>
        <v>0.61877222378463237</v>
      </c>
      <c r="I27" s="203">
        <f>SUBTOTAL(9,I7:I26)</f>
        <v>101212118.72000001</v>
      </c>
      <c r="J27" s="170">
        <f t="shared" ref="J27" si="6">+I27/D27</f>
        <v>0.12295516707365557</v>
      </c>
      <c r="K27" s="568">
        <f>SUM(K7:K26)</f>
        <v>494469560.06999993</v>
      </c>
      <c r="L27" s="90">
        <v>0.58616762719283166</v>
      </c>
      <c r="M27" s="213">
        <f t="shared" ref="M27" si="7">+G27/K27-1</f>
        <v>3.0094292918442678E-2</v>
      </c>
      <c r="N27" s="568">
        <f>SUBTOTAL(9,N7:N26)</f>
        <v>113951491.78999999</v>
      </c>
      <c r="O27" s="170">
        <v>0.13508349340689829</v>
      </c>
      <c r="P27" s="213">
        <f t="shared" ref="P27:P32" si="8">+I27/N27-1</f>
        <v>-0.11179645715807951</v>
      </c>
    </row>
    <row r="28" spans="1:16" x14ac:dyDescent="0.2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120902.14</v>
      </c>
      <c r="F28" s="414">
        <f t="shared" si="1"/>
        <v>0.21576607844651746</v>
      </c>
      <c r="G28" s="30">
        <v>120902.14</v>
      </c>
      <c r="H28" s="48">
        <f t="shared" si="2"/>
        <v>0.21576607844651746</v>
      </c>
      <c r="I28" s="30">
        <v>120902.14</v>
      </c>
      <c r="J28" s="153">
        <f>I28/D28</f>
        <v>0.21576607844651746</v>
      </c>
      <c r="K28" s="30">
        <v>126675.7</v>
      </c>
      <c r="L28" s="48">
        <v>0.21318626370110716</v>
      </c>
      <c r="M28" s="210">
        <f>+G28/K28-1</f>
        <v>-4.5577486447677007E-2</v>
      </c>
      <c r="N28" s="30">
        <v>126675.7</v>
      </c>
      <c r="O28" s="153">
        <v>0.21318626370110716</v>
      </c>
      <c r="P28" s="210">
        <f t="shared" si="8"/>
        <v>-4.5577486447677007E-2</v>
      </c>
    </row>
    <row r="29" spans="1:16" x14ac:dyDescent="0.2">
      <c r="A29" s="39" t="s">
        <v>70</v>
      </c>
      <c r="B29" s="40" t="s">
        <v>745</v>
      </c>
      <c r="C29" s="199">
        <v>27012393.300000001</v>
      </c>
      <c r="D29" s="32">
        <v>27400545.5</v>
      </c>
      <c r="E29" s="32">
        <v>8247362.4299999997</v>
      </c>
      <c r="F29" s="130">
        <f t="shared" si="1"/>
        <v>0.30099263644221974</v>
      </c>
      <c r="G29" s="32">
        <v>6826441.9000000004</v>
      </c>
      <c r="H29" s="280">
        <f t="shared" si="2"/>
        <v>0.24913525535467898</v>
      </c>
      <c r="I29" s="32">
        <v>4247742.5199999996</v>
      </c>
      <c r="J29" s="153">
        <f t="shared" ref="J29:J32" si="9">I29/D29</f>
        <v>0.15502401293434101</v>
      </c>
      <c r="K29" s="32">
        <v>5924306.5700000003</v>
      </c>
      <c r="L29" s="280">
        <v>0.26486721576903388</v>
      </c>
      <c r="M29" s="211">
        <f>+G29/K29-1</f>
        <v>0.15227694909785883</v>
      </c>
      <c r="N29" s="32">
        <v>4312159.24</v>
      </c>
      <c r="O29" s="153">
        <v>0.19279043012986974</v>
      </c>
      <c r="P29" s="211">
        <f t="shared" si="8"/>
        <v>-1.4938390818795666E-2</v>
      </c>
    </row>
    <row r="30" spans="1:16" x14ac:dyDescent="0.2">
      <c r="A30" s="39" t="s">
        <v>71</v>
      </c>
      <c r="B30" s="40" t="s">
        <v>479</v>
      </c>
      <c r="C30" s="199">
        <v>243331620.75999999</v>
      </c>
      <c r="D30" s="32">
        <v>248952232.44</v>
      </c>
      <c r="E30" s="32">
        <v>212595111.25999999</v>
      </c>
      <c r="F30" s="130">
        <f t="shared" si="1"/>
        <v>0.85395944907317733</v>
      </c>
      <c r="G30" s="32">
        <v>203117020.03</v>
      </c>
      <c r="H30" s="280">
        <f t="shared" si="2"/>
        <v>0.81588752203277892</v>
      </c>
      <c r="I30" s="32">
        <v>44290952.359999999</v>
      </c>
      <c r="J30" s="153">
        <f t="shared" si="9"/>
        <v>0.17790944040108003</v>
      </c>
      <c r="K30" s="32">
        <v>153036514.47</v>
      </c>
      <c r="L30" s="280">
        <v>0.84820032938027223</v>
      </c>
      <c r="M30" s="211">
        <f>+G30/K30-1</f>
        <v>0.32724546643943175</v>
      </c>
      <c r="N30" s="32">
        <v>42177546.450000003</v>
      </c>
      <c r="O30" s="153">
        <v>0.23376779662839728</v>
      </c>
      <c r="P30" s="211">
        <f t="shared" si="8"/>
        <v>5.0107369628656917E-2</v>
      </c>
    </row>
    <row r="31" spans="1:16" x14ac:dyDescent="0.2">
      <c r="A31" s="39" t="s">
        <v>72</v>
      </c>
      <c r="B31" s="40" t="s">
        <v>101</v>
      </c>
      <c r="C31" s="199">
        <v>39641547.32</v>
      </c>
      <c r="D31" s="32">
        <v>39715617.149999999</v>
      </c>
      <c r="E31" s="32">
        <v>27042120.670000002</v>
      </c>
      <c r="F31" s="414">
        <f t="shared" si="1"/>
        <v>0.68089388030572262</v>
      </c>
      <c r="G31" s="32">
        <v>14776147.26</v>
      </c>
      <c r="H31" s="280">
        <f t="shared" si="2"/>
        <v>0.37204878887296861</v>
      </c>
      <c r="I31" s="32">
        <v>2369542.04</v>
      </c>
      <c r="J31" s="153">
        <f t="shared" si="9"/>
        <v>5.9662727411501401E-2</v>
      </c>
      <c r="K31" s="32">
        <v>12266616.199999999</v>
      </c>
      <c r="L31" s="280">
        <v>0.42789178017864299</v>
      </c>
      <c r="M31" s="211">
        <f>+G31/K31-1</f>
        <v>0.20458217809080881</v>
      </c>
      <c r="N31" s="32">
        <v>2741072.47</v>
      </c>
      <c r="O31" s="153">
        <v>9.5615804690047296E-2</v>
      </c>
      <c r="P31" s="211">
        <f t="shared" si="8"/>
        <v>-0.13554199462665073</v>
      </c>
    </row>
    <row r="32" spans="1:16" x14ac:dyDescent="0.2">
      <c r="A32" s="41">
        <v>234</v>
      </c>
      <c r="B32" s="42" t="s">
        <v>431</v>
      </c>
      <c r="C32" s="199">
        <v>10668077.699999999</v>
      </c>
      <c r="D32" s="32">
        <v>10666625.029999999</v>
      </c>
      <c r="E32" s="32">
        <v>10566894.73</v>
      </c>
      <c r="F32" s="130">
        <f t="shared" si="1"/>
        <v>0.99065024787882705</v>
      </c>
      <c r="G32" s="32">
        <v>10508445.6</v>
      </c>
      <c r="H32" s="280">
        <f t="shared" si="2"/>
        <v>0.98517062055194415</v>
      </c>
      <c r="I32" s="32">
        <v>1802375.87</v>
      </c>
      <c r="J32" s="153">
        <f t="shared" si="9"/>
        <v>0.16897339738959588</v>
      </c>
      <c r="K32" s="32">
        <v>8729160.3399999999</v>
      </c>
      <c r="L32" s="243">
        <v>0.97811375592876448</v>
      </c>
      <c r="M32" s="520">
        <f>+G32/K32-1</f>
        <v>0.20383234935514993</v>
      </c>
      <c r="N32" s="32">
        <v>2757115.74</v>
      </c>
      <c r="O32" s="153">
        <v>0.30893840036643377</v>
      </c>
      <c r="P32" s="520">
        <f t="shared" si="8"/>
        <v>-0.34628211509176621</v>
      </c>
    </row>
    <row r="33" spans="1:16" x14ac:dyDescent="0.2">
      <c r="A33" s="18">
        <v>2</v>
      </c>
      <c r="B33" s="518" t="s">
        <v>125</v>
      </c>
      <c r="C33" s="201">
        <f>SUBTOTAL(9,C28:C32)</f>
        <v>321210830.55999994</v>
      </c>
      <c r="D33" s="207">
        <f>SUBTOTAL(9,D28:D32)</f>
        <v>327295359.07999992</v>
      </c>
      <c r="E33" s="203">
        <f>SUBTOTAL(9,E28:E32)</f>
        <v>258572391.22999999</v>
      </c>
      <c r="F33" s="90">
        <f>E33/D33</f>
        <v>0.79002767395427032</v>
      </c>
      <c r="G33" s="203">
        <f>SUBTOTAL(9,G28:G32)</f>
        <v>235348956.92999998</v>
      </c>
      <c r="H33" s="90">
        <f t="shared" si="2"/>
        <v>0.71907208703339498</v>
      </c>
      <c r="I33" s="203">
        <f>SUBTOTAL(9,I28:I32)</f>
        <v>52831514.929999992</v>
      </c>
      <c r="J33" s="170">
        <f>I33/D33</f>
        <v>0.16141846642282065</v>
      </c>
      <c r="K33" s="568">
        <f>SUM(K28:K32)</f>
        <v>180083273.28</v>
      </c>
      <c r="L33" s="90">
        <v>0.73856520893235933</v>
      </c>
      <c r="M33" s="213">
        <f t="shared" ref="M33:M56" si="10">+G33/K33-1</f>
        <v>0.30688959970241592</v>
      </c>
      <c r="N33" s="568">
        <f>SUBTOTAL(9,N28:N32)</f>
        <v>52114569.600000001</v>
      </c>
      <c r="O33" s="170">
        <v>0.21373449784643975</v>
      </c>
      <c r="P33" s="213">
        <f t="shared" ref="P33:P55" si="11">+I33/N33-1</f>
        <v>1.3757099703649578E-2</v>
      </c>
    </row>
    <row r="34" spans="1:16" x14ac:dyDescent="0.2">
      <c r="A34" s="37" t="s">
        <v>494</v>
      </c>
      <c r="B34" s="38" t="s">
        <v>472</v>
      </c>
      <c r="C34" s="198">
        <v>19998074.850000001</v>
      </c>
      <c r="D34" s="30">
        <v>19983074.850000001</v>
      </c>
      <c r="E34" s="30">
        <v>18090513.149999999</v>
      </c>
      <c r="F34" s="78">
        <f t="shared" si="1"/>
        <v>0.90529176744789086</v>
      </c>
      <c r="G34" s="30">
        <v>17780123.399999999</v>
      </c>
      <c r="H34" s="280">
        <f t="shared" si="2"/>
        <v>0.8897591353414761</v>
      </c>
      <c r="I34" s="30">
        <v>5785201.7699999996</v>
      </c>
      <c r="J34" s="153">
        <f>I34/D34</f>
        <v>0.28950508434891836</v>
      </c>
      <c r="K34" s="30">
        <v>16110733.17</v>
      </c>
      <c r="L34" s="48">
        <v>0.97035956626289366</v>
      </c>
      <c r="M34" s="210">
        <f t="shared" si="10"/>
        <v>0.10361975537578827</v>
      </c>
      <c r="N34" s="30">
        <v>5183836.0999999996</v>
      </c>
      <c r="O34" s="153">
        <v>0.31222570050012999</v>
      </c>
      <c r="P34" s="210">
        <f t="shared" si="11"/>
        <v>0.11600784793330954</v>
      </c>
    </row>
    <row r="35" spans="1:16" x14ac:dyDescent="0.2">
      <c r="A35" s="37" t="s">
        <v>73</v>
      </c>
      <c r="B35" s="38" t="s">
        <v>132</v>
      </c>
      <c r="C35" s="199">
        <v>2248848</v>
      </c>
      <c r="D35" s="32">
        <v>2248848</v>
      </c>
      <c r="E35" s="32">
        <v>2248848</v>
      </c>
      <c r="F35" s="78">
        <f t="shared" si="1"/>
        <v>1</v>
      </c>
      <c r="G35" s="32">
        <v>2248848</v>
      </c>
      <c r="H35" s="280">
        <f t="shared" si="2"/>
        <v>1</v>
      </c>
      <c r="I35" s="32">
        <v>750000</v>
      </c>
      <c r="J35" s="153">
        <f t="shared" ref="J35:J45" si="12">I35/D35</f>
        <v>0.3335040874260955</v>
      </c>
      <c r="K35" s="32">
        <v>2248848</v>
      </c>
      <c r="L35" s="48">
        <v>1</v>
      </c>
      <c r="M35" s="210">
        <f t="shared" si="10"/>
        <v>0</v>
      </c>
      <c r="N35" s="32">
        <v>750000</v>
      </c>
      <c r="O35" s="153">
        <v>0.3335040874260955</v>
      </c>
      <c r="P35" s="210">
        <f t="shared" si="11"/>
        <v>0</v>
      </c>
    </row>
    <row r="36" spans="1:16" x14ac:dyDescent="0.2">
      <c r="A36" s="37">
        <v>313</v>
      </c>
      <c r="B36" s="38" t="s">
        <v>763</v>
      </c>
      <c r="C36" s="199">
        <v>9000</v>
      </c>
      <c r="D36" s="32">
        <v>9000</v>
      </c>
      <c r="E36" s="32">
        <v>6000</v>
      </c>
      <c r="F36" s="78">
        <f t="shared" si="1"/>
        <v>0.66666666666666663</v>
      </c>
      <c r="G36" s="32">
        <v>0</v>
      </c>
      <c r="H36" s="280">
        <f t="shared" si="2"/>
        <v>0</v>
      </c>
      <c r="I36" s="32">
        <v>0</v>
      </c>
      <c r="J36" s="153">
        <f t="shared" si="12"/>
        <v>0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">
      <c r="A37" s="39" t="s">
        <v>74</v>
      </c>
      <c r="B37" s="40" t="s">
        <v>656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0</v>
      </c>
      <c r="J37" s="153">
        <f t="shared" si="12"/>
        <v>0</v>
      </c>
      <c r="K37" s="32">
        <v>8261679.1600000001</v>
      </c>
      <c r="L37" s="280">
        <v>1</v>
      </c>
      <c r="M37" s="212">
        <f t="shared" si="10"/>
        <v>0.29210254758912702</v>
      </c>
      <c r="N37" s="32">
        <v>3000000</v>
      </c>
      <c r="O37" s="178">
        <v>0.36312230745111629</v>
      </c>
      <c r="P37" s="210">
        <f t="shared" si="11"/>
        <v>-1</v>
      </c>
    </row>
    <row r="38" spans="1:16" x14ac:dyDescent="0.2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23120700</v>
      </c>
      <c r="J38" s="153">
        <f t="shared" si="12"/>
        <v>0.54818547777101911</v>
      </c>
      <c r="K38" s="32">
        <v>39307154.049999997</v>
      </c>
      <c r="L38" s="610">
        <v>1</v>
      </c>
      <c r="M38" s="211">
        <f t="shared" si="10"/>
        <v>7.3005261493868101E-2</v>
      </c>
      <c r="N38" s="32">
        <v>21040000</v>
      </c>
      <c r="O38" s="178">
        <v>0.53527151757759994</v>
      </c>
      <c r="P38" s="210">
        <f t="shared" si="11"/>
        <v>9.8892585551330736E-2</v>
      </c>
    </row>
    <row r="39" spans="1:16" x14ac:dyDescent="0.2">
      <c r="A39" s="39">
        <v>324</v>
      </c>
      <c r="B39" s="40" t="s">
        <v>474</v>
      </c>
      <c r="C39" s="199">
        <v>8163831</v>
      </c>
      <c r="D39" s="32">
        <v>8163831</v>
      </c>
      <c r="E39" s="32">
        <v>7463831</v>
      </c>
      <c r="F39" s="78">
        <f t="shared" si="1"/>
        <v>0.91425594184886971</v>
      </c>
      <c r="G39" s="32">
        <v>7463831</v>
      </c>
      <c r="H39" s="280">
        <f t="shared" si="2"/>
        <v>0.91425594184886971</v>
      </c>
      <c r="I39" s="32">
        <v>0</v>
      </c>
      <c r="J39" s="153">
        <f t="shared" si="12"/>
        <v>0</v>
      </c>
      <c r="K39" s="32">
        <v>7493661</v>
      </c>
      <c r="L39" s="280">
        <v>1</v>
      </c>
      <c r="M39" s="211">
        <f t="shared" si="10"/>
        <v>-3.9806978191300191E-3</v>
      </c>
      <c r="N39" s="32">
        <v>29830</v>
      </c>
      <c r="O39" s="178">
        <v>3.9806978191300624E-3</v>
      </c>
      <c r="P39" s="210">
        <f t="shared" si="11"/>
        <v>-1</v>
      </c>
    </row>
    <row r="40" spans="1:16" x14ac:dyDescent="0.2">
      <c r="A40" s="39" t="s">
        <v>473</v>
      </c>
      <c r="B40" s="40" t="s">
        <v>114</v>
      </c>
      <c r="C40" s="199">
        <v>17924191.510000002</v>
      </c>
      <c r="D40" s="32">
        <v>17908489.32</v>
      </c>
      <c r="E40" s="32">
        <v>17173806.329999998</v>
      </c>
      <c r="F40" s="78">
        <f t="shared" si="1"/>
        <v>0.95897571387110159</v>
      </c>
      <c r="G40" s="32">
        <v>16978068.530000001</v>
      </c>
      <c r="H40" s="280">
        <f t="shared" si="2"/>
        <v>0.94804582489484945</v>
      </c>
      <c r="I40" s="32">
        <v>70246.2</v>
      </c>
      <c r="J40" s="153">
        <f t="shared" si="12"/>
        <v>3.9225084117815471E-3</v>
      </c>
      <c r="K40" s="32">
        <v>13740845.58</v>
      </c>
      <c r="L40" s="280">
        <v>0.964514849327477</v>
      </c>
      <c r="M40" s="211">
        <f t="shared" si="10"/>
        <v>0.23559124736194015</v>
      </c>
      <c r="N40" s="32">
        <v>52137.15</v>
      </c>
      <c r="O40" s="178">
        <v>3.6596769160849611E-3</v>
      </c>
      <c r="P40" s="210">
        <f t="shared" si="11"/>
        <v>0.34733486582983519</v>
      </c>
    </row>
    <row r="41" spans="1:16" x14ac:dyDescent="0.2">
      <c r="A41" s="39">
        <v>328</v>
      </c>
      <c r="B41" s="40" t="s">
        <v>432</v>
      </c>
      <c r="C41" s="199">
        <v>9502324.5999999996</v>
      </c>
      <c r="D41" s="32">
        <v>9502324.5999999996</v>
      </c>
      <c r="E41" s="32">
        <v>9502324.5999999996</v>
      </c>
      <c r="F41" s="78">
        <f t="shared" si="1"/>
        <v>1</v>
      </c>
      <c r="G41" s="32">
        <v>9502324.5999999996</v>
      </c>
      <c r="H41" s="280">
        <f t="shared" si="2"/>
        <v>1</v>
      </c>
      <c r="I41" s="32">
        <v>0</v>
      </c>
      <c r="J41" s="153">
        <f t="shared" si="12"/>
        <v>0</v>
      </c>
      <c r="K41" s="32">
        <v>9039781.6799999997</v>
      </c>
      <c r="L41" s="280">
        <v>1</v>
      </c>
      <c r="M41" s="212">
        <f t="shared" si="10"/>
        <v>5.1167487929863364E-2</v>
      </c>
      <c r="N41" s="32">
        <v>0</v>
      </c>
      <c r="O41" s="178">
        <v>0</v>
      </c>
      <c r="P41" s="210" t="s">
        <v>129</v>
      </c>
    </row>
    <row r="42" spans="1:16" x14ac:dyDescent="0.2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11200000</v>
      </c>
      <c r="J42" s="153">
        <f t="shared" si="12"/>
        <v>0.33556854422076976</v>
      </c>
      <c r="K42" s="32">
        <v>28919222.559999999</v>
      </c>
      <c r="L42" s="610">
        <v>1</v>
      </c>
      <c r="M42" s="211">
        <f t="shared" si="10"/>
        <v>0.15411786920457238</v>
      </c>
      <c r="N42" s="32">
        <v>13500000</v>
      </c>
      <c r="O42" s="178">
        <v>0.46681752844465124</v>
      </c>
      <c r="P42" s="210">
        <f t="shared" si="11"/>
        <v>-0.17037037037037039</v>
      </c>
    </row>
    <row r="43" spans="1:16" x14ac:dyDescent="0.2">
      <c r="A43" s="39" t="s">
        <v>433</v>
      </c>
      <c r="B43" s="40" t="s">
        <v>502</v>
      </c>
      <c r="C43" s="199">
        <v>24741430.09</v>
      </c>
      <c r="D43" s="32">
        <v>26999978.949999999</v>
      </c>
      <c r="E43" s="32">
        <v>12514472.689999999</v>
      </c>
      <c r="F43" s="78">
        <f t="shared" si="1"/>
        <v>0.463499349876345</v>
      </c>
      <c r="G43" s="32">
        <v>12514472.689999999</v>
      </c>
      <c r="H43" s="280">
        <f t="shared" si="2"/>
        <v>0.463499349876345</v>
      </c>
      <c r="I43" s="32">
        <v>1334616.6499999999</v>
      </c>
      <c r="J43" s="153">
        <f t="shared" si="12"/>
        <v>4.9430284833610949E-2</v>
      </c>
      <c r="K43" s="32">
        <v>10341859.550000001</v>
      </c>
      <c r="L43" s="280">
        <v>0.84914356615979958</v>
      </c>
      <c r="M43" s="211">
        <f t="shared" si="10"/>
        <v>0.21007954415702712</v>
      </c>
      <c r="N43" s="32">
        <v>558053.57999999996</v>
      </c>
      <c r="O43" s="178">
        <v>4.5820348336624135E-2</v>
      </c>
      <c r="P43" s="210">
        <f t="shared" si="11"/>
        <v>1.3915564702586445</v>
      </c>
    </row>
    <row r="44" spans="1:16" x14ac:dyDescent="0.2">
      <c r="A44" s="39" t="s">
        <v>76</v>
      </c>
      <c r="B44" s="40" t="s">
        <v>110</v>
      </c>
      <c r="C44" s="199">
        <v>12623127.310000001</v>
      </c>
      <c r="D44" s="32">
        <v>12615513.119999999</v>
      </c>
      <c r="E44" s="32">
        <v>12522188.5</v>
      </c>
      <c r="F44" s="78">
        <f t="shared" si="1"/>
        <v>0.99260239206187761</v>
      </c>
      <c r="G44" s="32">
        <v>12427044.130000001</v>
      </c>
      <c r="H44" s="280">
        <f t="shared" si="2"/>
        <v>0.98506053711749475</v>
      </c>
      <c r="I44" s="32">
        <v>7012764.8399999999</v>
      </c>
      <c r="J44" s="153">
        <f t="shared" si="12"/>
        <v>0.55588423342704274</v>
      </c>
      <c r="K44" s="32">
        <v>12352958.27</v>
      </c>
      <c r="L44" s="280">
        <v>0.99037580520137958</v>
      </c>
      <c r="M44" s="211">
        <f t="shared" si="10"/>
        <v>5.9974184629056904E-3</v>
      </c>
      <c r="N44" s="32">
        <v>6498.84</v>
      </c>
      <c r="O44" s="178">
        <v>5.2103259455720105E-4</v>
      </c>
      <c r="P44" s="210">
        <f t="shared" si="11"/>
        <v>1078.0794726443487</v>
      </c>
    </row>
    <row r="45" spans="1:16" x14ac:dyDescent="0.2">
      <c r="A45" s="39" t="s">
        <v>77</v>
      </c>
      <c r="B45" s="40" t="s">
        <v>481</v>
      </c>
      <c r="C45" s="199">
        <v>65286878.990000002</v>
      </c>
      <c r="D45" s="32">
        <v>65286878.990000002</v>
      </c>
      <c r="E45" s="32">
        <v>65286878.990000002</v>
      </c>
      <c r="F45" s="414">
        <f t="shared" si="1"/>
        <v>1</v>
      </c>
      <c r="G45" s="32">
        <v>65286878.990000002</v>
      </c>
      <c r="H45" s="280">
        <f t="shared" si="2"/>
        <v>1</v>
      </c>
      <c r="I45" s="32">
        <v>13000000</v>
      </c>
      <c r="J45" s="153">
        <f t="shared" si="12"/>
        <v>0.19912117413349184</v>
      </c>
      <c r="K45" s="32">
        <v>64496879.130000003</v>
      </c>
      <c r="L45" s="280">
        <v>1</v>
      </c>
      <c r="M45" s="211">
        <f t="shared" si="10"/>
        <v>1.2248652503134005E-2</v>
      </c>
      <c r="N45" s="32">
        <v>38000000</v>
      </c>
      <c r="O45" s="178">
        <v>0.58917579443506318</v>
      </c>
      <c r="P45" s="210">
        <f t="shared" si="11"/>
        <v>-0.65789473684210531</v>
      </c>
    </row>
    <row r="46" spans="1:16" ht="15.75" thickBot="1" x14ac:dyDescent="0.3">
      <c r="A46" s="7" t="s">
        <v>19</v>
      </c>
      <c r="N46" s="97"/>
      <c r="P46" s="522"/>
    </row>
    <row r="47" spans="1:16" x14ac:dyDescent="0.2">
      <c r="A47" s="753" t="s">
        <v>465</v>
      </c>
      <c r="B47" s="754"/>
      <c r="C47" s="164" t="s">
        <v>767</v>
      </c>
      <c r="D47" s="739" t="s">
        <v>781</v>
      </c>
      <c r="E47" s="740"/>
      <c r="F47" s="740"/>
      <c r="G47" s="740"/>
      <c r="H47" s="740"/>
      <c r="I47" s="740"/>
      <c r="J47" s="741"/>
      <c r="K47" s="748" t="s">
        <v>782</v>
      </c>
      <c r="L47" s="749"/>
      <c r="M47" s="749"/>
      <c r="N47" s="749"/>
      <c r="O47" s="749"/>
      <c r="P47" s="752"/>
    </row>
    <row r="48" spans="1:16" x14ac:dyDescent="0.2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545</v>
      </c>
      <c r="L48" s="88" t="s">
        <v>546</v>
      </c>
      <c r="M48" s="88" t="s">
        <v>547</v>
      </c>
      <c r="N48" s="87" t="s">
        <v>39</v>
      </c>
      <c r="O48" s="88" t="s">
        <v>40</v>
      </c>
      <c r="P48" s="611" t="s">
        <v>362</v>
      </c>
    </row>
    <row r="49" spans="1:16" x14ac:dyDescent="0.2">
      <c r="A49" s="681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13" t="s">
        <v>766</v>
      </c>
      <c r="N49" s="564" t="s">
        <v>17</v>
      </c>
      <c r="O49" s="89" t="s">
        <v>18</v>
      </c>
      <c r="P49" s="612" t="s">
        <v>766</v>
      </c>
    </row>
    <row r="50" spans="1:16" x14ac:dyDescent="0.2">
      <c r="A50" s="37" t="s">
        <v>78</v>
      </c>
      <c r="B50" s="40" t="s">
        <v>102</v>
      </c>
      <c r="C50" s="199">
        <v>17748245.370000001</v>
      </c>
      <c r="D50" s="32">
        <v>17686904.239999998</v>
      </c>
      <c r="E50" s="32">
        <v>16820470.18</v>
      </c>
      <c r="F50" s="414">
        <f>+E50/D50</f>
        <v>0.95101267874563911</v>
      </c>
      <c r="G50" s="30">
        <v>16626386.83</v>
      </c>
      <c r="H50" s="48">
        <f>+G50/D50</f>
        <v>0.94003939889030586</v>
      </c>
      <c r="I50" s="30">
        <v>876014.32</v>
      </c>
      <c r="J50" s="153">
        <f t="shared" ref="J50:J80" si="13">+I50/D50</f>
        <v>4.9528979640136278E-2</v>
      </c>
      <c r="K50" s="30">
        <v>15395977.710000001</v>
      </c>
      <c r="L50" s="48">
        <v>0.93056039935193957</v>
      </c>
      <c r="M50" s="210">
        <f t="shared" si="10"/>
        <v>7.9917569587076187E-2</v>
      </c>
      <c r="N50" s="30">
        <v>964474.06</v>
      </c>
      <c r="O50" s="153">
        <v>5.8294535322381061E-2</v>
      </c>
      <c r="P50" s="210">
        <f t="shared" si="11"/>
        <v>-9.1718112149123066E-2</v>
      </c>
    </row>
    <row r="51" spans="1:16" x14ac:dyDescent="0.2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">
      <c r="A52" s="39" t="s">
        <v>497</v>
      </c>
      <c r="B52" s="40" t="s">
        <v>483</v>
      </c>
      <c r="C52" s="199">
        <v>15245118.1</v>
      </c>
      <c r="D52" s="32">
        <v>15888148.949999999</v>
      </c>
      <c r="E52" s="32">
        <v>13238212.24</v>
      </c>
      <c r="F52" s="130">
        <f t="shared" si="14"/>
        <v>0.83321299930285464</v>
      </c>
      <c r="G52" s="32">
        <v>12471469.92</v>
      </c>
      <c r="H52" s="280">
        <f t="shared" si="15"/>
        <v>0.78495424226243804</v>
      </c>
      <c r="I52" s="32">
        <v>3508460.62</v>
      </c>
      <c r="J52" s="178">
        <f t="shared" si="13"/>
        <v>0.22082249046387498</v>
      </c>
      <c r="K52" s="32">
        <v>9503788.5</v>
      </c>
      <c r="L52" s="280">
        <v>0.74363367917455936</v>
      </c>
      <c r="M52" s="211">
        <f t="shared" si="10"/>
        <v>0.31226299070102415</v>
      </c>
      <c r="N52" s="32">
        <v>3700421.74</v>
      </c>
      <c r="O52" s="178">
        <v>0.28954329455182265</v>
      </c>
      <c r="P52" s="211">
        <f t="shared" si="11"/>
        <v>-5.1875470821334035E-2</v>
      </c>
    </row>
    <row r="53" spans="1:16" x14ac:dyDescent="0.2">
      <c r="A53" s="39">
        <v>338</v>
      </c>
      <c r="B53" s="40" t="s">
        <v>428</v>
      </c>
      <c r="C53" s="199">
        <v>8127724.7699999996</v>
      </c>
      <c r="D53" s="32">
        <v>8057094.6399999997</v>
      </c>
      <c r="E53" s="32">
        <v>6997868.4000000004</v>
      </c>
      <c r="F53" s="130">
        <f t="shared" si="14"/>
        <v>0.86853496361561922</v>
      </c>
      <c r="G53" s="32">
        <v>6794585.4400000004</v>
      </c>
      <c r="H53" s="280">
        <f t="shared" si="15"/>
        <v>0.84330465801752086</v>
      </c>
      <c r="I53" s="32">
        <v>432063.54</v>
      </c>
      <c r="J53" s="178">
        <f t="shared" si="13"/>
        <v>5.3625228361472987E-2</v>
      </c>
      <c r="K53" s="32">
        <v>4777635.42</v>
      </c>
      <c r="L53" s="280">
        <v>0.71895787695913294</v>
      </c>
      <c r="M53" s="211">
        <f t="shared" si="10"/>
        <v>0.42216490851451383</v>
      </c>
      <c r="N53" s="32">
        <v>315396.28000000003</v>
      </c>
      <c r="O53" s="178">
        <v>4.7462106237819261E-2</v>
      </c>
      <c r="P53" s="211">
        <f t="shared" si="11"/>
        <v>0.36990689934580057</v>
      </c>
    </row>
    <row r="54" spans="1:16" x14ac:dyDescent="0.2">
      <c r="A54" s="39" t="s">
        <v>79</v>
      </c>
      <c r="B54" s="40" t="s">
        <v>115</v>
      </c>
      <c r="C54" s="199">
        <v>14042820.529999999</v>
      </c>
      <c r="D54" s="32">
        <v>13053133.460000001</v>
      </c>
      <c r="E54" s="32">
        <v>12134166.24</v>
      </c>
      <c r="F54" s="130">
        <f t="shared" si="14"/>
        <v>0.92959796030462094</v>
      </c>
      <c r="G54" s="32">
        <v>12053735.460000001</v>
      </c>
      <c r="H54" s="280">
        <f t="shared" si="15"/>
        <v>0.92343616166474096</v>
      </c>
      <c r="I54" s="32">
        <v>1547573.07</v>
      </c>
      <c r="J54" s="392">
        <f t="shared" si="13"/>
        <v>0.11855950716679488</v>
      </c>
      <c r="K54" s="32">
        <v>11144308.779999999</v>
      </c>
      <c r="L54" s="412">
        <v>0.97824053667359068</v>
      </c>
      <c r="M54" s="211">
        <f t="shared" si="10"/>
        <v>8.1604583824175236E-2</v>
      </c>
      <c r="N54" s="32">
        <v>3929241.42</v>
      </c>
      <c r="O54" s="392">
        <v>0.34490638327601164</v>
      </c>
      <c r="P54" s="211">
        <f t="shared" si="11"/>
        <v>-0.60613947971667259</v>
      </c>
    </row>
    <row r="55" spans="1:16" x14ac:dyDescent="0.2">
      <c r="A55" s="39">
        <v>342</v>
      </c>
      <c r="B55" s="40" t="s">
        <v>484</v>
      </c>
      <c r="C55" s="199">
        <v>5455050.5800000001</v>
      </c>
      <c r="D55" s="32">
        <v>6445868.8799999999</v>
      </c>
      <c r="E55" s="32">
        <v>6403992.3399999999</v>
      </c>
      <c r="F55" s="130">
        <f t="shared" si="14"/>
        <v>0.99350335218112595</v>
      </c>
      <c r="G55" s="32">
        <v>6349638.4000000004</v>
      </c>
      <c r="H55" s="280">
        <f t="shared" si="15"/>
        <v>0.98507098394468129</v>
      </c>
      <c r="I55" s="32">
        <v>1306276.68</v>
      </c>
      <c r="J55" s="392">
        <f t="shared" si="13"/>
        <v>0.20265331242667164</v>
      </c>
      <c r="K55" s="32">
        <v>4610331.54</v>
      </c>
      <c r="L55" s="130">
        <v>0.9861227576750623</v>
      </c>
      <c r="M55" s="211">
        <f t="shared" si="10"/>
        <v>0.37726285949491611</v>
      </c>
      <c r="N55" s="32">
        <v>4515.24</v>
      </c>
      <c r="O55" s="392">
        <v>9.6578323743822295E-4</v>
      </c>
      <c r="P55" s="211">
        <f t="shared" si="11"/>
        <v>288.30393068806973</v>
      </c>
    </row>
    <row r="56" spans="1:16" x14ac:dyDescent="0.2">
      <c r="A56" s="667">
        <v>343</v>
      </c>
      <c r="B56" s="669" t="s">
        <v>435</v>
      </c>
      <c r="C56" s="662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66">
        <f t="shared" si="10"/>
        <v>-0.14322142208192024</v>
      </c>
      <c r="N56" s="398">
        <v>0</v>
      </c>
      <c r="O56" s="178">
        <v>0</v>
      </c>
      <c r="P56" s="666" t="s">
        <v>129</v>
      </c>
    </row>
    <row r="57" spans="1:16" x14ac:dyDescent="0.2">
      <c r="A57" s="532">
        <v>3</v>
      </c>
      <c r="B57" s="2" t="s">
        <v>124</v>
      </c>
      <c r="C57" s="201">
        <f>SUM(C34:C45,C50:C56)</f>
        <v>314074850.86000001</v>
      </c>
      <c r="D57" s="207">
        <f>SUM(D34:D45,D50:D56)</f>
        <v>316807274.16000003</v>
      </c>
      <c r="E57" s="203">
        <f>SUM(E34:E45,E50:E56)</f>
        <v>293361757.81999999</v>
      </c>
      <c r="F57" s="90">
        <f>+E57/D57</f>
        <v>0.92599438759048469</v>
      </c>
      <c r="G57" s="203">
        <f>SUM(G34:G45,G50:G56)</f>
        <v>291455592.55000001</v>
      </c>
      <c r="H57" s="90">
        <f>+G57/D57</f>
        <v>0.9199775899173438</v>
      </c>
      <c r="I57" s="203">
        <f>SUM(I34:I45,I50:I56)</f>
        <v>69943917.689999998</v>
      </c>
      <c r="J57" s="170">
        <f t="shared" si="13"/>
        <v>0.22077749911346919</v>
      </c>
      <c r="K57" s="568">
        <f>SUM(K34:K56)</f>
        <v>265565663.44</v>
      </c>
      <c r="L57" s="90">
        <v>0.96499999999999997</v>
      </c>
      <c r="M57" s="213">
        <f t="shared" ref="M57:M64" si="16">+G57/K57-1</f>
        <v>9.7489746131466326E-2</v>
      </c>
      <c r="N57" s="568">
        <f>SUBTOTAL(9,N34:N56)</f>
        <v>91034404.409999996</v>
      </c>
      <c r="O57" s="170">
        <v>0.35799999999999998</v>
      </c>
      <c r="P57" s="213">
        <f t="shared" ref="P57:P64" si="17">+I57/N57-1</f>
        <v>-0.23167600048233239</v>
      </c>
    </row>
    <row r="58" spans="1:16" x14ac:dyDescent="0.2">
      <c r="A58" s="37">
        <v>430</v>
      </c>
      <c r="B58" s="38" t="s">
        <v>746</v>
      </c>
      <c r="C58" s="198">
        <v>4583248.97</v>
      </c>
      <c r="D58" s="30">
        <v>5226567.25</v>
      </c>
      <c r="E58" s="30">
        <v>1099254.1200000001</v>
      </c>
      <c r="F58" s="414">
        <f t="shared" si="14"/>
        <v>0.21032047755627753</v>
      </c>
      <c r="G58" s="30">
        <v>990254.12</v>
      </c>
      <c r="H58" s="414">
        <f>G58/D58</f>
        <v>0.18946548903584853</v>
      </c>
      <c r="I58" s="30">
        <v>959822.52</v>
      </c>
      <c r="J58" s="153">
        <f t="shared" si="13"/>
        <v>0.18364300583714865</v>
      </c>
      <c r="K58" s="30">
        <v>1076551.42</v>
      </c>
      <c r="L58" s="48">
        <v>0.30826670771424336</v>
      </c>
      <c r="M58" s="210">
        <f t="shared" si="16"/>
        <v>-8.0160871461207095E-2</v>
      </c>
      <c r="N58" s="30">
        <v>840016.99</v>
      </c>
      <c r="O58" s="153">
        <v>0.24053590671157027</v>
      </c>
      <c r="P58" s="210">
        <f t="shared" si="17"/>
        <v>0.14262274623754934</v>
      </c>
    </row>
    <row r="59" spans="1:16" x14ac:dyDescent="0.2">
      <c r="A59" s="37" t="s">
        <v>80</v>
      </c>
      <c r="B59" s="38" t="s">
        <v>103</v>
      </c>
      <c r="C59" s="199">
        <v>9677634.6099999994</v>
      </c>
      <c r="D59" s="32">
        <v>9643444.6099999994</v>
      </c>
      <c r="E59" s="32">
        <v>3928675.3</v>
      </c>
      <c r="F59" s="130">
        <f t="shared" si="14"/>
        <v>0.40739335982975072</v>
      </c>
      <c r="G59" s="32">
        <v>2603253.4</v>
      </c>
      <c r="H59" s="414">
        <f t="shared" ref="H59:H64" si="18">G59/D59</f>
        <v>0.269950573190465</v>
      </c>
      <c r="I59" s="32">
        <v>310325.65000000002</v>
      </c>
      <c r="J59" s="153">
        <f t="shared" si="13"/>
        <v>3.2179958775124862E-2</v>
      </c>
      <c r="K59" s="32">
        <v>927438.54</v>
      </c>
      <c r="L59" s="48">
        <v>0.10961710088562482</v>
      </c>
      <c r="M59" s="210">
        <f t="shared" si="16"/>
        <v>1.806928208957113</v>
      </c>
      <c r="N59" s="32">
        <v>852119.24</v>
      </c>
      <c r="O59" s="153">
        <v>0.10071485782514704</v>
      </c>
      <c r="P59" s="210">
        <f t="shared" si="17"/>
        <v>-0.63581898467636999</v>
      </c>
    </row>
    <row r="60" spans="1:16" x14ac:dyDescent="0.2">
      <c r="A60" s="39" t="s">
        <v>81</v>
      </c>
      <c r="B60" s="40" t="s">
        <v>485</v>
      </c>
      <c r="C60" s="199">
        <v>2743104</v>
      </c>
      <c r="D60" s="32">
        <v>5057715.74</v>
      </c>
      <c r="E60" s="32">
        <v>2793069.95</v>
      </c>
      <c r="F60" s="130">
        <f t="shared" si="14"/>
        <v>0.55223940877309963</v>
      </c>
      <c r="G60" s="32">
        <v>2573249.7999999998</v>
      </c>
      <c r="H60" s="414">
        <f t="shared" si="18"/>
        <v>0.50877707097077773</v>
      </c>
      <c r="I60" s="32">
        <v>1634517.69</v>
      </c>
      <c r="J60" s="178">
        <f t="shared" si="13"/>
        <v>0.32317310304196728</v>
      </c>
      <c r="K60" s="32">
        <v>2457124.6</v>
      </c>
      <c r="L60" s="280">
        <v>0.42094556175982206</v>
      </c>
      <c r="M60" s="210">
        <f t="shared" si="16"/>
        <v>4.7260606971254004E-2</v>
      </c>
      <c r="N60" s="32">
        <v>1613316.03</v>
      </c>
      <c r="O60" s="178">
        <v>0.27638737675105118</v>
      </c>
      <c r="P60" s="210">
        <f t="shared" si="17"/>
        <v>1.31416657404686E-2</v>
      </c>
    </row>
    <row r="61" spans="1:16" x14ac:dyDescent="0.2">
      <c r="A61" s="39" t="s">
        <v>82</v>
      </c>
      <c r="B61" s="40" t="s">
        <v>104</v>
      </c>
      <c r="C61" s="199">
        <v>54474880.619999997</v>
      </c>
      <c r="D61" s="32">
        <v>58184468.060000002</v>
      </c>
      <c r="E61" s="32">
        <v>20497613</v>
      </c>
      <c r="F61" s="130">
        <f t="shared" si="14"/>
        <v>0.35228667861778507</v>
      </c>
      <c r="G61" s="32">
        <v>15177313.17</v>
      </c>
      <c r="H61" s="414">
        <f t="shared" si="18"/>
        <v>0.26084818983562946</v>
      </c>
      <c r="I61" s="32">
        <v>12363862.07</v>
      </c>
      <c r="J61" s="178">
        <f t="shared" si="13"/>
        <v>0.21249420132620869</v>
      </c>
      <c r="K61" s="32">
        <v>12043224.68</v>
      </c>
      <c r="L61" s="280">
        <v>0.18788387862051362</v>
      </c>
      <c r="M61" s="210">
        <f t="shared" si="16"/>
        <v>0.26023665366010595</v>
      </c>
      <c r="N61" s="32">
        <v>8879424.5899999999</v>
      </c>
      <c r="O61" s="178">
        <v>0.13852608219276066</v>
      </c>
      <c r="P61" s="210">
        <f t="shared" si="17"/>
        <v>0.39241703611337275</v>
      </c>
    </row>
    <row r="62" spans="1:16" x14ac:dyDescent="0.2">
      <c r="A62" s="39" t="s">
        <v>83</v>
      </c>
      <c r="B62" s="40" t="s">
        <v>486</v>
      </c>
      <c r="C62" s="199">
        <v>153522597.02000001</v>
      </c>
      <c r="D62" s="32">
        <v>153522597.02000001</v>
      </c>
      <c r="E62" s="32">
        <v>126582428.90000001</v>
      </c>
      <c r="F62" s="130">
        <f t="shared" si="14"/>
        <v>0.82451985152068263</v>
      </c>
      <c r="G62" s="32">
        <v>126582428.90000001</v>
      </c>
      <c r="H62" s="414">
        <f t="shared" si="18"/>
        <v>0.82451985152068263</v>
      </c>
      <c r="I62" s="32">
        <v>38791553.240000002</v>
      </c>
      <c r="J62" s="178">
        <f>+I62/D62</f>
        <v>0.25267650491182397</v>
      </c>
      <c r="K62" s="32">
        <v>127616368</v>
      </c>
      <c r="L62" s="280">
        <v>0.95662009201489961</v>
      </c>
      <c r="M62" s="210">
        <f t="shared" si="16"/>
        <v>-8.1019317208588237E-3</v>
      </c>
      <c r="N62" s="32">
        <v>45484706.719999999</v>
      </c>
      <c r="O62" s="178">
        <v>0.34095614073389963</v>
      </c>
      <c r="P62" s="210">
        <f t="shared" si="17"/>
        <v>-0.14715173434452333</v>
      </c>
    </row>
    <row r="63" spans="1:16" x14ac:dyDescent="0.2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3900000</v>
      </c>
      <c r="J63" s="178">
        <f t="shared" si="13"/>
        <v>0.23118673486082558</v>
      </c>
      <c r="K63" s="32">
        <v>15669752</v>
      </c>
      <c r="L63" s="280">
        <v>0.91320892825922262</v>
      </c>
      <c r="M63" s="210">
        <f t="shared" si="16"/>
        <v>7.6563304894678552E-2</v>
      </c>
      <c r="N63" s="32">
        <v>3800000</v>
      </c>
      <c r="O63" s="178">
        <v>0.22145812693047381</v>
      </c>
      <c r="P63" s="210">
        <f t="shared" si="17"/>
        <v>2.6315789473684292E-2</v>
      </c>
    </row>
    <row r="64" spans="1:16" x14ac:dyDescent="0.2">
      <c r="A64" s="667" t="s">
        <v>84</v>
      </c>
      <c r="B64" s="669" t="s">
        <v>487</v>
      </c>
      <c r="C64" s="662">
        <v>1548192.01</v>
      </c>
      <c r="D64" s="397">
        <v>1483243.86</v>
      </c>
      <c r="E64" s="398">
        <v>610865.56000000006</v>
      </c>
      <c r="F64" s="130">
        <f t="shared" si="14"/>
        <v>0.41184432073091476</v>
      </c>
      <c r="G64" s="398">
        <v>186883.26</v>
      </c>
      <c r="H64" s="414">
        <f t="shared" si="18"/>
        <v>0.1259963145911826</v>
      </c>
      <c r="I64" s="398">
        <v>166598.35</v>
      </c>
      <c r="J64" s="427">
        <f>+I64/D64</f>
        <v>0.11232026943971303</v>
      </c>
      <c r="K64" s="398">
        <v>264694.32</v>
      </c>
      <c r="L64" s="412">
        <v>0.16235293173794121</v>
      </c>
      <c r="M64" s="443">
        <f t="shared" si="16"/>
        <v>-0.29396573375658386</v>
      </c>
      <c r="N64" s="398">
        <v>194287.39</v>
      </c>
      <c r="O64" s="427">
        <v>0.11916813086964906</v>
      </c>
      <c r="P64" s="443">
        <f t="shared" si="17"/>
        <v>-0.14251588844752094</v>
      </c>
    </row>
    <row r="65" spans="1:16" x14ac:dyDescent="0.2">
      <c r="A65" s="532">
        <v>4</v>
      </c>
      <c r="B65" s="2" t="s">
        <v>123</v>
      </c>
      <c r="C65" s="201">
        <f>SUBTOTAL(9,C58:C64)</f>
        <v>243419137.22999999</v>
      </c>
      <c r="D65" s="207">
        <f>SUBTOTAL(9,D58:D64)</f>
        <v>249987516.54000002</v>
      </c>
      <c r="E65" s="203">
        <f>SUBTOTAL(9,E58:E64)</f>
        <v>172381386.83000001</v>
      </c>
      <c r="F65" s="90">
        <f t="shared" ref="F65:F80" si="19">+E65/D65</f>
        <v>0.68955997969769667</v>
      </c>
      <c r="G65" s="203">
        <f>SUBTOTAL(9,G58:G64)</f>
        <v>164982862.65000001</v>
      </c>
      <c r="H65" s="90">
        <f>+G65/D65</f>
        <v>0.65996440515701282</v>
      </c>
      <c r="I65" s="203">
        <f>SUBTOTAL(9,I58:I64)</f>
        <v>58126679.520000003</v>
      </c>
      <c r="J65" s="170">
        <f t="shared" si="13"/>
        <v>0.23251832861301802</v>
      </c>
      <c r="K65" s="568">
        <f>SUM(K58:K64)</f>
        <v>160055153.56</v>
      </c>
      <c r="L65" s="90">
        <v>0.68375620673440762</v>
      </c>
      <c r="M65" s="213">
        <f t="shared" ref="M65:M78" si="20">+G65/K65-1</f>
        <v>3.0787569037274087E-2</v>
      </c>
      <c r="N65" s="568">
        <f>SUBTOTAL(9,N58:N64)</f>
        <v>61663870.960000001</v>
      </c>
      <c r="O65" s="170">
        <v>0.25900000000000001</v>
      </c>
      <c r="P65" s="213">
        <f t="shared" ref="P65:P78" si="21">+I65/N65-1</f>
        <v>-5.7362461761352845E-2</v>
      </c>
    </row>
    <row r="66" spans="1:16" x14ac:dyDescent="0.2">
      <c r="A66" s="37" t="s">
        <v>85</v>
      </c>
      <c r="B66" s="38" t="s">
        <v>113</v>
      </c>
      <c r="C66" s="198">
        <v>30183531.489999998</v>
      </c>
      <c r="D66" s="30">
        <v>30397173.91</v>
      </c>
      <c r="E66" s="30">
        <v>9621224.5399999991</v>
      </c>
      <c r="F66" s="414">
        <f t="shared" si="14"/>
        <v>0.31651707387293754</v>
      </c>
      <c r="G66" s="30">
        <v>8054635.5199999996</v>
      </c>
      <c r="H66" s="414">
        <f>+G66/D66</f>
        <v>0.26497974923090473</v>
      </c>
      <c r="I66" s="30">
        <v>5998515.8399999999</v>
      </c>
      <c r="J66" s="153">
        <f t="shared" si="13"/>
        <v>0.19733794522347423</v>
      </c>
      <c r="K66" s="30">
        <v>9538509.5199999996</v>
      </c>
      <c r="L66" s="48">
        <v>0.33406760620598458</v>
      </c>
      <c r="M66" s="210">
        <f t="shared" si="20"/>
        <v>-0.15556665293342398</v>
      </c>
      <c r="N66" s="30">
        <v>6985851.4900000002</v>
      </c>
      <c r="O66" s="153">
        <v>0.24466576037707943</v>
      </c>
      <c r="P66" s="210">
        <f t="shared" si="21"/>
        <v>-0.14133361572506031</v>
      </c>
    </row>
    <row r="67" spans="1:16" x14ac:dyDescent="0.2">
      <c r="A67" s="39" t="s">
        <v>86</v>
      </c>
      <c r="B67" s="40" t="s">
        <v>747</v>
      </c>
      <c r="C67" s="199">
        <v>56361662.600000001</v>
      </c>
      <c r="D67" s="32">
        <v>58000575.740000002</v>
      </c>
      <c r="E67" s="32">
        <v>19279782.640000001</v>
      </c>
      <c r="F67" s="130">
        <f t="shared" si="14"/>
        <v>0.3324067458644851</v>
      </c>
      <c r="G67" s="32">
        <v>15625362.66</v>
      </c>
      <c r="H67" s="414">
        <f t="shared" ref="H67:H78" si="22">+G67/D67</f>
        <v>0.26940013026843102</v>
      </c>
      <c r="I67" s="32">
        <v>8954876.7300000004</v>
      </c>
      <c r="J67" s="178">
        <f t="shared" si="13"/>
        <v>0.1543928937902643</v>
      </c>
      <c r="K67" s="32">
        <v>14820457.199999999</v>
      </c>
      <c r="L67" s="280">
        <v>0.28522161782262262</v>
      </c>
      <c r="M67" s="211">
        <f t="shared" si="20"/>
        <v>5.431043382386358E-2</v>
      </c>
      <c r="N67" s="32">
        <v>9451237.6199999992</v>
      </c>
      <c r="O67" s="178">
        <v>0.1818902917787471</v>
      </c>
      <c r="P67" s="211">
        <f t="shared" si="21"/>
        <v>-5.2518083869739662E-2</v>
      </c>
    </row>
    <row r="68" spans="1:16" x14ac:dyDescent="0.2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2488374.35</v>
      </c>
      <c r="F68" s="130">
        <f t="shared" si="14"/>
        <v>0.34271799749875814</v>
      </c>
      <c r="G68" s="32">
        <v>2279371.0499999998</v>
      </c>
      <c r="H68" s="414">
        <f t="shared" si="22"/>
        <v>0.31393246028783472</v>
      </c>
      <c r="I68" s="32">
        <v>1308047.47</v>
      </c>
      <c r="J68" s="178">
        <f t="shared" si="13"/>
        <v>0.18015432828734826</v>
      </c>
      <c r="K68" s="32">
        <v>1284935.93</v>
      </c>
      <c r="L68" s="280">
        <v>0.19510795211385135</v>
      </c>
      <c r="M68" s="211">
        <f t="shared" si="20"/>
        <v>0.7739180583112808</v>
      </c>
      <c r="N68" s="32">
        <v>1126635.42</v>
      </c>
      <c r="O68" s="178">
        <v>0.17107119852670694</v>
      </c>
      <c r="P68" s="211">
        <f t="shared" si="21"/>
        <v>0.16102107814078859</v>
      </c>
    </row>
    <row r="69" spans="1:16" x14ac:dyDescent="0.2">
      <c r="A69" s="39" t="s">
        <v>88</v>
      </c>
      <c r="B69" s="40" t="s">
        <v>111</v>
      </c>
      <c r="C69" s="199">
        <v>3332924.07</v>
      </c>
      <c r="D69" s="32">
        <v>2309210.9900000002</v>
      </c>
      <c r="E69" s="32">
        <v>888628.24</v>
      </c>
      <c r="F69" s="130">
        <f t="shared" si="14"/>
        <v>0.38481898962381084</v>
      </c>
      <c r="G69" s="32">
        <v>719343.85</v>
      </c>
      <c r="H69" s="414">
        <f t="shared" si="22"/>
        <v>0.31151066451489556</v>
      </c>
      <c r="I69" s="32">
        <v>380276</v>
      </c>
      <c r="J69" s="178">
        <f t="shared" si="13"/>
        <v>0.16467789285898035</v>
      </c>
      <c r="K69" s="32">
        <v>655306.21</v>
      </c>
      <c r="L69" s="280">
        <v>0.30508076921692795</v>
      </c>
      <c r="M69" s="211">
        <f t="shared" si="20"/>
        <v>9.7721704788971797E-2</v>
      </c>
      <c r="N69" s="32">
        <v>405080.03</v>
      </c>
      <c r="O69" s="178">
        <v>0.18858683964984288</v>
      </c>
      <c r="P69" s="211">
        <f t="shared" si="21"/>
        <v>-6.1232418690203128E-2</v>
      </c>
    </row>
    <row r="70" spans="1:16" x14ac:dyDescent="0.2">
      <c r="A70" s="39" t="s">
        <v>89</v>
      </c>
      <c r="B70" s="40" t="s">
        <v>105</v>
      </c>
      <c r="C70" s="199">
        <v>15684736.65</v>
      </c>
      <c r="D70" s="32">
        <v>15436904.960000001</v>
      </c>
      <c r="E70" s="32">
        <v>8070664.4699999997</v>
      </c>
      <c r="F70" s="130">
        <f t="shared" si="14"/>
        <v>0.52281623103288177</v>
      </c>
      <c r="G70" s="32">
        <v>2881445.83</v>
      </c>
      <c r="H70" s="414">
        <f t="shared" si="22"/>
        <v>0.18665955626897893</v>
      </c>
      <c r="I70" s="32">
        <v>745668.38</v>
      </c>
      <c r="J70" s="178">
        <f t="shared" si="13"/>
        <v>4.8304267075049735E-2</v>
      </c>
      <c r="K70" s="32">
        <v>2888264.5</v>
      </c>
      <c r="L70" s="280">
        <v>0.29382220164954359</v>
      </c>
      <c r="M70" s="211">
        <f t="shared" si="20"/>
        <v>-2.36081910088215E-3</v>
      </c>
      <c r="N70" s="32">
        <v>934138.78</v>
      </c>
      <c r="O70" s="178">
        <v>9.502963214962433E-2</v>
      </c>
      <c r="P70" s="211">
        <f t="shared" si="21"/>
        <v>-0.20175845820253824</v>
      </c>
    </row>
    <row r="71" spans="1:16" x14ac:dyDescent="0.2">
      <c r="A71" s="39" t="s">
        <v>90</v>
      </c>
      <c r="B71" s="40" t="s">
        <v>120</v>
      </c>
      <c r="C71" s="199">
        <v>39167636.100000001</v>
      </c>
      <c r="D71" s="32">
        <v>39884913.460000001</v>
      </c>
      <c r="E71" s="32">
        <v>20382982.539999999</v>
      </c>
      <c r="F71" s="78">
        <f t="shared" si="14"/>
        <v>0.51104492330017959</v>
      </c>
      <c r="G71" s="32">
        <v>15708956.85</v>
      </c>
      <c r="H71" s="414">
        <f t="shared" si="22"/>
        <v>0.39385711255846861</v>
      </c>
      <c r="I71" s="32">
        <v>5532372</v>
      </c>
      <c r="J71" s="178">
        <f t="shared" si="13"/>
        <v>0.13870838670737834</v>
      </c>
      <c r="K71" s="32">
        <v>12754746.6</v>
      </c>
      <c r="L71" s="280">
        <v>0.35326541414023122</v>
      </c>
      <c r="M71" s="211">
        <f t="shared" si="20"/>
        <v>0.23161653795615189</v>
      </c>
      <c r="N71" s="32">
        <v>3786701.69</v>
      </c>
      <c r="O71" s="178">
        <v>0.10487944470361829</v>
      </c>
      <c r="P71" s="211">
        <f t="shared" si="21"/>
        <v>0.46100021942842817</v>
      </c>
    </row>
    <row r="72" spans="1:16" x14ac:dyDescent="0.2">
      <c r="A72" s="39" t="s">
        <v>91</v>
      </c>
      <c r="B72" s="40" t="s">
        <v>488</v>
      </c>
      <c r="C72" s="199">
        <v>42228054.409999996</v>
      </c>
      <c r="D72" s="32">
        <v>46938764.189999998</v>
      </c>
      <c r="E72" s="32">
        <v>34050397.909999996</v>
      </c>
      <c r="F72" s="414">
        <f t="shared" si="14"/>
        <v>0.72542169564093928</v>
      </c>
      <c r="G72" s="32">
        <v>33930085.189999998</v>
      </c>
      <c r="H72" s="414">
        <f t="shared" si="22"/>
        <v>0.72285851098799458</v>
      </c>
      <c r="I72" s="32">
        <v>9000000</v>
      </c>
      <c r="J72" s="178">
        <f t="shared" si="13"/>
        <v>0.1917391766764365</v>
      </c>
      <c r="K72" s="32">
        <v>26782124.75</v>
      </c>
      <c r="L72" s="280">
        <v>0.7367604944960563</v>
      </c>
      <c r="M72" s="211">
        <f t="shared" si="20"/>
        <v>0.26689295590709228</v>
      </c>
      <c r="N72" s="32">
        <v>11000000</v>
      </c>
      <c r="O72" s="178">
        <v>0.30260352810344593</v>
      </c>
      <c r="P72" s="211">
        <f t="shared" si="21"/>
        <v>-0.18181818181818177</v>
      </c>
    </row>
    <row r="73" spans="1:16" x14ac:dyDescent="0.2">
      <c r="A73" s="39" t="s">
        <v>92</v>
      </c>
      <c r="B73" s="40" t="s">
        <v>118</v>
      </c>
      <c r="C73" s="199">
        <v>44564324.299999997</v>
      </c>
      <c r="D73" s="32">
        <v>24073246.75</v>
      </c>
      <c r="E73" s="32">
        <v>1739.5</v>
      </c>
      <c r="F73" s="130">
        <f t="shared" si="14"/>
        <v>7.2258637069800313E-5</v>
      </c>
      <c r="G73" s="32">
        <v>1739.5</v>
      </c>
      <c r="H73" s="414">
        <f t="shared" si="22"/>
        <v>7.2258637069800313E-5</v>
      </c>
      <c r="I73" s="32">
        <v>1739.5</v>
      </c>
      <c r="J73" s="178">
        <f t="shared" si="13"/>
        <v>7.2258637069800313E-5</v>
      </c>
      <c r="K73" s="32">
        <v>1551252.79</v>
      </c>
      <c r="L73" s="280">
        <v>0.1650606634381416</v>
      </c>
      <c r="M73" s="211">
        <f t="shared" si="20"/>
        <v>-0.99887864826982842</v>
      </c>
      <c r="N73" s="32">
        <v>1551252.79</v>
      </c>
      <c r="O73" s="178">
        <v>0.1650606634381416</v>
      </c>
      <c r="P73" s="211">
        <f t="shared" si="21"/>
        <v>-0.99887864826982842</v>
      </c>
    </row>
    <row r="74" spans="1:16" x14ac:dyDescent="0.2">
      <c r="A74" s="39">
        <v>931</v>
      </c>
      <c r="B74" s="40" t="s">
        <v>436</v>
      </c>
      <c r="C74" s="199">
        <v>5805408.6299999999</v>
      </c>
      <c r="D74" s="32">
        <v>5139664.4800000004</v>
      </c>
      <c r="E74" s="32">
        <v>1649293.75</v>
      </c>
      <c r="F74" s="130">
        <f t="shared" si="14"/>
        <v>0.32089521726912412</v>
      </c>
      <c r="G74" s="32">
        <v>1498151.25</v>
      </c>
      <c r="H74" s="414">
        <f t="shared" si="22"/>
        <v>0.29148814204307744</v>
      </c>
      <c r="I74" s="32">
        <v>922420.31</v>
      </c>
      <c r="J74" s="178">
        <f t="shared" si="13"/>
        <v>0.17947091947138152</v>
      </c>
      <c r="K74" s="32">
        <v>1319315.1000000001</v>
      </c>
      <c r="L74" s="280">
        <v>0.26684222430910831</v>
      </c>
      <c r="M74" s="211">
        <f t="shared" si="20"/>
        <v>0.13555226495929595</v>
      </c>
      <c r="N74" s="32">
        <v>922060.4</v>
      </c>
      <c r="O74" s="178">
        <v>0.18649422574133057</v>
      </c>
      <c r="P74" s="211">
        <f t="shared" si="21"/>
        <v>3.9033234699159536E-4</v>
      </c>
    </row>
    <row r="75" spans="1:16" x14ac:dyDescent="0.2">
      <c r="A75" s="39" t="s">
        <v>93</v>
      </c>
      <c r="B75" s="40" t="s">
        <v>107</v>
      </c>
      <c r="C75" s="199">
        <v>28425422.43</v>
      </c>
      <c r="D75" s="32">
        <v>28426191.640000001</v>
      </c>
      <c r="E75" s="32">
        <v>26737433.260000002</v>
      </c>
      <c r="F75" s="130">
        <f t="shared" si="14"/>
        <v>0.94059146573740615</v>
      </c>
      <c r="G75" s="32">
        <v>26573022.559999999</v>
      </c>
      <c r="H75" s="414">
        <f t="shared" si="22"/>
        <v>0.934807690616132</v>
      </c>
      <c r="I75" s="32">
        <v>6977623.9400000004</v>
      </c>
      <c r="J75" s="178">
        <f t="shared" si="13"/>
        <v>0.24546460631685238</v>
      </c>
      <c r="K75" s="32">
        <v>24676338.039999999</v>
      </c>
      <c r="L75" s="280">
        <v>0.98750773407735382</v>
      </c>
      <c r="M75" s="211">
        <f t="shared" si="20"/>
        <v>7.686247922708378E-2</v>
      </c>
      <c r="N75" s="32">
        <v>2587885.0299999998</v>
      </c>
      <c r="O75" s="178">
        <v>0.10356303588828632</v>
      </c>
      <c r="P75" s="211">
        <f t="shared" si="21"/>
        <v>1.696265042346182</v>
      </c>
    </row>
    <row r="76" spans="1:16" x14ac:dyDescent="0.2">
      <c r="A76" s="39" t="s">
        <v>94</v>
      </c>
      <c r="B76" s="40" t="s">
        <v>108</v>
      </c>
      <c r="C76" s="199">
        <v>68365574.019999996</v>
      </c>
      <c r="D76" s="32">
        <v>67679029.939999998</v>
      </c>
      <c r="E76" s="32">
        <v>44833972.020000003</v>
      </c>
      <c r="F76" s="130">
        <f t="shared" si="14"/>
        <v>0.66244997984969645</v>
      </c>
      <c r="G76" s="32">
        <v>43694227.960000001</v>
      </c>
      <c r="H76" s="414">
        <f t="shared" si="22"/>
        <v>0.64560954846333607</v>
      </c>
      <c r="I76" s="32">
        <v>11165915.27</v>
      </c>
      <c r="J76" s="178">
        <f t="shared" si="13"/>
        <v>0.16498338229580126</v>
      </c>
      <c r="K76" s="32">
        <v>55462770.990000002</v>
      </c>
      <c r="L76" s="280">
        <v>0.83313990459173737</v>
      </c>
      <c r="M76" s="211">
        <f t="shared" si="20"/>
        <v>-0.21218815468347019</v>
      </c>
      <c r="N76" s="32">
        <v>9235962.5700000003</v>
      </c>
      <c r="O76" s="178">
        <v>0.13873899260767278</v>
      </c>
      <c r="P76" s="211">
        <f t="shared" si="21"/>
        <v>0.20896064545224746</v>
      </c>
    </row>
    <row r="77" spans="1:16" x14ac:dyDescent="0.2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167718.74</v>
      </c>
      <c r="F77" s="130">
        <f t="shared" si="14"/>
        <v>0.20929966634971561</v>
      </c>
      <c r="G77" s="32">
        <v>167718.74</v>
      </c>
      <c r="H77" s="414">
        <f t="shared" si="22"/>
        <v>0.20929966634971561</v>
      </c>
      <c r="I77" s="32">
        <v>167718.74</v>
      </c>
      <c r="J77" s="178">
        <f t="shared" si="13"/>
        <v>0.20929966634971561</v>
      </c>
      <c r="K77" s="32">
        <v>180338.42</v>
      </c>
      <c r="L77" s="280">
        <v>0.22599537806955675</v>
      </c>
      <c r="M77" s="211">
        <f t="shared" si="20"/>
        <v>-6.9977767355397846E-2</v>
      </c>
      <c r="N77" s="32">
        <v>180338.42</v>
      </c>
      <c r="O77" s="178">
        <v>0.22599537806955675</v>
      </c>
      <c r="P77" s="211">
        <f t="shared" si="21"/>
        <v>-6.9977767355397846E-2</v>
      </c>
    </row>
    <row r="78" spans="1:16" x14ac:dyDescent="0.2">
      <c r="A78" s="667" t="s">
        <v>499</v>
      </c>
      <c r="B78" s="42" t="s">
        <v>119</v>
      </c>
      <c r="C78" s="200">
        <v>97687346.239999995</v>
      </c>
      <c r="D78" s="206">
        <v>97687346.239999995</v>
      </c>
      <c r="E78" s="34">
        <v>89498375.260000005</v>
      </c>
      <c r="F78" s="130">
        <f t="shared" si="14"/>
        <v>0.91617163025514914</v>
      </c>
      <c r="G78" s="34">
        <v>89498375.260000005</v>
      </c>
      <c r="H78" s="414">
        <f t="shared" si="22"/>
        <v>0.91617163025514914</v>
      </c>
      <c r="I78" s="34">
        <v>22432102.539999999</v>
      </c>
      <c r="J78" s="392">
        <f t="shared" si="13"/>
        <v>0.22963160945009617</v>
      </c>
      <c r="K78" s="34">
        <v>84274401.209999993</v>
      </c>
      <c r="L78" s="390">
        <v>0.94587005248899569</v>
      </c>
      <c r="M78" s="520">
        <f t="shared" si="20"/>
        <v>6.1987673302864588E-2</v>
      </c>
      <c r="N78" s="34">
        <v>16253391.82</v>
      </c>
      <c r="O78" s="392">
        <v>0.18242308878112068</v>
      </c>
      <c r="P78" s="520">
        <f t="shared" si="21"/>
        <v>0.38014900449252798</v>
      </c>
    </row>
    <row r="79" spans="1:16" ht="13.5" thickBot="1" x14ac:dyDescent="0.25">
      <c r="A79" s="18">
        <v>9</v>
      </c>
      <c r="B79" s="2" t="s">
        <v>535</v>
      </c>
      <c r="C79" s="519">
        <f>SUBTOTAL(9,C66:C78)</f>
        <v>439825043.09000003</v>
      </c>
      <c r="D79" s="207">
        <f>SUBTOTAL(9,D66:D78)</f>
        <v>424035060.56</v>
      </c>
      <c r="E79" s="203">
        <f>SUBTOTAL(9,E66:E78)</f>
        <v>257670587.22000003</v>
      </c>
      <c r="F79" s="90">
        <f t="shared" si="19"/>
        <v>0.6076634014171105</v>
      </c>
      <c r="G79" s="203">
        <f>SUBTOTAL(9,G66:G78)</f>
        <v>240632436.22000003</v>
      </c>
      <c r="H79" s="535">
        <f>+G79/D79</f>
        <v>0.56748240558742924</v>
      </c>
      <c r="I79" s="203">
        <f>SUBTOTAL(9,I66:I78)</f>
        <v>73587276.719999999</v>
      </c>
      <c r="J79" s="170">
        <f t="shared" si="13"/>
        <v>0.17354054785662604</v>
      </c>
      <c r="K79" s="619">
        <f>SUM(K66:K78)</f>
        <v>236188761.25999999</v>
      </c>
      <c r="L79" s="90">
        <v>0.64298661222519637</v>
      </c>
      <c r="M79" s="43">
        <f>+G79/K79-1</f>
        <v>1.8814083008413585E-2</v>
      </c>
      <c r="N79" s="619">
        <f>SUM(N66:N78)</f>
        <v>64420536.060000002</v>
      </c>
      <c r="O79" s="170">
        <v>0.1753747384845</v>
      </c>
      <c r="P79" s="43">
        <f>+I79/N79-1</f>
        <v>0.14229531793188244</v>
      </c>
    </row>
    <row r="80" spans="1:16" ht="13.5" thickBot="1" x14ac:dyDescent="0.25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2165348003.1599998</v>
      </c>
      <c r="E80" s="209">
        <f>SUM(E79,E65,E57,E33,E27,E6)</f>
        <v>1500775279.9400001</v>
      </c>
      <c r="F80" s="181">
        <f t="shared" si="19"/>
        <v>0.69308733642344977</v>
      </c>
      <c r="G80" s="209">
        <f>SUM(G79,G65,G57,G33,G27,G6)</f>
        <v>1445020068.49</v>
      </c>
      <c r="H80" s="181">
        <f>+G80/D80</f>
        <v>0.66733849080203755</v>
      </c>
      <c r="I80" s="209">
        <f>SUM(I79,I65,I57,I33,I27,I6)</f>
        <v>358951455.87000006</v>
      </c>
      <c r="J80" s="173">
        <f t="shared" si="13"/>
        <v>0.16577079312247472</v>
      </c>
      <c r="K80" s="620">
        <f>K6+K27+K33+K57+K65+K79</f>
        <v>1341199989.54</v>
      </c>
      <c r="L80" s="181">
        <v>0.67039922815110775</v>
      </c>
      <c r="M80" s="621">
        <f>+G80/K80-1</f>
        <v>7.7408350551514626E-2</v>
      </c>
      <c r="N80" s="620">
        <f>N6+N27+N33+N57+N65+N79</f>
        <v>388022450.75</v>
      </c>
      <c r="O80" s="173">
        <v>0.19395314160218544</v>
      </c>
      <c r="P80" s="621">
        <f>+I80/N80-1</f>
        <v>-7.4920909405652325E-2</v>
      </c>
    </row>
    <row r="81" spans="1:19" ht="15.75" thickBot="1" x14ac:dyDescent="0.3">
      <c r="A81" s="7" t="s">
        <v>19</v>
      </c>
      <c r="N81" s="97"/>
      <c r="P81" s="522"/>
    </row>
    <row r="82" spans="1:19" ht="12.75" customHeight="1" x14ac:dyDescent="0.2">
      <c r="A82" s="753" t="s">
        <v>758</v>
      </c>
      <c r="B82" s="754"/>
      <c r="C82" s="164" t="s">
        <v>767</v>
      </c>
      <c r="D82" s="739" t="s">
        <v>781</v>
      </c>
      <c r="E82" s="740"/>
      <c r="F82" s="740"/>
      <c r="G82" s="740"/>
      <c r="H82" s="740"/>
      <c r="I82" s="740"/>
      <c r="J82" s="741"/>
      <c r="K82" s="748" t="s">
        <v>782</v>
      </c>
      <c r="L82" s="749"/>
      <c r="M82" s="749"/>
      <c r="N82" s="749"/>
      <c r="O82" s="749"/>
      <c r="P82" s="752"/>
    </row>
    <row r="83" spans="1:19" ht="12.75" customHeight="1" x14ac:dyDescent="0.2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545</v>
      </c>
      <c r="L83" s="88" t="s">
        <v>546</v>
      </c>
      <c r="M83" s="88" t="s">
        <v>547</v>
      </c>
      <c r="N83" s="87" t="s">
        <v>39</v>
      </c>
      <c r="O83" s="88" t="s">
        <v>40</v>
      </c>
      <c r="P83" s="611" t="s">
        <v>362</v>
      </c>
    </row>
    <row r="84" spans="1:19" ht="14.1" customHeight="1" x14ac:dyDescent="0.2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3" t="s">
        <v>766</v>
      </c>
      <c r="N84" s="564" t="s">
        <v>17</v>
      </c>
      <c r="O84" s="89" t="s">
        <v>18</v>
      </c>
      <c r="P84" s="612" t="s">
        <v>766</v>
      </c>
    </row>
    <row r="85" spans="1:19" ht="14.1" customHeight="1" x14ac:dyDescent="0.2">
      <c r="A85" s="17" t="s">
        <v>548</v>
      </c>
      <c r="B85" s="13" t="s">
        <v>549</v>
      </c>
      <c r="C85" s="530">
        <v>24060000</v>
      </c>
      <c r="D85" s="516">
        <v>24060000</v>
      </c>
      <c r="E85" s="180">
        <v>3249948.29</v>
      </c>
      <c r="F85" s="78">
        <f>+E85/D85</f>
        <v>0.13507682003325022</v>
      </c>
      <c r="G85" s="180">
        <v>3249948.29</v>
      </c>
      <c r="H85" s="78">
        <f>+G85/D85</f>
        <v>0.13507682003325022</v>
      </c>
      <c r="I85" s="180">
        <v>3249948.29</v>
      </c>
      <c r="J85" s="172">
        <f>+I85/D85</f>
        <v>0.13507682003325022</v>
      </c>
      <c r="K85" s="180">
        <v>4837577.93</v>
      </c>
      <c r="L85" s="78">
        <v>0.13193003769672032</v>
      </c>
      <c r="M85" s="245">
        <f t="shared" ref="M85:M150" si="23">+G85/K85-1</f>
        <v>-0.32818688669683094</v>
      </c>
      <c r="N85" s="180">
        <v>4837577.93</v>
      </c>
      <c r="O85" s="78">
        <v>0.13193003769672032</v>
      </c>
      <c r="P85" s="245">
        <f>+I85/N85-1</f>
        <v>-0.32818688669683094</v>
      </c>
    </row>
    <row r="86" spans="1:19" ht="14.1" customHeight="1" x14ac:dyDescent="0.2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3249948.29</v>
      </c>
      <c r="F86" s="90">
        <f>+E86/D86</f>
        <v>0.13507682003325022</v>
      </c>
      <c r="G86" s="203">
        <f>SUBTOTAL(9,G85:G85)</f>
        <v>3249948.29</v>
      </c>
      <c r="H86" s="90">
        <f t="shared" ref="H86:H130" si="24">+G86/D86</f>
        <v>0.13507682003325022</v>
      </c>
      <c r="I86" s="203">
        <f>SUBTOTAL(9,I85:I85)</f>
        <v>3249948.29</v>
      </c>
      <c r="J86" s="170">
        <f>+I86/D86</f>
        <v>0.13507682003325022</v>
      </c>
      <c r="K86" s="568">
        <f>SUM(K85)</f>
        <v>4837577.93</v>
      </c>
      <c r="L86" s="90">
        <v>0.13193003769672032</v>
      </c>
      <c r="M86" s="213">
        <f t="shared" si="23"/>
        <v>-0.32818688669683094</v>
      </c>
      <c r="N86" s="568">
        <f>SUBTOTAL(9,N85:N85)</f>
        <v>4837577.93</v>
      </c>
      <c r="O86" s="90">
        <v>0.13193003769672032</v>
      </c>
      <c r="P86" s="213">
        <f t="shared" ref="P86:P121" si="25">+I86/N86-1</f>
        <v>-0.32818688669683094</v>
      </c>
    </row>
    <row r="87" spans="1:19" ht="14.1" customHeight="1" x14ac:dyDescent="0.2">
      <c r="A87" s="37" t="s">
        <v>550</v>
      </c>
      <c r="B87" s="38" t="s">
        <v>551</v>
      </c>
      <c r="C87" s="198">
        <v>8245978.9400000004</v>
      </c>
      <c r="D87" s="204">
        <v>19522107.91</v>
      </c>
      <c r="E87" s="30">
        <v>2384654.4</v>
      </c>
      <c r="F87" s="48">
        <f>+E87/D87</f>
        <v>0.12215148133560337</v>
      </c>
      <c r="G87" s="30">
        <v>1978292.56</v>
      </c>
      <c r="H87" s="48">
        <f>G87/D87</f>
        <v>0.10133601192659324</v>
      </c>
      <c r="I87" s="136">
        <v>1664064.25</v>
      </c>
      <c r="J87" s="153">
        <f>I87/D87</f>
        <v>8.523998830820928E-2</v>
      </c>
      <c r="K87" s="30">
        <v>1977774.0800000001</v>
      </c>
      <c r="L87" s="48">
        <v>0.24054222269752376</v>
      </c>
      <c r="M87" s="210">
        <f t="shared" si="23"/>
        <v>2.6215329912715468E-4</v>
      </c>
      <c r="N87" s="30">
        <v>1736195.29</v>
      </c>
      <c r="O87" s="48">
        <v>0.21116075810517843</v>
      </c>
      <c r="P87" s="210">
        <f>+I87/N87-1</f>
        <v>-4.1545464623395034E-2</v>
      </c>
    </row>
    <row r="88" spans="1:19" ht="14.1" customHeight="1" x14ac:dyDescent="0.2">
      <c r="A88" s="39" t="s">
        <v>552</v>
      </c>
      <c r="B88" s="40" t="s">
        <v>553</v>
      </c>
      <c r="C88" s="199">
        <v>168671029.94999999</v>
      </c>
      <c r="D88" s="205">
        <v>169016175.22</v>
      </c>
      <c r="E88" s="32">
        <v>42291544.869999997</v>
      </c>
      <c r="F88" s="280">
        <f>+E88/D88</f>
        <v>0.25022187855660077</v>
      </c>
      <c r="G88" s="32">
        <v>41378335.799999997</v>
      </c>
      <c r="H88" s="48">
        <f t="shared" ref="H88:H120" si="26">G88/D88</f>
        <v>0.24481879172889734</v>
      </c>
      <c r="I88" s="133">
        <v>35988436.460000001</v>
      </c>
      <c r="J88" s="178">
        <f t="shared" ref="J88:J130" si="27">I88/D88</f>
        <v>0.21292894844623972</v>
      </c>
      <c r="K88" s="32">
        <v>45156602.030000001</v>
      </c>
      <c r="L88" s="280">
        <v>0.25363813256371054</v>
      </c>
      <c r="M88" s="443">
        <f t="shared" si="23"/>
        <v>-8.3670295375411485E-2</v>
      </c>
      <c r="N88" s="32">
        <v>38914421.579999998</v>
      </c>
      <c r="O88" s="280">
        <v>0.21857670364105022</v>
      </c>
      <c r="P88" s="443">
        <f>+I88/N88-1</f>
        <v>-7.5190250842731343E-2</v>
      </c>
      <c r="Q88" s="53" t="s">
        <v>148</v>
      </c>
    </row>
    <row r="89" spans="1:19" ht="14.1" customHeight="1" x14ac:dyDescent="0.2">
      <c r="A89" s="39" t="s">
        <v>554</v>
      </c>
      <c r="B89" s="40" t="s">
        <v>555</v>
      </c>
      <c r="C89" s="199">
        <v>592279.81000000006</v>
      </c>
      <c r="D89" s="205">
        <v>592279.81000000006</v>
      </c>
      <c r="E89" s="32">
        <v>263428.83</v>
      </c>
      <c r="F89" s="280">
        <f>+E89/D89</f>
        <v>0.44477090988463713</v>
      </c>
      <c r="G89" s="32">
        <v>254717.83</v>
      </c>
      <c r="H89" s="48">
        <f t="shared" si="26"/>
        <v>0.43006333442296463</v>
      </c>
      <c r="I89" s="133">
        <v>102258.84</v>
      </c>
      <c r="J89" s="178">
        <f t="shared" si="27"/>
        <v>0.17265292227334236</v>
      </c>
      <c r="K89" s="32">
        <v>301306.81</v>
      </c>
      <c r="L89" s="280">
        <v>0.48136769687409953</v>
      </c>
      <c r="M89" s="245">
        <f t="shared" si="23"/>
        <v>-0.15462305681043187</v>
      </c>
      <c r="N89" s="32">
        <v>93436.1</v>
      </c>
      <c r="O89" s="280">
        <v>0.14927349389115385</v>
      </c>
      <c r="P89" s="245">
        <f>+I89/N89-1</f>
        <v>9.44253880459478E-2</v>
      </c>
      <c r="Q89" s="53"/>
    </row>
    <row r="90" spans="1:19" ht="14.1" customHeight="1" x14ac:dyDescent="0.2">
      <c r="A90" s="39" t="s">
        <v>556</v>
      </c>
      <c r="B90" s="40" t="s">
        <v>557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">
      <c r="A91" s="39">
        <v>1341</v>
      </c>
      <c r="B91" s="40" t="s">
        <v>558</v>
      </c>
      <c r="C91" s="199">
        <v>14562809.07</v>
      </c>
      <c r="D91" s="205">
        <v>14666964.640000001</v>
      </c>
      <c r="E91" s="32">
        <v>10140021.810000001</v>
      </c>
      <c r="F91" s="280">
        <f t="shared" si="28"/>
        <v>0.69135107766919657</v>
      </c>
      <c r="G91" s="32">
        <v>9926200.1799999997</v>
      </c>
      <c r="H91" s="48">
        <f t="shared" si="26"/>
        <v>0.67677262635031477</v>
      </c>
      <c r="I91" s="133">
        <v>1396880.34</v>
      </c>
      <c r="J91" s="178">
        <f t="shared" si="27"/>
        <v>9.5239906435064539E-2</v>
      </c>
      <c r="K91" s="32">
        <v>9746321.5899999999</v>
      </c>
      <c r="L91" s="280">
        <v>0.65617794149066477</v>
      </c>
      <c r="M91" s="210">
        <f t="shared" si="23"/>
        <v>1.8456049119552898E-2</v>
      </c>
      <c r="N91" s="32">
        <v>813065.82</v>
      </c>
      <c r="O91" s="280">
        <v>5.4740226980753606E-2</v>
      </c>
      <c r="P91" s="210">
        <f t="shared" ref="P91:P94" si="29">+I91/N91-1</f>
        <v>0.71804090842239576</v>
      </c>
      <c r="R91" s="276"/>
    </row>
    <row r="92" spans="1:19" ht="14.1" customHeight="1" x14ac:dyDescent="0.2">
      <c r="A92" s="39" t="s">
        <v>559</v>
      </c>
      <c r="B92" s="40" t="s">
        <v>475</v>
      </c>
      <c r="C92" s="199">
        <v>431130.98</v>
      </c>
      <c r="D92" s="205">
        <v>325576.23</v>
      </c>
      <c r="E92" s="32">
        <v>69769.86</v>
      </c>
      <c r="F92" s="280">
        <f t="shared" si="28"/>
        <v>0.21429654124319827</v>
      </c>
      <c r="G92" s="32">
        <v>69769.86</v>
      </c>
      <c r="H92" s="48">
        <f t="shared" si="26"/>
        <v>0.21429654124319827</v>
      </c>
      <c r="I92" s="133">
        <v>69769.86</v>
      </c>
      <c r="J92" s="178">
        <f t="shared" si="27"/>
        <v>0.21429654124319827</v>
      </c>
      <c r="K92" s="32">
        <v>101964.29</v>
      </c>
      <c r="L92" s="280">
        <v>0.22913457986798527</v>
      </c>
      <c r="M92" s="210">
        <f t="shared" si="23"/>
        <v>-0.31574220739437298</v>
      </c>
      <c r="N92" s="32">
        <v>101964.29</v>
      </c>
      <c r="O92" s="280">
        <v>0.22913457986798527</v>
      </c>
      <c r="P92" s="210">
        <f t="shared" si="29"/>
        <v>-0.31574220739437298</v>
      </c>
      <c r="R92" s="275"/>
    </row>
    <row r="93" spans="1:19" ht="14.1" customHeight="1" x14ac:dyDescent="0.2">
      <c r="A93" s="39">
        <v>1361</v>
      </c>
      <c r="B93" s="40" t="s">
        <v>560</v>
      </c>
      <c r="C93" s="199">
        <v>40845954.75</v>
      </c>
      <c r="D93" s="205">
        <v>41702601.43</v>
      </c>
      <c r="E93" s="32">
        <v>11127530.460000001</v>
      </c>
      <c r="F93" s="280">
        <f t="shared" si="28"/>
        <v>0.266830607166753</v>
      </c>
      <c r="G93" s="32">
        <v>10707460.970000001</v>
      </c>
      <c r="H93" s="48">
        <f t="shared" si="26"/>
        <v>0.25675762669082008</v>
      </c>
      <c r="I93" s="133">
        <v>8483243.3800000008</v>
      </c>
      <c r="J93" s="178">
        <f t="shared" si="27"/>
        <v>0.20342240265849049</v>
      </c>
      <c r="K93" s="32">
        <v>11282100.34</v>
      </c>
      <c r="L93" s="280">
        <v>0.26344024478317324</v>
      </c>
      <c r="M93" s="211">
        <f t="shared" si="23"/>
        <v>-5.0933722683058402E-2</v>
      </c>
      <c r="N93" s="32">
        <v>9776119.1500000004</v>
      </c>
      <c r="O93" s="280">
        <v>0.22827515660133438</v>
      </c>
      <c r="P93" s="211">
        <f t="shared" si="29"/>
        <v>-0.13224836462841183</v>
      </c>
      <c r="R93" s="275"/>
    </row>
    <row r="94" spans="1:19" ht="14.1" customHeight="1" x14ac:dyDescent="0.2">
      <c r="A94" s="39" t="s">
        <v>561</v>
      </c>
      <c r="B94" s="40" t="s">
        <v>562</v>
      </c>
      <c r="C94" s="199">
        <v>27221948.489999998</v>
      </c>
      <c r="D94" s="205">
        <v>28177703.109999999</v>
      </c>
      <c r="E94" s="32">
        <v>10442727.59</v>
      </c>
      <c r="F94" s="280">
        <f t="shared" si="28"/>
        <v>0.37060251324367083</v>
      </c>
      <c r="G94" s="32">
        <v>9447680.1999999993</v>
      </c>
      <c r="H94" s="48">
        <f t="shared" si="26"/>
        <v>0.33528922365028069</v>
      </c>
      <c r="I94" s="133">
        <v>4172181.41</v>
      </c>
      <c r="J94" s="178">
        <f t="shared" si="27"/>
        <v>0.14806676731998544</v>
      </c>
      <c r="K94" s="32">
        <v>10305643.699999999</v>
      </c>
      <c r="L94" s="280">
        <v>0.47896034015967121</v>
      </c>
      <c r="M94" s="211">
        <f t="shared" si="23"/>
        <v>-8.3251810850010322E-2</v>
      </c>
      <c r="N94" s="32">
        <v>4703082.22</v>
      </c>
      <c r="O94" s="280">
        <v>0.21857827860768189</v>
      </c>
      <c r="P94" s="211">
        <f t="shared" si="29"/>
        <v>-0.1128835910506365</v>
      </c>
      <c r="R94" s="275"/>
      <c r="S94" s="275"/>
    </row>
    <row r="95" spans="1:19" ht="14.1" customHeight="1" x14ac:dyDescent="0.2">
      <c r="A95" s="39" t="s">
        <v>563</v>
      </c>
      <c r="B95" s="40" t="s">
        <v>564</v>
      </c>
      <c r="C95" s="199">
        <v>10111588.699999999</v>
      </c>
      <c r="D95" s="205">
        <v>10358215.67</v>
      </c>
      <c r="E95" s="32">
        <v>2518012.7400000002</v>
      </c>
      <c r="F95" s="280">
        <f t="shared" si="28"/>
        <v>0.24309329137573366</v>
      </c>
      <c r="G95" s="32">
        <v>2326314.73</v>
      </c>
      <c r="H95" s="48">
        <f t="shared" si="26"/>
        <v>0.22458643497234693</v>
      </c>
      <c r="I95" s="133">
        <v>2034471.56</v>
      </c>
      <c r="J95" s="178">
        <f t="shared" si="27"/>
        <v>0.19641139215630948</v>
      </c>
      <c r="K95" s="32">
        <v>2360632.59</v>
      </c>
      <c r="L95" s="280">
        <v>0.22177212342808433</v>
      </c>
      <c r="M95" s="211">
        <f t="shared" si="23"/>
        <v>-1.4537569355508984E-2</v>
      </c>
      <c r="N95" s="32">
        <v>2137456.11</v>
      </c>
      <c r="O95" s="280">
        <v>0.20080557315741923</v>
      </c>
      <c r="P95" s="211">
        <f>+I95/N95-1</f>
        <v>-4.8180895747141128E-2</v>
      </c>
      <c r="R95" s="275"/>
      <c r="S95" s="275"/>
    </row>
    <row r="96" spans="1:19" ht="14.1" customHeight="1" x14ac:dyDescent="0.2">
      <c r="A96" s="39" t="s">
        <v>565</v>
      </c>
      <c r="B96" s="40" t="s">
        <v>566</v>
      </c>
      <c r="C96" s="199">
        <v>768399.65</v>
      </c>
      <c r="D96" s="205">
        <v>779808.2</v>
      </c>
      <c r="E96" s="32">
        <v>132534.94</v>
      </c>
      <c r="F96" s="280">
        <f t="shared" si="28"/>
        <v>0.16995838207395103</v>
      </c>
      <c r="G96" s="32">
        <v>132534.94</v>
      </c>
      <c r="H96" s="48">
        <f t="shared" si="26"/>
        <v>0.16995838207395103</v>
      </c>
      <c r="I96" s="133">
        <v>132534.94</v>
      </c>
      <c r="J96" s="178">
        <f t="shared" si="27"/>
        <v>0.16995838207395103</v>
      </c>
      <c r="K96" s="32">
        <v>141702.09</v>
      </c>
      <c r="L96" s="280">
        <v>0.2352040064228835</v>
      </c>
      <c r="M96" s="211">
        <f>+G96/K96-1</f>
        <v>-6.469311779381659E-2</v>
      </c>
      <c r="N96" s="32">
        <v>141702.09</v>
      </c>
      <c r="O96" s="280">
        <v>0.2352040064228835</v>
      </c>
      <c r="P96" s="211">
        <f t="shared" ref="P96:P102" si="30">+I96/N96-1</f>
        <v>-6.469311779381659E-2</v>
      </c>
      <c r="R96" s="275"/>
      <c r="S96" s="275"/>
    </row>
    <row r="97" spans="1:19" ht="14.1" customHeight="1" x14ac:dyDescent="0.2">
      <c r="A97" s="39" t="s">
        <v>567</v>
      </c>
      <c r="B97" s="40" t="s">
        <v>568</v>
      </c>
      <c r="C97" s="199">
        <v>6253007.9500000002</v>
      </c>
      <c r="D97" s="205">
        <v>6253007.9500000002</v>
      </c>
      <c r="E97" s="32">
        <v>5892645.7999999998</v>
      </c>
      <c r="F97" s="280">
        <f t="shared" si="28"/>
        <v>0.94236979180555813</v>
      </c>
      <c r="G97" s="32">
        <v>5843518.6799999997</v>
      </c>
      <c r="H97" s="48">
        <f t="shared" si="26"/>
        <v>0.93451323374696804</v>
      </c>
      <c r="I97" s="133">
        <v>2612989.0499999998</v>
      </c>
      <c r="J97" s="178">
        <f t="shared" si="27"/>
        <v>0.41787713543527477</v>
      </c>
      <c r="K97" s="32">
        <v>5799063.6699999999</v>
      </c>
      <c r="L97" s="280">
        <v>0.92738847979718042</v>
      </c>
      <c r="M97" s="211">
        <f t="shared" si="23"/>
        <v>7.6658944494740755E-3</v>
      </c>
      <c r="N97" s="32">
        <v>1868583.21</v>
      </c>
      <c r="O97" s="280">
        <v>0.2988245415309323</v>
      </c>
      <c r="P97" s="211">
        <f t="shared" si="30"/>
        <v>0.39837981847219961</v>
      </c>
      <c r="R97" s="275"/>
      <c r="S97" s="275"/>
    </row>
    <row r="98" spans="1:19" ht="14.1" customHeight="1" x14ac:dyDescent="0.2">
      <c r="A98" s="39" t="s">
        <v>569</v>
      </c>
      <c r="B98" s="40" t="s">
        <v>570</v>
      </c>
      <c r="C98" s="199">
        <v>1408497.48</v>
      </c>
      <c r="D98" s="205">
        <v>837075.23</v>
      </c>
      <c r="E98" s="32">
        <v>643468.31000000006</v>
      </c>
      <c r="F98" s="280">
        <f t="shared" si="28"/>
        <v>0.76871025080983468</v>
      </c>
      <c r="G98" s="32">
        <v>170490.46</v>
      </c>
      <c r="H98" s="48">
        <f t="shared" si="26"/>
        <v>0.20367399952809498</v>
      </c>
      <c r="I98" s="133">
        <v>31420.79</v>
      </c>
      <c r="J98" s="178">
        <f t="shared" si="27"/>
        <v>3.7536399207512089E-2</v>
      </c>
      <c r="K98" s="32">
        <v>339271.53</v>
      </c>
      <c r="L98" s="280">
        <v>0.19979147510279793</v>
      </c>
      <c r="M98" s="211">
        <f t="shared" si="23"/>
        <v>-0.4974807936286314</v>
      </c>
      <c r="N98" s="32">
        <v>204522.21</v>
      </c>
      <c r="O98" s="280">
        <v>0.12043979648744534</v>
      </c>
      <c r="P98" s="211">
        <f t="shared" si="30"/>
        <v>-0.84636979035186444</v>
      </c>
      <c r="R98" s="275"/>
      <c r="S98" s="275"/>
    </row>
    <row r="99" spans="1:19" ht="14.1" customHeight="1" x14ac:dyDescent="0.2">
      <c r="A99" s="39" t="s">
        <v>571</v>
      </c>
      <c r="B99" s="40" t="s">
        <v>572</v>
      </c>
      <c r="C99" s="199">
        <v>309641.09000000003</v>
      </c>
      <c r="D99" s="205">
        <v>344641.09</v>
      </c>
      <c r="E99" s="32">
        <v>85000</v>
      </c>
      <c r="F99" s="280">
        <f t="shared" si="28"/>
        <v>0.24663338895544926</v>
      </c>
      <c r="G99" s="32">
        <v>7258.79</v>
      </c>
      <c r="H99" s="48">
        <f t="shared" si="26"/>
        <v>2.1061882087246183E-2</v>
      </c>
      <c r="I99" s="133">
        <v>7258.79</v>
      </c>
      <c r="J99" s="178">
        <f t="shared" si="27"/>
        <v>2.1061882087246183E-2</v>
      </c>
      <c r="K99" s="32">
        <v>169780.82</v>
      </c>
      <c r="L99" s="280">
        <v>0.41246050329558676</v>
      </c>
      <c r="M99" s="211">
        <f t="shared" si="23"/>
        <v>-0.95724611295904916</v>
      </c>
      <c r="N99" s="32">
        <v>37479.42</v>
      </c>
      <c r="O99" s="280">
        <v>9.1051394594670224E-2</v>
      </c>
      <c r="P99" s="211">
        <f t="shared" si="30"/>
        <v>-0.80632597836359254</v>
      </c>
      <c r="R99" s="275"/>
      <c r="S99" s="275"/>
    </row>
    <row r="100" spans="1:19" ht="14.1" customHeight="1" x14ac:dyDescent="0.2">
      <c r="A100" s="39" t="s">
        <v>573</v>
      </c>
      <c r="B100" s="40" t="s">
        <v>574</v>
      </c>
      <c r="C100" s="199">
        <v>7945464.6799999997</v>
      </c>
      <c r="D100" s="205">
        <v>8008124.0800000001</v>
      </c>
      <c r="E100" s="32">
        <v>6509729.1399999997</v>
      </c>
      <c r="F100" s="280">
        <f t="shared" si="28"/>
        <v>0.81289064392219057</v>
      </c>
      <c r="G100" s="32">
        <v>6509729.1399999997</v>
      </c>
      <c r="H100" s="48">
        <f t="shared" si="26"/>
        <v>0.81289064392219057</v>
      </c>
      <c r="I100" s="133">
        <v>533857.09</v>
      </c>
      <c r="J100" s="178">
        <f t="shared" si="27"/>
        <v>6.6664437846722269E-2</v>
      </c>
      <c r="K100" s="32">
        <v>6305232.9500000002</v>
      </c>
      <c r="L100" s="280">
        <v>0.8028277538477524</v>
      </c>
      <c r="M100" s="211">
        <f t="shared" si="23"/>
        <v>3.2432773161854334E-2</v>
      </c>
      <c r="N100" s="32">
        <v>474442.95</v>
      </c>
      <c r="O100" s="280">
        <v>6.0409499680325288E-2</v>
      </c>
      <c r="P100" s="211">
        <f t="shared" si="30"/>
        <v>0.12522926096804676</v>
      </c>
      <c r="R100" s="275"/>
      <c r="S100" s="275"/>
    </row>
    <row r="101" spans="1:19" ht="14.1" customHeight="1" x14ac:dyDescent="0.2">
      <c r="A101" s="39">
        <v>1521</v>
      </c>
      <c r="B101" s="40" t="s">
        <v>575</v>
      </c>
      <c r="C101" s="199">
        <v>18338488.539999999</v>
      </c>
      <c r="D101" s="205">
        <v>18338488.539999999</v>
      </c>
      <c r="E101" s="32">
        <v>15394754.279999999</v>
      </c>
      <c r="F101" s="280">
        <f>+E101/D101</f>
        <v>0.83947781445678515</v>
      </c>
      <c r="G101" s="32">
        <v>15394754.279999999</v>
      </c>
      <c r="H101" s="48">
        <f t="shared" si="26"/>
        <v>0.83947781445678515</v>
      </c>
      <c r="I101" s="133">
        <v>2390443.5299999998</v>
      </c>
      <c r="J101" s="178">
        <f t="shared" si="27"/>
        <v>0.13035117505927235</v>
      </c>
      <c r="K101" s="32">
        <v>8841268</v>
      </c>
      <c r="L101" s="280">
        <v>0.69323854594146728</v>
      </c>
      <c r="M101" s="211">
        <f t="shared" si="23"/>
        <v>0.74123827939612275</v>
      </c>
      <c r="N101" s="32">
        <v>7270000</v>
      </c>
      <c r="O101" s="280">
        <v>0.57003636005542047</v>
      </c>
      <c r="P101" s="211">
        <f t="shared" si="30"/>
        <v>-0.67119071114167816</v>
      </c>
      <c r="R101" s="275"/>
      <c r="S101" s="275"/>
    </row>
    <row r="102" spans="1:19" ht="14.1" customHeight="1" x14ac:dyDescent="0.2">
      <c r="A102" s="39" t="s">
        <v>576</v>
      </c>
      <c r="B102" s="40" t="s">
        <v>577</v>
      </c>
      <c r="C102" s="199">
        <v>10647962.52</v>
      </c>
      <c r="D102" s="205">
        <v>10647962.52</v>
      </c>
      <c r="E102" s="32">
        <v>10566785.91</v>
      </c>
      <c r="F102" s="280">
        <f>+E102/D102</f>
        <v>0.99237632459284808</v>
      </c>
      <c r="G102" s="32">
        <v>10483664.189999999</v>
      </c>
      <c r="H102" s="48">
        <f t="shared" si="26"/>
        <v>0.98456997480115094</v>
      </c>
      <c r="I102" s="133">
        <v>1953094</v>
      </c>
      <c r="J102" s="178">
        <f t="shared" si="27"/>
        <v>0.18342419935565288</v>
      </c>
      <c r="K102" s="32">
        <v>10482874.560000001</v>
      </c>
      <c r="L102" s="280">
        <v>0.98438487912193129</v>
      </c>
      <c r="M102" s="211">
        <f t="shared" si="23"/>
        <v>7.5325712950213841E-5</v>
      </c>
      <c r="N102" s="32">
        <v>274339.15000000002</v>
      </c>
      <c r="O102" s="280">
        <v>2.5761570403754156E-2</v>
      </c>
      <c r="P102" s="211">
        <f t="shared" si="30"/>
        <v>6.1192682488080896</v>
      </c>
      <c r="R102" s="275"/>
      <c r="S102" s="275"/>
    </row>
    <row r="103" spans="1:19" ht="14.1" customHeight="1" x14ac:dyDescent="0.2">
      <c r="A103" s="39" t="s">
        <v>578</v>
      </c>
      <c r="B103" s="40" t="s">
        <v>579</v>
      </c>
      <c r="C103" s="199">
        <v>8492360.5399999991</v>
      </c>
      <c r="D103" s="205">
        <v>8528918.5</v>
      </c>
      <c r="E103" s="32">
        <v>7340004.8600000003</v>
      </c>
      <c r="F103" s="280">
        <f>+E103/D103</f>
        <v>0.86060206343864121</v>
      </c>
      <c r="G103" s="32">
        <v>7260964.4900000002</v>
      </c>
      <c r="H103" s="48">
        <f t="shared" si="26"/>
        <v>0.85133472549890121</v>
      </c>
      <c r="I103" s="133">
        <v>288767.48</v>
      </c>
      <c r="J103" s="178">
        <f t="shared" si="27"/>
        <v>3.3857455666858577E-2</v>
      </c>
      <c r="K103" s="32">
        <v>7150970.9299999997</v>
      </c>
      <c r="L103" s="280">
        <v>0.87941001272567165</v>
      </c>
      <c r="M103" s="211">
        <f t="shared" si="23"/>
        <v>1.5381625946562227E-2</v>
      </c>
      <c r="N103" s="32">
        <v>1082687.1100000001</v>
      </c>
      <c r="O103" s="280">
        <v>0.13314637893277254</v>
      </c>
      <c r="P103" s="211">
        <f t="shared" ref="P103:P113" si="31">+I103/N103-1</f>
        <v>-0.73328630466469669</v>
      </c>
      <c r="R103" s="275"/>
    </row>
    <row r="104" spans="1:19" ht="14.1" customHeight="1" x14ac:dyDescent="0.2">
      <c r="A104" s="39" t="s">
        <v>580</v>
      </c>
      <c r="B104" s="40" t="s">
        <v>581</v>
      </c>
      <c r="C104" s="199">
        <v>7787183.1299999999</v>
      </c>
      <c r="D104" s="205">
        <v>7787183.1299999999</v>
      </c>
      <c r="E104" s="32">
        <v>6720063.96</v>
      </c>
      <c r="F104" s="280">
        <f t="shared" ref="F104:F107" si="32">+E104/D104</f>
        <v>0.86296467513535924</v>
      </c>
      <c r="G104" s="32">
        <v>6332530.0599999996</v>
      </c>
      <c r="H104" s="48">
        <f t="shared" si="26"/>
        <v>0.81319906752982696</v>
      </c>
      <c r="I104" s="133">
        <v>738589.01</v>
      </c>
      <c r="J104" s="178">
        <f t="shared" si="27"/>
        <v>9.4846749802839178E-2</v>
      </c>
      <c r="K104" s="32">
        <v>4537023.47</v>
      </c>
      <c r="L104" s="280">
        <v>0.66432638299690283</v>
      </c>
      <c r="M104" s="211">
        <f t="shared" si="23"/>
        <v>0.39574549302474726</v>
      </c>
      <c r="N104" s="32">
        <v>583133.22</v>
      </c>
      <c r="O104" s="280">
        <v>8.5384346237013672E-2</v>
      </c>
      <c r="P104" s="211">
        <f t="shared" si="31"/>
        <v>0.2665870930831209</v>
      </c>
      <c r="R104" s="275"/>
    </row>
    <row r="105" spans="1:19" ht="14.1" customHeight="1" x14ac:dyDescent="0.2">
      <c r="A105" s="39" t="s">
        <v>582</v>
      </c>
      <c r="B105" s="40" t="s">
        <v>583</v>
      </c>
      <c r="C105" s="199">
        <v>13014565.800000001</v>
      </c>
      <c r="D105" s="205">
        <v>12891084.470000001</v>
      </c>
      <c r="E105" s="32">
        <v>8499810.2200000007</v>
      </c>
      <c r="F105" s="280">
        <f t="shared" si="32"/>
        <v>0.65935571516738345</v>
      </c>
      <c r="G105" s="32">
        <v>8365318.8200000003</v>
      </c>
      <c r="H105" s="48">
        <f t="shared" si="26"/>
        <v>0.64892281479247804</v>
      </c>
      <c r="I105" s="133">
        <v>1813419.98</v>
      </c>
      <c r="J105" s="178">
        <f t="shared" si="27"/>
        <v>0.14067241466147959</v>
      </c>
      <c r="K105" s="32">
        <v>7764619.2300000004</v>
      </c>
      <c r="L105" s="280">
        <v>0.67117516136715183</v>
      </c>
      <c r="M105" s="211">
        <f t="shared" si="23"/>
        <v>7.7363689346038989E-2</v>
      </c>
      <c r="N105" s="32">
        <v>1580926.73</v>
      </c>
      <c r="O105" s="280">
        <v>0.1366556068863912</v>
      </c>
      <c r="P105" s="211">
        <f t="shared" si="31"/>
        <v>0.14706136950445514</v>
      </c>
      <c r="R105" s="275"/>
    </row>
    <row r="106" spans="1:19" ht="14.1" customHeight="1" x14ac:dyDescent="0.2">
      <c r="A106" s="39" t="s">
        <v>584</v>
      </c>
      <c r="B106" s="40" t="s">
        <v>585</v>
      </c>
      <c r="C106" s="199">
        <v>0</v>
      </c>
      <c r="D106" s="205">
        <v>430736.66</v>
      </c>
      <c r="E106" s="32">
        <v>100272.58</v>
      </c>
      <c r="F106" s="280">
        <f t="shared" si="32"/>
        <v>0.23279323380554609</v>
      </c>
      <c r="G106" s="32">
        <v>25499.87</v>
      </c>
      <c r="H106" s="48">
        <f t="shared" si="26"/>
        <v>5.9200602985592175E-2</v>
      </c>
      <c r="I106" s="133">
        <v>13534.97</v>
      </c>
      <c r="J106" s="178">
        <f t="shared" si="27"/>
        <v>3.1422841974955186E-2</v>
      </c>
      <c r="K106" s="32">
        <v>241271.63</v>
      </c>
      <c r="L106" s="280">
        <v>0.27577913078987532</v>
      </c>
      <c r="M106" s="211">
        <f t="shared" si="23"/>
        <v>-0.89431053290434526</v>
      </c>
      <c r="N106" s="32">
        <v>65954.679999999993</v>
      </c>
      <c r="O106" s="280">
        <v>7.5387745844483947E-2</v>
      </c>
      <c r="P106" s="211">
        <f t="shared" si="31"/>
        <v>-0.7947837818332224</v>
      </c>
      <c r="R106" s="275"/>
    </row>
    <row r="107" spans="1:19" ht="14.1" customHeight="1" x14ac:dyDescent="0.2">
      <c r="A107" s="39">
        <v>1536</v>
      </c>
      <c r="B107" s="40" t="s">
        <v>770</v>
      </c>
      <c r="C107" s="199">
        <v>7068560</v>
      </c>
      <c r="D107" s="205">
        <v>6997844</v>
      </c>
      <c r="E107" s="32">
        <v>2667844</v>
      </c>
      <c r="F107" s="280">
        <f t="shared" si="32"/>
        <v>0.38123799273033238</v>
      </c>
      <c r="G107" s="32">
        <v>2667844</v>
      </c>
      <c r="H107" s="48">
        <f t="shared" si="26"/>
        <v>0.38123799273033238</v>
      </c>
      <c r="I107" s="133">
        <v>650000</v>
      </c>
      <c r="J107" s="178">
        <f t="shared" si="27"/>
        <v>9.2885751668656799E-2</v>
      </c>
      <c r="K107" s="32">
        <v>0</v>
      </c>
      <c r="L107" s="280" t="s">
        <v>129</v>
      </c>
      <c r="M107" s="211" t="s">
        <v>129</v>
      </c>
      <c r="N107" s="32">
        <v>0</v>
      </c>
      <c r="O107" s="280" t="s">
        <v>129</v>
      </c>
      <c r="P107" s="211" t="s">
        <v>129</v>
      </c>
      <c r="R107" s="275"/>
    </row>
    <row r="108" spans="1:19" ht="14.1" customHeight="1" x14ac:dyDescent="0.2">
      <c r="A108" s="39">
        <v>1601</v>
      </c>
      <c r="B108" s="40" t="s">
        <v>586</v>
      </c>
      <c r="C108" s="199">
        <v>18215182.399999999</v>
      </c>
      <c r="D108" s="205">
        <v>18415182.399999999</v>
      </c>
      <c r="E108" s="32">
        <v>18124807.469999999</v>
      </c>
      <c r="F108" s="280">
        <f>+E108/D108</f>
        <v>0.98423176465523365</v>
      </c>
      <c r="G108" s="32">
        <v>18124807.469999999</v>
      </c>
      <c r="H108" s="48">
        <f t="shared" si="26"/>
        <v>0.98423176465523365</v>
      </c>
      <c r="I108" s="133">
        <v>2955887.95</v>
      </c>
      <c r="J108" s="178">
        <f t="shared" si="27"/>
        <v>0.16051363954994008</v>
      </c>
      <c r="K108" s="32">
        <v>19340617.449999999</v>
      </c>
      <c r="L108" s="280">
        <v>0.87660527272242961</v>
      </c>
      <c r="M108" s="211">
        <f t="shared" si="23"/>
        <v>-6.2863038532412596E-2</v>
      </c>
      <c r="N108" s="32">
        <v>4564460.07</v>
      </c>
      <c r="O108" s="280">
        <v>0.20688221432625414</v>
      </c>
      <c r="P108" s="211">
        <f t="shared" si="31"/>
        <v>-0.35241235443647989</v>
      </c>
      <c r="R108" s="275"/>
    </row>
    <row r="109" spans="1:19" ht="14.1" customHeight="1" x14ac:dyDescent="0.2">
      <c r="A109" s="39" t="s">
        <v>587</v>
      </c>
      <c r="B109" s="40" t="s">
        <v>588</v>
      </c>
      <c r="C109" s="199">
        <v>8305266.9900000002</v>
      </c>
      <c r="D109" s="205">
        <v>8326562.9900000002</v>
      </c>
      <c r="E109" s="32">
        <v>6341788.7300000004</v>
      </c>
      <c r="F109" s="280">
        <f>+E109/D109</f>
        <v>0.76163342997781136</v>
      </c>
      <c r="G109" s="32">
        <v>6341788.7300000004</v>
      </c>
      <c r="H109" s="48">
        <f t="shared" si="26"/>
        <v>0.76163342997781136</v>
      </c>
      <c r="I109" s="133">
        <v>1004660.59</v>
      </c>
      <c r="J109" s="178">
        <f t="shared" si="27"/>
        <v>0.12065729775978071</v>
      </c>
      <c r="K109" s="32">
        <v>6140658.3200000003</v>
      </c>
      <c r="L109" s="280">
        <v>0.99583507764852397</v>
      </c>
      <c r="M109" s="211">
        <f t="shared" si="23"/>
        <v>3.2753883951647689E-2</v>
      </c>
      <c r="N109" s="32">
        <v>494119.82</v>
      </c>
      <c r="O109" s="280">
        <v>8.0131774750394305E-2</v>
      </c>
      <c r="P109" s="211">
        <f t="shared" si="31"/>
        <v>1.0332327288551184</v>
      </c>
    </row>
    <row r="110" spans="1:19" ht="14.1" customHeight="1" x14ac:dyDescent="0.2">
      <c r="A110" s="39" t="s">
        <v>589</v>
      </c>
      <c r="B110" s="40" t="s">
        <v>590</v>
      </c>
      <c r="C110" s="199">
        <v>98538647.590000004</v>
      </c>
      <c r="D110" s="205">
        <v>94721202.489999995</v>
      </c>
      <c r="E110" s="32">
        <v>87650000</v>
      </c>
      <c r="F110" s="280">
        <f>+E110/D110</f>
        <v>0.92534720522845426</v>
      </c>
      <c r="G110" s="32">
        <v>87650000</v>
      </c>
      <c r="H110" s="48">
        <f t="shared" si="26"/>
        <v>0.92534720522845426</v>
      </c>
      <c r="I110" s="133">
        <v>4054790.76</v>
      </c>
      <c r="J110" s="178">
        <f t="shared" si="27"/>
        <v>4.2807636024554022E-2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7195039.8300000001</v>
      </c>
      <c r="O110" s="280">
        <v>8.4407833256305451E-2</v>
      </c>
      <c r="P110" s="211">
        <f t="shared" si="31"/>
        <v>-0.43644637753172799</v>
      </c>
    </row>
    <row r="111" spans="1:19" ht="14.1" customHeight="1" x14ac:dyDescent="0.2">
      <c r="A111" s="39" t="s">
        <v>591</v>
      </c>
      <c r="B111" s="40" t="s">
        <v>592</v>
      </c>
      <c r="C111" s="199">
        <v>4809562.41</v>
      </c>
      <c r="D111" s="205">
        <v>4809562.41</v>
      </c>
      <c r="E111" s="32">
        <v>4767846.51</v>
      </c>
      <c r="F111" s="280">
        <f t="shared" ref="F111:F112" si="33">+E111/D111</f>
        <v>0.99132646664210755</v>
      </c>
      <c r="G111" s="32">
        <v>4767846.51</v>
      </c>
      <c r="H111" s="48">
        <f t="shared" si="26"/>
        <v>0.99132646664210755</v>
      </c>
      <c r="I111" s="133">
        <v>0</v>
      </c>
      <c r="J111" s="178">
        <f t="shared" si="27"/>
        <v>0</v>
      </c>
      <c r="K111" s="32">
        <v>315880</v>
      </c>
      <c r="L111" s="280">
        <v>7.0545780080766521E-2</v>
      </c>
      <c r="M111" s="211">
        <f t="shared" si="23"/>
        <v>14.093853710269721</v>
      </c>
      <c r="N111" s="32">
        <v>0</v>
      </c>
      <c r="O111" s="280">
        <v>0</v>
      </c>
      <c r="P111" s="211" t="s">
        <v>129</v>
      </c>
    </row>
    <row r="112" spans="1:19" ht="14.1" customHeight="1" x14ac:dyDescent="0.2">
      <c r="A112" s="39" t="s">
        <v>593</v>
      </c>
      <c r="B112" s="40" t="s">
        <v>594</v>
      </c>
      <c r="C112" s="199">
        <v>452333.1</v>
      </c>
      <c r="D112" s="205">
        <v>797822.68</v>
      </c>
      <c r="E112" s="32">
        <v>483047.16</v>
      </c>
      <c r="F112" s="280">
        <f t="shared" si="33"/>
        <v>0.60545679147652198</v>
      </c>
      <c r="G112" s="32">
        <v>483047.16</v>
      </c>
      <c r="H112" s="48">
        <f t="shared" si="26"/>
        <v>0.60545679147652198</v>
      </c>
      <c r="I112" s="133">
        <v>483047.16</v>
      </c>
      <c r="J112" s="178">
        <f t="shared" si="27"/>
        <v>0.60545679147652198</v>
      </c>
      <c r="K112" s="32">
        <v>3770734</v>
      </c>
      <c r="L112" s="280">
        <v>6.700517435227718E-2</v>
      </c>
      <c r="M112" s="211">
        <f t="shared" si="23"/>
        <v>-0.87189572109833258</v>
      </c>
      <c r="N112" s="32">
        <v>3770734</v>
      </c>
      <c r="O112" s="280">
        <v>6.700517435227718E-2</v>
      </c>
      <c r="P112" s="211">
        <f t="shared" si="31"/>
        <v>-0.87189572109833258</v>
      </c>
    </row>
    <row r="113" spans="1:16" ht="14.1" customHeight="1" x14ac:dyDescent="0.2">
      <c r="A113" s="39" t="s">
        <v>595</v>
      </c>
      <c r="B113" s="40" t="s">
        <v>98</v>
      </c>
      <c r="C113" s="199">
        <v>171073344.52000001</v>
      </c>
      <c r="D113" s="205">
        <v>174535316.71000001</v>
      </c>
      <c r="E113" s="32">
        <v>173631387.11000001</v>
      </c>
      <c r="F113" s="280">
        <f t="shared" ref="F113:F119" si="34">+E113/D113</f>
        <v>0.99482093585963505</v>
      </c>
      <c r="G113" s="32">
        <v>173608137.11000001</v>
      </c>
      <c r="H113" s="48">
        <f t="shared" si="26"/>
        <v>0.99468772499756852</v>
      </c>
      <c r="I113" s="133">
        <v>15851685.91</v>
      </c>
      <c r="J113" s="178">
        <f t="shared" si="27"/>
        <v>9.0822225603420112E-2</v>
      </c>
      <c r="K113" s="32">
        <v>174329012.34</v>
      </c>
      <c r="L113" s="280">
        <v>0.98543521457595007</v>
      </c>
      <c r="M113" s="211">
        <f t="shared" si="23"/>
        <v>-4.1351420530855165E-3</v>
      </c>
      <c r="N113" s="32">
        <v>15127785.09</v>
      </c>
      <c r="O113" s="280">
        <v>8.5513317296540867E-2</v>
      </c>
      <c r="P113" s="211">
        <f t="shared" si="31"/>
        <v>4.7852399785777155E-2</v>
      </c>
    </row>
    <row r="114" spans="1:16" ht="14.1" customHeight="1" x14ac:dyDescent="0.2">
      <c r="A114" s="39" t="s">
        <v>596</v>
      </c>
      <c r="B114" s="40" t="s">
        <v>597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">
      <c r="A115" s="39" t="s">
        <v>598</v>
      </c>
      <c r="B115" s="40" t="s">
        <v>599</v>
      </c>
      <c r="C115" s="199">
        <v>29617801.809999999</v>
      </c>
      <c r="D115" s="205">
        <v>29549630.02</v>
      </c>
      <c r="E115" s="32">
        <v>24164746.690000001</v>
      </c>
      <c r="F115" s="280">
        <f t="shared" si="34"/>
        <v>0.81776816405635666</v>
      </c>
      <c r="G115" s="32">
        <v>24062426.620000001</v>
      </c>
      <c r="H115" s="48">
        <f t="shared" si="26"/>
        <v>0.81430551258049222</v>
      </c>
      <c r="I115" s="133">
        <v>2833691.69</v>
      </c>
      <c r="J115" s="178">
        <f t="shared" si="27"/>
        <v>9.5896012507841202E-2</v>
      </c>
      <c r="K115" s="32">
        <v>21801903.789999999</v>
      </c>
      <c r="L115" s="280">
        <v>0.71095069184967608</v>
      </c>
      <c r="M115" s="211">
        <f t="shared" si="23"/>
        <v>0.10368465303644037</v>
      </c>
      <c r="N115" s="32">
        <v>1174659.3500000001</v>
      </c>
      <c r="O115" s="280">
        <v>3.8305135442036134E-2</v>
      </c>
      <c r="P115" s="211">
        <f t="shared" ref="P115:P120" si="35">+I115/N115-1</f>
        <v>1.4123518788659877</v>
      </c>
    </row>
    <row r="116" spans="1:16" ht="14.1" customHeight="1" x14ac:dyDescent="0.2">
      <c r="A116" s="39" t="s">
        <v>600</v>
      </c>
      <c r="B116" s="40" t="s">
        <v>601</v>
      </c>
      <c r="C116" s="199">
        <v>1946253.38</v>
      </c>
      <c r="D116" s="205">
        <v>2306840.9</v>
      </c>
      <c r="E116" s="32">
        <v>2243741.7999999998</v>
      </c>
      <c r="F116" s="280">
        <f t="shared" si="34"/>
        <v>0.9726469649467373</v>
      </c>
      <c r="G116" s="32">
        <v>1479784.45</v>
      </c>
      <c r="H116" s="48">
        <f t="shared" si="26"/>
        <v>0.64147659684722946</v>
      </c>
      <c r="I116" s="133">
        <v>297905.19</v>
      </c>
      <c r="J116" s="178">
        <f t="shared" si="27"/>
        <v>0.12913989430307049</v>
      </c>
      <c r="K116" s="32">
        <v>513920.4</v>
      </c>
      <c r="L116" s="280">
        <v>0.34666934007665118</v>
      </c>
      <c r="M116" s="211">
        <f t="shared" si="23"/>
        <v>1.8794039894115895</v>
      </c>
      <c r="N116" s="32">
        <v>185964.19</v>
      </c>
      <c r="O116" s="280">
        <v>0.12544371273292318</v>
      </c>
      <c r="P116" s="211">
        <f t="shared" si="35"/>
        <v>0.6019492247405267</v>
      </c>
    </row>
    <row r="117" spans="1:16" ht="14.1" customHeight="1" x14ac:dyDescent="0.2">
      <c r="A117" s="39" t="s">
        <v>602</v>
      </c>
      <c r="B117" s="40" t="s">
        <v>603</v>
      </c>
      <c r="C117" s="199">
        <v>48802097.030000001</v>
      </c>
      <c r="D117" s="205">
        <v>48802097.030000001</v>
      </c>
      <c r="E117" s="32">
        <v>48748731.82</v>
      </c>
      <c r="F117" s="280">
        <f t="shared" si="34"/>
        <v>0.99890649760465833</v>
      </c>
      <c r="G117" s="32">
        <v>48748731.82</v>
      </c>
      <c r="H117" s="48">
        <f t="shared" si="26"/>
        <v>0.99890649760465833</v>
      </c>
      <c r="I117" s="133">
        <v>8000000</v>
      </c>
      <c r="J117" s="178">
        <f t="shared" si="27"/>
        <v>0.16392738195414386</v>
      </c>
      <c r="K117" s="32">
        <v>47823873</v>
      </c>
      <c r="L117" s="280">
        <v>0.99905252263540734</v>
      </c>
      <c r="M117" s="211">
        <f t="shared" si="23"/>
        <v>1.9338852376092674E-2</v>
      </c>
      <c r="N117" s="32">
        <v>9000000</v>
      </c>
      <c r="O117" s="280">
        <v>0.18801222359633371</v>
      </c>
      <c r="P117" s="211">
        <f t="shared" si="35"/>
        <v>-0.11111111111111116</v>
      </c>
    </row>
    <row r="118" spans="1:16" ht="14.1" customHeight="1" x14ac:dyDescent="0.2">
      <c r="A118" s="41">
        <v>1721</v>
      </c>
      <c r="B118" s="42" t="s">
        <v>604</v>
      </c>
      <c r="C118" s="199">
        <v>1270749.54</v>
      </c>
      <c r="D118" s="205">
        <v>1270749.54</v>
      </c>
      <c r="E118" s="32">
        <v>837973.3</v>
      </c>
      <c r="F118" s="280">
        <f t="shared" si="34"/>
        <v>0.6594323063850962</v>
      </c>
      <c r="G118" s="32">
        <v>422036.56</v>
      </c>
      <c r="H118" s="48">
        <f t="shared" si="26"/>
        <v>0.33211624062441131</v>
      </c>
      <c r="I118" s="133">
        <v>40848.46</v>
      </c>
      <c r="J118" s="178">
        <f t="shared" si="27"/>
        <v>3.2145170007301362E-2</v>
      </c>
      <c r="K118" s="32">
        <v>379766.25</v>
      </c>
      <c r="L118" s="390">
        <v>0.46773029382945364</v>
      </c>
      <c r="M118" s="211">
        <f t="shared" si="23"/>
        <v>0.11130612580765131</v>
      </c>
      <c r="N118" s="32">
        <v>77065.66</v>
      </c>
      <c r="O118" s="390">
        <v>9.4916132742076928E-2</v>
      </c>
      <c r="P118" s="211">
        <f t="shared" si="35"/>
        <v>-0.46995250543497591</v>
      </c>
    </row>
    <row r="119" spans="1:16" ht="14.1" customHeight="1" x14ac:dyDescent="0.2">
      <c r="A119" s="41" t="s">
        <v>605</v>
      </c>
      <c r="B119" s="42" t="s">
        <v>606</v>
      </c>
      <c r="C119" s="200">
        <v>2576457.23</v>
      </c>
      <c r="D119" s="206">
        <v>2928655.81</v>
      </c>
      <c r="E119" s="34">
        <v>2157205.29</v>
      </c>
      <c r="F119" s="280">
        <f t="shared" si="34"/>
        <v>0.73658546102759681</v>
      </c>
      <c r="G119" s="34">
        <v>1997305.29</v>
      </c>
      <c r="H119" s="48">
        <f t="shared" si="26"/>
        <v>0.68198703418139117</v>
      </c>
      <c r="I119" s="137">
        <v>128498.6</v>
      </c>
      <c r="J119" s="178">
        <f t="shared" si="27"/>
        <v>4.3876306516196589E-2</v>
      </c>
      <c r="K119" s="34">
        <v>545786.28</v>
      </c>
      <c r="L119" s="390">
        <v>0.48565209459904191</v>
      </c>
      <c r="M119" s="211">
        <f t="shared" si="23"/>
        <v>2.6595007298461222</v>
      </c>
      <c r="N119" s="34">
        <v>162527.45000000001</v>
      </c>
      <c r="O119" s="390">
        <v>0.14462033842686747</v>
      </c>
      <c r="P119" s="211">
        <f t="shared" si="35"/>
        <v>-0.20937293977109717</v>
      </c>
    </row>
    <row r="120" spans="1:16" ht="14.1" customHeight="1" x14ac:dyDescent="0.2">
      <c r="A120" s="667" t="s">
        <v>607</v>
      </c>
      <c r="B120" s="663" t="s">
        <v>608</v>
      </c>
      <c r="C120" s="662">
        <v>3772412.45</v>
      </c>
      <c r="D120" s="397">
        <v>3779582.45</v>
      </c>
      <c r="E120" s="398">
        <v>2597328.11</v>
      </c>
      <c r="F120" s="412">
        <f>+E120/D120</f>
        <v>0.68719974874473233</v>
      </c>
      <c r="G120" s="398">
        <v>2381480.2799999998</v>
      </c>
      <c r="H120" s="48">
        <f t="shared" si="26"/>
        <v>0.63009083979633773</v>
      </c>
      <c r="I120" s="237">
        <v>483886.68</v>
      </c>
      <c r="J120" s="427">
        <f t="shared" si="27"/>
        <v>0.12802649139192609</v>
      </c>
      <c r="K120" s="398">
        <v>1260608.19</v>
      </c>
      <c r="L120" s="412">
        <v>0.69305552158381389</v>
      </c>
      <c r="M120" s="211">
        <f t="shared" si="23"/>
        <v>0.88915183868510317</v>
      </c>
      <c r="N120" s="398">
        <v>339625</v>
      </c>
      <c r="O120" s="412">
        <v>0.1867185882061442</v>
      </c>
      <c r="P120" s="211">
        <f t="shared" si="35"/>
        <v>0.42476755244755249</v>
      </c>
    </row>
    <row r="121" spans="1:16" ht="14.1" customHeight="1" x14ac:dyDescent="0.2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823162792.81999981</v>
      </c>
      <c r="E121" s="203">
        <f>SUM(E87:E120)</f>
        <v>515539208.55000001</v>
      </c>
      <c r="F121" s="90">
        <f t="shared" ref="F121" si="36">+E121/D121</f>
        <v>0.62629070828609779</v>
      </c>
      <c r="G121" s="203">
        <f>SUM(G87:G120)</f>
        <v>509350271.84999996</v>
      </c>
      <c r="H121" s="90">
        <f t="shared" si="24"/>
        <v>0.61877222378463248</v>
      </c>
      <c r="I121" s="203">
        <f>SUM(I87:I120)</f>
        <v>101212118.71999998</v>
      </c>
      <c r="J121" s="170">
        <f t="shared" ref="J121" si="37">+I121/D121</f>
        <v>0.12295516707365554</v>
      </c>
      <c r="K121" s="568">
        <f>SUM(K87:K120)</f>
        <v>494469560.06999993</v>
      </c>
      <c r="L121" s="90">
        <v>0.58616762719283166</v>
      </c>
      <c r="M121" s="213">
        <f t="shared" si="23"/>
        <v>3.0094292918442678E-2</v>
      </c>
      <c r="N121" s="568">
        <f>SUM(N87:N120)</f>
        <v>113951491.78999999</v>
      </c>
      <c r="O121" s="90">
        <v>0.13508349340689829</v>
      </c>
      <c r="P121" s="213">
        <f t="shared" si="25"/>
        <v>-0.11179645715807973</v>
      </c>
    </row>
    <row r="122" spans="1:16" ht="14.1" customHeight="1" x14ac:dyDescent="0.2">
      <c r="A122" s="37" t="s">
        <v>609</v>
      </c>
      <c r="B122" s="38" t="s">
        <v>100</v>
      </c>
      <c r="C122" s="198">
        <v>557191.48</v>
      </c>
      <c r="D122" s="204">
        <v>560338.96</v>
      </c>
      <c r="E122" s="30">
        <v>120902.14</v>
      </c>
      <c r="F122" s="48">
        <f>+E122/D122</f>
        <v>0.21576607844651746</v>
      </c>
      <c r="G122" s="30">
        <v>120902.14</v>
      </c>
      <c r="H122" s="48">
        <f t="shared" si="24"/>
        <v>0.21576607844651746</v>
      </c>
      <c r="I122" s="30">
        <v>120902.14</v>
      </c>
      <c r="J122" s="153">
        <f t="shared" si="27"/>
        <v>0.21576607844651746</v>
      </c>
      <c r="K122" s="30">
        <v>126675.7</v>
      </c>
      <c r="L122" s="48">
        <v>0.21318626370110716</v>
      </c>
      <c r="M122" s="210">
        <f t="shared" si="23"/>
        <v>-4.5577486447677007E-2</v>
      </c>
      <c r="N122" s="30">
        <v>126675.7</v>
      </c>
      <c r="O122" s="48">
        <v>0.21318626370110716</v>
      </c>
      <c r="P122" s="210">
        <f t="shared" ref="P122:P148" si="38">+I122/N122-1</f>
        <v>-4.5577486447677007E-2</v>
      </c>
    </row>
    <row r="123" spans="1:16" ht="14.1" customHeight="1" x14ac:dyDescent="0.2">
      <c r="A123" s="39" t="s">
        <v>610</v>
      </c>
      <c r="B123" s="40" t="s">
        <v>611</v>
      </c>
      <c r="C123" s="199">
        <v>9112012.6300000008</v>
      </c>
      <c r="D123" s="205">
        <v>9299948.1600000001</v>
      </c>
      <c r="E123" s="32">
        <v>3417208.13</v>
      </c>
      <c r="F123" s="280">
        <f>+E123/D123</f>
        <v>0.36744378261136457</v>
      </c>
      <c r="G123" s="32">
        <v>2650258.73</v>
      </c>
      <c r="H123" s="280">
        <f t="shared" si="24"/>
        <v>0.2849756454986519</v>
      </c>
      <c r="I123" s="32">
        <v>1505994.91</v>
      </c>
      <c r="J123" s="178">
        <f t="shared" si="27"/>
        <v>0.16193583922085</v>
      </c>
      <c r="K123" s="32">
        <v>2486091.27</v>
      </c>
      <c r="L123" s="280">
        <v>0.30675350472939905</v>
      </c>
      <c r="M123" s="211">
        <f t="shared" si="23"/>
        <v>6.603436566510279E-2</v>
      </c>
      <c r="N123" s="32">
        <v>1644051.75</v>
      </c>
      <c r="O123" s="280">
        <v>0.20285604247707356</v>
      </c>
      <c r="P123" s="211">
        <f t="shared" si="38"/>
        <v>-8.3973536721091757E-2</v>
      </c>
    </row>
    <row r="124" spans="1:16" ht="14.1" customHeight="1" x14ac:dyDescent="0.2">
      <c r="A124" s="39" t="s">
        <v>612</v>
      </c>
      <c r="B124" s="40" t="s">
        <v>613</v>
      </c>
      <c r="C124" s="199">
        <v>9392699.8300000001</v>
      </c>
      <c r="D124" s="205">
        <v>9335127.8399999999</v>
      </c>
      <c r="E124" s="32">
        <v>2032634.15</v>
      </c>
      <c r="F124" s="280">
        <f t="shared" ref="F124:F138" si="39">+E124/D124</f>
        <v>0.21774036572808197</v>
      </c>
      <c r="G124" s="32">
        <v>1993773.67</v>
      </c>
      <c r="H124" s="280">
        <f t="shared" si="24"/>
        <v>0.21357754325086992</v>
      </c>
      <c r="I124" s="32">
        <v>1950225.28</v>
      </c>
      <c r="J124" s="178">
        <f t="shared" si="27"/>
        <v>0.20891254125556785</v>
      </c>
      <c r="K124" s="32">
        <v>2173055.5099999998</v>
      </c>
      <c r="L124" s="280">
        <v>0.23636682894994085</v>
      </c>
      <c r="M124" s="211">
        <f t="shared" si="23"/>
        <v>-8.2502190659639374E-2</v>
      </c>
      <c r="N124" s="32">
        <v>2135521.0699999998</v>
      </c>
      <c r="O124" s="280">
        <v>0.23228414605556241</v>
      </c>
      <c r="P124" s="211">
        <f t="shared" si="38"/>
        <v>-8.6768420411792002E-2</v>
      </c>
    </row>
    <row r="125" spans="1:16" ht="14.1" customHeight="1" x14ac:dyDescent="0.2">
      <c r="A125" s="39" t="s">
        <v>614</v>
      </c>
      <c r="B125" s="40" t="s">
        <v>615</v>
      </c>
      <c r="C125" s="199">
        <v>8507680.8399999999</v>
      </c>
      <c r="D125" s="205">
        <v>8765469.5</v>
      </c>
      <c r="E125" s="32">
        <v>2797520.15</v>
      </c>
      <c r="F125" s="280">
        <f t="shared" si="39"/>
        <v>0.31915234546192878</v>
      </c>
      <c r="G125" s="32">
        <v>2182409.5</v>
      </c>
      <c r="H125" s="280">
        <f t="shared" si="24"/>
        <v>0.24897804960704045</v>
      </c>
      <c r="I125" s="32">
        <v>791522.33</v>
      </c>
      <c r="J125" s="178">
        <f>I125/D125</f>
        <v>9.0300049529577389E-2</v>
      </c>
      <c r="K125" s="32">
        <v>1265159.79</v>
      </c>
      <c r="L125" s="280">
        <v>0.24958839933381138</v>
      </c>
      <c r="M125" s="211">
        <f t="shared" si="23"/>
        <v>0.72500700484639968</v>
      </c>
      <c r="N125" s="32">
        <v>532586.42000000004</v>
      </c>
      <c r="O125" s="280">
        <v>0.10506767060208655</v>
      </c>
      <c r="P125" s="211">
        <f t="shared" si="38"/>
        <v>0.4861857161134524</v>
      </c>
    </row>
    <row r="126" spans="1:16" ht="14.1" customHeight="1" x14ac:dyDescent="0.2">
      <c r="A126" s="39" t="s">
        <v>616</v>
      </c>
      <c r="B126" s="40" t="s">
        <v>618</v>
      </c>
      <c r="C126" s="199">
        <v>8498539.1999999993</v>
      </c>
      <c r="D126" s="205">
        <v>9063165.5500000007</v>
      </c>
      <c r="E126" s="32">
        <v>3751042.46</v>
      </c>
      <c r="F126" s="280">
        <f t="shared" si="39"/>
        <v>0.41387773833613795</v>
      </c>
      <c r="G126" s="32">
        <v>2239310.7200000002</v>
      </c>
      <c r="H126" s="280">
        <f t="shared" si="24"/>
        <v>0.24707820988661075</v>
      </c>
      <c r="I126" s="32">
        <v>1391890.24</v>
      </c>
      <c r="J126" s="178">
        <f t="shared" si="27"/>
        <v>0.15357660988549413</v>
      </c>
      <c r="K126" s="32">
        <v>3444101.28</v>
      </c>
      <c r="L126" s="280">
        <v>0.43137586899641395</v>
      </c>
      <c r="M126" s="211">
        <f t="shared" si="23"/>
        <v>-0.34981275579677484</v>
      </c>
      <c r="N126" s="32">
        <v>1441694.27</v>
      </c>
      <c r="O126" s="280">
        <v>0.18057312140030932</v>
      </c>
      <c r="P126" s="211">
        <f t="shared" si="38"/>
        <v>-3.4545486540638048E-2</v>
      </c>
    </row>
    <row r="127" spans="1:16" ht="14.1" customHeight="1" x14ac:dyDescent="0.2">
      <c r="A127" s="39" t="s">
        <v>617</v>
      </c>
      <c r="B127" s="40" t="s">
        <v>619</v>
      </c>
      <c r="C127" s="199">
        <v>1364200</v>
      </c>
      <c r="D127" s="205">
        <v>1364200</v>
      </c>
      <c r="E127" s="32">
        <v>269091.94</v>
      </c>
      <c r="F127" s="280">
        <f t="shared" si="39"/>
        <v>0.19725255827591262</v>
      </c>
      <c r="G127" s="32">
        <v>116091.94</v>
      </c>
      <c r="H127" s="280">
        <f t="shared" si="24"/>
        <v>8.5098915115085771E-2</v>
      </c>
      <c r="I127" s="32">
        <v>34494.620000000003</v>
      </c>
      <c r="J127" s="178">
        <f t="shared" si="27"/>
        <v>2.5285603283975958E-2</v>
      </c>
      <c r="K127" s="32">
        <v>168551.31</v>
      </c>
      <c r="L127" s="280">
        <v>0.11414221555801497</v>
      </c>
      <c r="M127" s="211">
        <f t="shared" si="23"/>
        <v>-0.3112367978629178</v>
      </c>
      <c r="N127" s="32">
        <v>40309.96</v>
      </c>
      <c r="O127" s="280">
        <v>2.7297729952113461E-2</v>
      </c>
      <c r="P127" s="211">
        <f t="shared" si="38"/>
        <v>-0.14426558597428518</v>
      </c>
    </row>
    <row r="128" spans="1:16" ht="14.1" customHeight="1" x14ac:dyDescent="0.2">
      <c r="A128" s="39" t="s">
        <v>620</v>
      </c>
      <c r="B128" s="40" t="s">
        <v>621</v>
      </c>
      <c r="C128" s="199">
        <v>32027467.34</v>
      </c>
      <c r="D128" s="205">
        <v>31908767.34</v>
      </c>
      <c r="E128" s="32">
        <v>24080071.190000001</v>
      </c>
      <c r="F128" s="280">
        <f t="shared" si="39"/>
        <v>0.75465375811662427</v>
      </c>
      <c r="G128" s="32">
        <v>22096579.809999999</v>
      </c>
      <c r="H128" s="280">
        <f t="shared" si="24"/>
        <v>0.69249242926097931</v>
      </c>
      <c r="I128" s="32">
        <v>2886942.41</v>
      </c>
      <c r="J128" s="178">
        <f t="shared" si="27"/>
        <v>9.0474896107346783E-2</v>
      </c>
      <c r="K128" s="32">
        <v>24493632.66</v>
      </c>
      <c r="L128" s="280">
        <v>0.83406662285214328</v>
      </c>
      <c r="M128" s="211">
        <f t="shared" si="23"/>
        <v>-9.7864325936208529E-2</v>
      </c>
      <c r="N128" s="32">
        <v>5049718.7300000004</v>
      </c>
      <c r="O128" s="280">
        <v>0.17195496911172808</v>
      </c>
      <c r="P128" s="211">
        <f t="shared" si="38"/>
        <v>-0.42829639345080917</v>
      </c>
    </row>
    <row r="129" spans="1:16" ht="14.1" customHeight="1" x14ac:dyDescent="0.2">
      <c r="A129" s="39" t="s">
        <v>622</v>
      </c>
      <c r="B129" s="40" t="s">
        <v>625</v>
      </c>
      <c r="C129" s="199">
        <v>36671618.640000001</v>
      </c>
      <c r="D129" s="205">
        <v>36871235.530000001</v>
      </c>
      <c r="E129" s="32">
        <v>29946811.649999999</v>
      </c>
      <c r="F129" s="280">
        <f t="shared" si="39"/>
        <v>0.81219984140846058</v>
      </c>
      <c r="G129" s="32">
        <v>29718811.649999999</v>
      </c>
      <c r="H129" s="280">
        <f t="shared" si="24"/>
        <v>0.80601615928545467</v>
      </c>
      <c r="I129" s="32">
        <v>3858493.6</v>
      </c>
      <c r="J129" s="178">
        <f t="shared" si="27"/>
        <v>0.10464779778970427</v>
      </c>
      <c r="K129" s="32">
        <v>20911179.809999999</v>
      </c>
      <c r="L129" s="280">
        <v>0.77596302869683453</v>
      </c>
      <c r="M129" s="211">
        <f t="shared" si="23"/>
        <v>0.42119248746491467</v>
      </c>
      <c r="N129" s="32">
        <v>3984628.94</v>
      </c>
      <c r="O129" s="280">
        <v>0.14785988971491981</v>
      </c>
      <c r="P129" s="211">
        <f t="shared" si="38"/>
        <v>-3.1655479568945766E-2</v>
      </c>
    </row>
    <row r="130" spans="1:16" ht="14.1" customHeight="1" x14ac:dyDescent="0.2">
      <c r="A130" s="39" t="s">
        <v>623</v>
      </c>
      <c r="B130" s="40" t="s">
        <v>624</v>
      </c>
      <c r="C130" s="199">
        <v>140935753.61000001</v>
      </c>
      <c r="D130" s="205">
        <v>145859031.77000001</v>
      </c>
      <c r="E130" s="32">
        <v>139935753.61000001</v>
      </c>
      <c r="F130" s="280">
        <f t="shared" si="39"/>
        <v>0.95939039161222317</v>
      </c>
      <c r="G130" s="32">
        <v>136435753.61000001</v>
      </c>
      <c r="H130" s="280">
        <f t="shared" si="24"/>
        <v>0.93539462009552321</v>
      </c>
      <c r="I130" s="32">
        <v>34309400</v>
      </c>
      <c r="J130" s="178">
        <f t="shared" si="27"/>
        <v>0.23522300665001869</v>
      </c>
      <c r="K130" s="32">
        <v>94395071.620000005</v>
      </c>
      <c r="L130" s="280">
        <v>0.96622142811015221</v>
      </c>
      <c r="M130" s="211">
        <f t="shared" si="23"/>
        <v>0.44536945910947989</v>
      </c>
      <c r="N130" s="32">
        <v>29480412.609999999</v>
      </c>
      <c r="O130" s="280">
        <v>0.30175946566341233</v>
      </c>
      <c r="P130" s="211">
        <f t="shared" si="38"/>
        <v>0.16380324976733762</v>
      </c>
    </row>
    <row r="131" spans="1:16" ht="15.75" thickBot="1" x14ac:dyDescent="0.3">
      <c r="A131" s="7" t="s">
        <v>19</v>
      </c>
      <c r="L131" s="687"/>
      <c r="N131" s="97"/>
      <c r="O131" s="687"/>
      <c r="P131" s="522"/>
    </row>
    <row r="132" spans="1:16" ht="12.75" customHeight="1" x14ac:dyDescent="0.2">
      <c r="A132" s="753" t="s">
        <v>758</v>
      </c>
      <c r="B132" s="754"/>
      <c r="C132" s="164" t="s">
        <v>767</v>
      </c>
      <c r="D132" s="739" t="s">
        <v>781</v>
      </c>
      <c r="E132" s="740"/>
      <c r="F132" s="740"/>
      <c r="G132" s="740"/>
      <c r="H132" s="740"/>
      <c r="I132" s="740"/>
      <c r="J132" s="741"/>
      <c r="K132" s="748" t="s">
        <v>782</v>
      </c>
      <c r="L132" s="755"/>
      <c r="M132" s="755"/>
      <c r="N132" s="755"/>
      <c r="O132" s="755"/>
      <c r="P132" s="756"/>
    </row>
    <row r="133" spans="1:16" ht="12.75" customHeight="1" x14ac:dyDescent="0.2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94" t="s">
        <v>545</v>
      </c>
      <c r="L133" s="88" t="s">
        <v>546</v>
      </c>
      <c r="M133" s="88" t="s">
        <v>547</v>
      </c>
      <c r="N133" s="87" t="s">
        <v>39</v>
      </c>
      <c r="O133" s="88" t="s">
        <v>40</v>
      </c>
      <c r="P133" s="611" t="s">
        <v>362</v>
      </c>
    </row>
    <row r="134" spans="1:16" ht="14.1" customHeight="1" x14ac:dyDescent="0.2">
      <c r="A134" s="681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13" t="s">
        <v>766</v>
      </c>
      <c r="N134" s="564" t="s">
        <v>17</v>
      </c>
      <c r="O134" s="89" t="s">
        <v>18</v>
      </c>
      <c r="P134" s="612" t="s">
        <v>766</v>
      </c>
    </row>
    <row r="135" spans="1:16" ht="14.1" customHeight="1" x14ac:dyDescent="0.2">
      <c r="A135" s="37" t="s">
        <v>626</v>
      </c>
      <c r="B135" s="38" t="s">
        <v>627</v>
      </c>
      <c r="C135" s="198">
        <v>7411204.5599999996</v>
      </c>
      <c r="D135" s="204">
        <v>7462004.5599999996</v>
      </c>
      <c r="E135" s="30">
        <v>4783827.3499999996</v>
      </c>
      <c r="F135" s="48">
        <f t="shared" si="39"/>
        <v>0.64109145358120767</v>
      </c>
      <c r="G135" s="136">
        <v>3709579.41</v>
      </c>
      <c r="H135" s="48">
        <f t="shared" ref="H135:H138" si="40">+G135/D135</f>
        <v>0.49712907304897175</v>
      </c>
      <c r="I135" s="136">
        <v>784021.63</v>
      </c>
      <c r="J135" s="153">
        <f t="shared" ref="J135:J138" si="41">+I135/D135</f>
        <v>0.10506850052099138</v>
      </c>
      <c r="K135" s="30">
        <v>2818669.89</v>
      </c>
      <c r="L135" s="48">
        <v>0.43195926680672625</v>
      </c>
      <c r="M135" s="210">
        <f t="shared" si="23"/>
        <v>0.31607444460266332</v>
      </c>
      <c r="N135" s="30">
        <v>671410.81</v>
      </c>
      <c r="O135" s="48">
        <v>0.10289325551837154</v>
      </c>
      <c r="P135" s="210">
        <f t="shared" si="38"/>
        <v>0.16772267935334551</v>
      </c>
    </row>
    <row r="136" spans="1:16" ht="14.1" customHeight="1" x14ac:dyDescent="0.2">
      <c r="A136" s="39" t="s">
        <v>628</v>
      </c>
      <c r="B136" s="40" t="s">
        <v>629</v>
      </c>
      <c r="C136" s="199">
        <v>11963437.41</v>
      </c>
      <c r="D136" s="205">
        <v>11963437.41</v>
      </c>
      <c r="E136" s="32">
        <v>6288156.1799999997</v>
      </c>
      <c r="F136" s="280">
        <f t="shared" si="39"/>
        <v>0.52561450062369652</v>
      </c>
      <c r="G136" s="133">
        <v>5385536.0099999998</v>
      </c>
      <c r="H136" s="280">
        <f t="shared" si="40"/>
        <v>0.45016627123391284</v>
      </c>
      <c r="I136" s="133">
        <v>409870.18</v>
      </c>
      <c r="J136" s="178">
        <f t="shared" si="41"/>
        <v>3.4260235244545821E-2</v>
      </c>
      <c r="K136" s="32">
        <v>3916003.59</v>
      </c>
      <c r="L136" s="280">
        <v>0.60713134553379711</v>
      </c>
      <c r="M136" s="211">
        <f t="shared" si="23"/>
        <v>0.37526329744759002</v>
      </c>
      <c r="N136" s="32">
        <v>904989.52</v>
      </c>
      <c r="O136" s="280">
        <v>0.14030822299925041</v>
      </c>
      <c r="P136" s="211">
        <f t="shared" si="38"/>
        <v>-0.54709952884316282</v>
      </c>
    </row>
    <row r="137" spans="1:16" ht="14.1" customHeight="1" x14ac:dyDescent="0.2">
      <c r="A137" s="39" t="s">
        <v>630</v>
      </c>
      <c r="B137" s="40" t="s">
        <v>631</v>
      </c>
      <c r="C137" s="199">
        <v>619200</v>
      </c>
      <c r="D137" s="205">
        <v>605376</v>
      </c>
      <c r="E137" s="32">
        <v>146538</v>
      </c>
      <c r="F137" s="280">
        <f t="shared" si="39"/>
        <v>0.24206113225499523</v>
      </c>
      <c r="G137" s="133">
        <v>21538</v>
      </c>
      <c r="H137" s="280">
        <f t="shared" si="40"/>
        <v>3.5577888783169469E-2</v>
      </c>
      <c r="I137" s="133">
        <v>0</v>
      </c>
      <c r="J137" s="178">
        <f t="shared" si="41"/>
        <v>0</v>
      </c>
      <c r="K137" s="32">
        <v>0</v>
      </c>
      <c r="L137" s="280">
        <v>0</v>
      </c>
      <c r="M137" s="211" t="s">
        <v>129</v>
      </c>
      <c r="N137" s="32">
        <v>0</v>
      </c>
      <c r="O137" s="280">
        <v>0</v>
      </c>
      <c r="P137" s="211" t="s">
        <v>129</v>
      </c>
    </row>
    <row r="138" spans="1:16" ht="14.1" customHeight="1" x14ac:dyDescent="0.2">
      <c r="A138" s="39" t="s">
        <v>632</v>
      </c>
      <c r="B138" s="40" t="s">
        <v>633</v>
      </c>
      <c r="C138" s="199">
        <v>3840200</v>
      </c>
      <c r="D138" s="205">
        <v>3855014.28</v>
      </c>
      <c r="E138" s="32">
        <v>3393818.88</v>
      </c>
      <c r="F138" s="280">
        <f t="shared" si="39"/>
        <v>0.88036480113894677</v>
      </c>
      <c r="G138" s="133">
        <v>3393818.88</v>
      </c>
      <c r="H138" s="280">
        <f t="shared" si="40"/>
        <v>0.88036480113894677</v>
      </c>
      <c r="I138" s="133">
        <v>615839.68000000005</v>
      </c>
      <c r="J138" s="178">
        <f t="shared" si="41"/>
        <v>0.1597502979937081</v>
      </c>
      <c r="K138" s="32">
        <v>2889304.31</v>
      </c>
      <c r="L138" s="280">
        <v>0.75369878961784276</v>
      </c>
      <c r="M138" s="211">
        <f t="shared" si="23"/>
        <v>0.17461454934111797</v>
      </c>
      <c r="N138" s="32">
        <v>604381.61</v>
      </c>
      <c r="O138" s="280">
        <v>0.15765791313421154</v>
      </c>
      <c r="P138" s="211">
        <f t="shared" si="38"/>
        <v>1.8958336604583348E-2</v>
      </c>
    </row>
    <row r="139" spans="1:16" ht="14.1" customHeight="1" x14ac:dyDescent="0.2">
      <c r="A139" s="39" t="s">
        <v>634</v>
      </c>
      <c r="B139" s="40" t="s">
        <v>635</v>
      </c>
      <c r="C139" s="199">
        <v>7354400.5099999998</v>
      </c>
      <c r="D139" s="205">
        <v>7370802.0599999996</v>
      </c>
      <c r="E139" s="32">
        <v>6081812.7199999997</v>
      </c>
      <c r="F139" s="280">
        <f>+E139/D139</f>
        <v>0.82512224185274075</v>
      </c>
      <c r="G139" s="133">
        <v>2694517.49</v>
      </c>
      <c r="H139" s="280">
        <f>+G139/D139</f>
        <v>0.36556638857834156</v>
      </c>
      <c r="I139" s="133">
        <v>619758.93999999994</v>
      </c>
      <c r="J139" s="178">
        <f>+I139/D139</f>
        <v>8.4082971561984937E-2</v>
      </c>
      <c r="K139" s="32">
        <v>2276862.9900000002</v>
      </c>
      <c r="L139" s="280">
        <v>0.44026740972705064</v>
      </c>
      <c r="M139" s="211">
        <f t="shared" si="23"/>
        <v>0.1834341819575187</v>
      </c>
      <c r="N139" s="32">
        <v>383125.86</v>
      </c>
      <c r="O139" s="280">
        <v>7.40834344106268E-2</v>
      </c>
      <c r="P139" s="211">
        <f t="shared" si="38"/>
        <v>0.61763797411117061</v>
      </c>
    </row>
    <row r="140" spans="1:16" ht="14.1" customHeight="1" x14ac:dyDescent="0.2">
      <c r="A140" s="39" t="s">
        <v>636</v>
      </c>
      <c r="B140" s="40" t="s">
        <v>637</v>
      </c>
      <c r="C140" s="199">
        <v>6846944.8200000003</v>
      </c>
      <c r="D140" s="205">
        <v>6782995.2599999998</v>
      </c>
      <c r="E140" s="32">
        <v>4958738.72</v>
      </c>
      <c r="F140" s="280">
        <f t="shared" ref="F140:F147" si="42">+E140/D140</f>
        <v>0.73105442801090792</v>
      </c>
      <c r="G140" s="133">
        <v>4112931.29</v>
      </c>
      <c r="H140" s="280">
        <f t="shared" ref="H140:H147" si="43">+G140/D140</f>
        <v>0.60635915732602186</v>
      </c>
      <c r="I140" s="133">
        <v>720558.37</v>
      </c>
      <c r="J140" s="178">
        <f>+I140/D140</f>
        <v>0.10623011551389468</v>
      </c>
      <c r="K140" s="32">
        <v>3192374.47</v>
      </c>
      <c r="L140" s="390">
        <v>0.55276469888825119</v>
      </c>
      <c r="M140" s="211">
        <f t="shared" si="23"/>
        <v>0.28836116459733496</v>
      </c>
      <c r="N140" s="32">
        <v>778048.31</v>
      </c>
      <c r="O140" s="390">
        <v>0.13472029795980128</v>
      </c>
      <c r="P140" s="211">
        <f t="shared" si="38"/>
        <v>-7.3889936217456764E-2</v>
      </c>
    </row>
    <row r="141" spans="1:16" ht="14.1" customHeight="1" x14ac:dyDescent="0.2">
      <c r="A141" s="39" t="s">
        <v>638</v>
      </c>
      <c r="B141" s="40" t="s">
        <v>639</v>
      </c>
      <c r="C141" s="199">
        <v>6662283.29</v>
      </c>
      <c r="D141" s="205">
        <v>6611181.7400000002</v>
      </c>
      <c r="E141" s="32">
        <v>3380586.27</v>
      </c>
      <c r="F141" s="280">
        <f t="shared" si="42"/>
        <v>0.51134372082773816</v>
      </c>
      <c r="G141" s="133">
        <v>2888469.97</v>
      </c>
      <c r="H141" s="280">
        <f t="shared" si="43"/>
        <v>0.43690675640086096</v>
      </c>
      <c r="I141" s="133">
        <v>462743.81</v>
      </c>
      <c r="J141" s="178">
        <f t="shared" ref="J141:J147" si="44">+I141/D141</f>
        <v>6.9994114244392253E-2</v>
      </c>
      <c r="K141" s="32">
        <v>2717124.12</v>
      </c>
      <c r="L141" s="390">
        <v>0.69583461541684366</v>
      </c>
      <c r="M141" s="211">
        <f t="shared" si="23"/>
        <v>6.306147324620559E-2</v>
      </c>
      <c r="N141" s="32">
        <v>1105441.02</v>
      </c>
      <c r="O141" s="390">
        <v>0.28309495372544974</v>
      </c>
      <c r="P141" s="211">
        <f t="shared" si="38"/>
        <v>-0.58139439225803291</v>
      </c>
    </row>
    <row r="142" spans="1:16" ht="14.1" customHeight="1" x14ac:dyDescent="0.2">
      <c r="A142" s="39" t="s">
        <v>640</v>
      </c>
      <c r="B142" s="40" t="s">
        <v>641</v>
      </c>
      <c r="C142" s="199">
        <v>1046944.94</v>
      </c>
      <c r="D142" s="205">
        <v>1081444.94</v>
      </c>
      <c r="E142" s="32">
        <v>428766.34</v>
      </c>
      <c r="F142" s="280">
        <f t="shared" si="42"/>
        <v>0.39647542296513039</v>
      </c>
      <c r="G142" s="133">
        <v>142701.66</v>
      </c>
      <c r="H142" s="280">
        <f>+G142/D142</f>
        <v>0.13195462359831284</v>
      </c>
      <c r="I142" s="133">
        <v>32270.799999999999</v>
      </c>
      <c r="J142" s="178">
        <f t="shared" si="44"/>
        <v>2.9840446615802742E-2</v>
      </c>
      <c r="K142" s="32">
        <v>342292.03</v>
      </c>
      <c r="L142" s="390">
        <v>0.44593447523617918</v>
      </c>
      <c r="M142" s="211">
        <f t="shared" si="23"/>
        <v>-0.58309967076943048</v>
      </c>
      <c r="N142" s="32">
        <v>67053.39</v>
      </c>
      <c r="O142" s="390">
        <v>8.7356454903308331E-2</v>
      </c>
      <c r="P142" s="211">
        <f t="shared" si="38"/>
        <v>-0.51872977637670514</v>
      </c>
    </row>
    <row r="143" spans="1:16" ht="14.1" customHeight="1" x14ac:dyDescent="0.2">
      <c r="A143" s="39" t="s">
        <v>642</v>
      </c>
      <c r="B143" s="40" t="s">
        <v>643</v>
      </c>
      <c r="C143" s="199">
        <v>3071168.61</v>
      </c>
      <c r="D143" s="205">
        <v>3035368.61</v>
      </c>
      <c r="E143" s="32">
        <v>1810606.17</v>
      </c>
      <c r="F143" s="280">
        <f>+E143/D143</f>
        <v>0.59650289722143501</v>
      </c>
      <c r="G143" s="133">
        <v>717768.23</v>
      </c>
      <c r="H143" s="280">
        <f t="shared" si="43"/>
        <v>0.23646822584753555</v>
      </c>
      <c r="I143" s="133">
        <v>113811.29</v>
      </c>
      <c r="J143" s="178">
        <f t="shared" si="44"/>
        <v>3.7495047430170271E-2</v>
      </c>
      <c r="K143" s="32">
        <v>511784.17</v>
      </c>
      <c r="L143" s="390">
        <v>0.27981423499828095</v>
      </c>
      <c r="M143" s="211">
        <f t="shared" si="23"/>
        <v>0.40248228076300219</v>
      </c>
      <c r="N143" s="32">
        <v>52394.9</v>
      </c>
      <c r="O143" s="390">
        <v>2.864652664288431E-2</v>
      </c>
      <c r="P143" s="211">
        <f t="shared" si="38"/>
        <v>1.172182597924607</v>
      </c>
    </row>
    <row r="144" spans="1:16" ht="14.1" customHeight="1" x14ac:dyDescent="0.2">
      <c r="A144" s="39" t="s">
        <v>644</v>
      </c>
      <c r="B144" s="40" t="s">
        <v>645</v>
      </c>
      <c r="C144" s="199">
        <v>3957522.84</v>
      </c>
      <c r="D144" s="205">
        <v>4025107.1</v>
      </c>
      <c r="E144" s="32">
        <v>2304752.2000000002</v>
      </c>
      <c r="F144" s="280">
        <f t="shared" si="42"/>
        <v>0.57259400625638013</v>
      </c>
      <c r="G144" s="133">
        <v>1492289.13</v>
      </c>
      <c r="H144" s="280">
        <f t="shared" si="43"/>
        <v>0.37074519830789093</v>
      </c>
      <c r="I144" s="133">
        <v>300213.78000000003</v>
      </c>
      <c r="J144" s="178">
        <f t="shared" si="44"/>
        <v>7.4585289916881972E-2</v>
      </c>
      <c r="K144" s="32">
        <v>529276.11</v>
      </c>
      <c r="L144" s="390">
        <v>0.19144057086226909</v>
      </c>
      <c r="M144" s="211">
        <f t="shared" si="23"/>
        <v>1.8194908135944394</v>
      </c>
      <c r="N144" s="32">
        <v>196364.21</v>
      </c>
      <c r="O144" s="390">
        <v>7.1025454860070086E-2</v>
      </c>
      <c r="P144" s="211">
        <f t="shared" si="38"/>
        <v>0.5288620059633069</v>
      </c>
    </row>
    <row r="145" spans="1:18" ht="14.1" customHeight="1" x14ac:dyDescent="0.2">
      <c r="A145" s="39" t="s">
        <v>646</v>
      </c>
      <c r="B145" s="40" t="s">
        <v>647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>
        <v>0</v>
      </c>
      <c r="M145" s="211" t="s">
        <v>129</v>
      </c>
      <c r="N145" s="32">
        <v>0</v>
      </c>
      <c r="O145" s="390">
        <v>0</v>
      </c>
      <c r="P145" s="211" t="s">
        <v>129</v>
      </c>
    </row>
    <row r="146" spans="1:18" ht="14.1" customHeight="1" x14ac:dyDescent="0.2">
      <c r="A146" s="39" t="s">
        <v>648</v>
      </c>
      <c r="B146" s="40" t="s">
        <v>649</v>
      </c>
      <c r="C146" s="199">
        <v>543815.78</v>
      </c>
      <c r="D146" s="205">
        <v>638250.91</v>
      </c>
      <c r="E146" s="32">
        <v>226844.78</v>
      </c>
      <c r="F146" s="280">
        <f t="shared" si="42"/>
        <v>0.35541630485101855</v>
      </c>
      <c r="G146" s="133">
        <v>226844.78</v>
      </c>
      <c r="H146" s="280">
        <f t="shared" si="43"/>
        <v>0.35541630485101855</v>
      </c>
      <c r="I146" s="133">
        <v>43213.61</v>
      </c>
      <c r="J146" s="178">
        <f t="shared" si="44"/>
        <v>6.7706303779496366E-2</v>
      </c>
      <c r="K146" s="32">
        <v>394689.26</v>
      </c>
      <c r="L146" s="390">
        <v>0.67826130381489147</v>
      </c>
      <c r="M146" s="211">
        <f t="shared" si="23"/>
        <v>-0.42525727707918881</v>
      </c>
      <c r="N146" s="32">
        <v>157500</v>
      </c>
      <c r="O146" s="390">
        <v>0.27065888580511516</v>
      </c>
      <c r="P146" s="211">
        <f t="shared" si="38"/>
        <v>-0.72562787301587295</v>
      </c>
    </row>
    <row r="147" spans="1:18" ht="14.1" customHeight="1" x14ac:dyDescent="0.2">
      <c r="A147" s="39" t="s">
        <v>650</v>
      </c>
      <c r="B147" s="40" t="s">
        <v>651</v>
      </c>
      <c r="C147" s="199">
        <v>10158466.529999999</v>
      </c>
      <c r="D147" s="205">
        <v>10170466.529999999</v>
      </c>
      <c r="E147" s="32">
        <v>7850013.4699999997</v>
      </c>
      <c r="F147" s="280">
        <f t="shared" si="42"/>
        <v>0.77184399032676432</v>
      </c>
      <c r="G147" s="133">
        <v>2500624.71</v>
      </c>
      <c r="H147" s="280">
        <f t="shared" si="43"/>
        <v>0.24587119013900341</v>
      </c>
      <c r="I147" s="133">
        <v>76971.44</v>
      </c>
      <c r="J147" s="178">
        <f t="shared" si="44"/>
        <v>7.5681326685414115E-3</v>
      </c>
      <c r="K147" s="32">
        <v>2302213.0499999998</v>
      </c>
      <c r="L147" s="390">
        <v>0.31322626530612241</v>
      </c>
      <c r="M147" s="211">
        <f t="shared" si="23"/>
        <v>8.6183014208871755E-2</v>
      </c>
      <c r="N147" s="32">
        <v>1144.78</v>
      </c>
      <c r="O147" s="390">
        <v>1.5575238095238094E-4</v>
      </c>
      <c r="P147" s="211">
        <f t="shared" si="38"/>
        <v>66.236883942766298</v>
      </c>
    </row>
    <row r="148" spans="1:18" ht="14.1" customHeight="1" x14ac:dyDescent="0.2">
      <c r="A148" s="253">
        <v>2341</v>
      </c>
      <c r="B148" s="40" t="s">
        <v>431</v>
      </c>
      <c r="C148" s="199">
        <v>10668077.699999999</v>
      </c>
      <c r="D148" s="205">
        <v>10666625.029999999</v>
      </c>
      <c r="E148" s="32">
        <v>10566894.73</v>
      </c>
      <c r="F148" s="280">
        <f>+E148/D148</f>
        <v>0.99065024787882705</v>
      </c>
      <c r="G148" s="133">
        <v>10508445.6</v>
      </c>
      <c r="H148" s="280">
        <f>+G148/D148</f>
        <v>0.98517062055194415</v>
      </c>
      <c r="I148" s="133">
        <v>1802375.87</v>
      </c>
      <c r="J148" s="178">
        <f>+I148/D148</f>
        <v>0.16897339738959588</v>
      </c>
      <c r="K148" s="32">
        <v>8729160.3399999999</v>
      </c>
      <c r="L148" s="390">
        <v>0.97811375592876448</v>
      </c>
      <c r="M148" s="211">
        <f t="shared" si="23"/>
        <v>0.20383234935514993</v>
      </c>
      <c r="N148" s="32">
        <v>2757115.74</v>
      </c>
      <c r="O148" s="390">
        <v>0.30893840036643377</v>
      </c>
      <c r="P148" s="211">
        <f t="shared" si="38"/>
        <v>-0.34628211509176621</v>
      </c>
    </row>
    <row r="149" spans="1:18" ht="14.1" customHeight="1" x14ac:dyDescent="0.2">
      <c r="A149" s="18">
        <v>2</v>
      </c>
      <c r="B149" s="518" t="s">
        <v>125</v>
      </c>
      <c r="C149" s="201">
        <f>SUM(C122:C130,C135:C148)</f>
        <v>321210830.55999994</v>
      </c>
      <c r="D149" s="207">
        <f>SUM(D122:D130,D135:D148)</f>
        <v>327295359.08000004</v>
      </c>
      <c r="E149" s="203">
        <f>SUM(E122:E130,E135:E148)</f>
        <v>258572391.22999999</v>
      </c>
      <c r="F149" s="232">
        <f>E149/D149</f>
        <v>0.79002767395426998</v>
      </c>
      <c r="G149" s="203">
        <f>SUM(G122:G130,G135:G148)</f>
        <v>235348956.92999998</v>
      </c>
      <c r="H149" s="232">
        <f>G149/D149</f>
        <v>0.71907208703339476</v>
      </c>
      <c r="I149" s="203">
        <f>SUM(I122:I130,I135:I148)</f>
        <v>52831514.929999992</v>
      </c>
      <c r="J149" s="277">
        <f>I149/D149</f>
        <v>0.16141846642282059</v>
      </c>
      <c r="K149" s="568">
        <f>SUM(K122:K148)</f>
        <v>180083273.28</v>
      </c>
      <c r="L149" s="90">
        <v>0.73856520893235933</v>
      </c>
      <c r="M149" s="213">
        <f t="shared" si="23"/>
        <v>0.30688959970241592</v>
      </c>
      <c r="N149" s="568">
        <f>SUM(N122:N148)</f>
        <v>52114569.600000009</v>
      </c>
      <c r="O149" s="90">
        <v>0.21373449784643977</v>
      </c>
      <c r="P149" s="213">
        <f t="shared" ref="P149" si="45">+I149/N149-1</f>
        <v>1.3757099703649578E-2</v>
      </c>
      <c r="R149"/>
    </row>
    <row r="150" spans="1:18" ht="14.1" customHeight="1" x14ac:dyDescent="0.2">
      <c r="A150" s="37">
        <v>3111</v>
      </c>
      <c r="B150" s="38" t="s">
        <v>653</v>
      </c>
      <c r="C150" s="198">
        <v>19998074.850000001</v>
      </c>
      <c r="D150" s="539">
        <v>19983074.850000001</v>
      </c>
      <c r="E150" s="56">
        <v>18090513.149999999</v>
      </c>
      <c r="F150" s="48">
        <f t="shared" ref="F150:F159" si="46">+E150/D150</f>
        <v>0.90529176744789086</v>
      </c>
      <c r="G150" s="56">
        <v>17780123.399999999</v>
      </c>
      <c r="H150" s="48">
        <f t="shared" ref="H150:H159" si="47">+G150/D150</f>
        <v>0.8897591353414761</v>
      </c>
      <c r="I150" s="56">
        <v>5785201.7699999996</v>
      </c>
      <c r="J150" s="153">
        <f t="shared" ref="J150:J159" si="48">+I150/D150</f>
        <v>0.28950508434891836</v>
      </c>
      <c r="K150" s="180">
        <v>16110733.17</v>
      </c>
      <c r="L150" s="48">
        <v>0.97035956626289366</v>
      </c>
      <c r="M150" s="210">
        <f t="shared" si="23"/>
        <v>0.10361975537578827</v>
      </c>
      <c r="N150" s="180">
        <v>5183836.0999999996</v>
      </c>
      <c r="O150" s="48">
        <v>0.31222570050012999</v>
      </c>
      <c r="P150" s="210">
        <f>+I150/N150-1</f>
        <v>0.11600784793330954</v>
      </c>
    </row>
    <row r="151" spans="1:18" ht="14.1" customHeight="1" x14ac:dyDescent="0.2">
      <c r="A151" s="37" t="s">
        <v>652</v>
      </c>
      <c r="B151" s="38" t="s">
        <v>654</v>
      </c>
      <c r="C151" s="200">
        <v>2248848</v>
      </c>
      <c r="D151" s="540">
        <v>2248848</v>
      </c>
      <c r="E151" s="137">
        <v>2248848</v>
      </c>
      <c r="F151" s="48">
        <f t="shared" si="46"/>
        <v>1</v>
      </c>
      <c r="G151" s="137">
        <v>2248848</v>
      </c>
      <c r="H151" s="48">
        <f t="shared" si="47"/>
        <v>1</v>
      </c>
      <c r="I151" s="137">
        <v>750000</v>
      </c>
      <c r="J151" s="153">
        <f t="shared" si="48"/>
        <v>0.3335040874260955</v>
      </c>
      <c r="K151" s="34">
        <v>2248848</v>
      </c>
      <c r="L151" s="48">
        <v>1</v>
      </c>
      <c r="M151" s="210">
        <f t="shared" ref="M151:M212" si="49">+G151/K151-1</f>
        <v>0</v>
      </c>
      <c r="N151" s="34">
        <v>750000</v>
      </c>
      <c r="O151" s="48">
        <v>0.3335040874260955</v>
      </c>
      <c r="P151" s="210">
        <f t="shared" ref="P151:P172" si="50">+I151/N151-1</f>
        <v>0</v>
      </c>
    </row>
    <row r="152" spans="1:18" ht="14.1" customHeight="1" x14ac:dyDescent="0.2">
      <c r="A152" s="37">
        <v>3131</v>
      </c>
      <c r="B152" s="38" t="s">
        <v>763</v>
      </c>
      <c r="C152" s="200">
        <v>9000</v>
      </c>
      <c r="D152" s="540">
        <v>9000</v>
      </c>
      <c r="E152" s="137">
        <v>6000</v>
      </c>
      <c r="F152" s="48">
        <f t="shared" si="46"/>
        <v>0.66666666666666663</v>
      </c>
      <c r="G152" s="137">
        <v>0</v>
      </c>
      <c r="H152" s="48">
        <f t="shared" si="47"/>
        <v>0</v>
      </c>
      <c r="I152" s="137">
        <v>0</v>
      </c>
      <c r="J152" s="153">
        <f t="shared" si="48"/>
        <v>0</v>
      </c>
      <c r="K152" s="34">
        <v>0</v>
      </c>
      <c r="L152" s="48" t="s">
        <v>129</v>
      </c>
      <c r="M152" s="224" t="s">
        <v>129</v>
      </c>
      <c r="N152" s="34">
        <v>0</v>
      </c>
      <c r="O152" s="48" t="s">
        <v>129</v>
      </c>
      <c r="P152" s="210" t="s">
        <v>129</v>
      </c>
    </row>
    <row r="153" spans="1:18" ht="14.1" customHeight="1" x14ac:dyDescent="0.2">
      <c r="A153" s="39" t="s">
        <v>655</v>
      </c>
      <c r="B153" s="40" t="s">
        <v>656</v>
      </c>
      <c r="C153" s="200">
        <v>10674936.689999999</v>
      </c>
      <c r="D153" s="540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0</v>
      </c>
      <c r="J153" s="178">
        <f t="shared" si="48"/>
        <v>0</v>
      </c>
      <c r="K153" s="34">
        <v>8261679.1600000001</v>
      </c>
      <c r="L153" s="280">
        <v>1</v>
      </c>
      <c r="M153" s="212">
        <f t="shared" si="49"/>
        <v>0.29210254758912702</v>
      </c>
      <c r="N153" s="34">
        <v>3000000</v>
      </c>
      <c r="O153" s="280">
        <v>0.36312230745111629</v>
      </c>
      <c r="P153" s="210">
        <f t="shared" si="50"/>
        <v>-1</v>
      </c>
    </row>
    <row r="154" spans="1:18" ht="14.1" customHeight="1" x14ac:dyDescent="0.2">
      <c r="A154" s="253">
        <v>3232</v>
      </c>
      <c r="B154" s="40" t="s">
        <v>480</v>
      </c>
      <c r="C154" s="200">
        <v>40599839.609999999</v>
      </c>
      <c r="D154" s="540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23120700</v>
      </c>
      <c r="J154" s="178">
        <f t="shared" si="48"/>
        <v>0.56947761917525463</v>
      </c>
      <c r="K154" s="34">
        <v>37980210.549999997</v>
      </c>
      <c r="L154" s="610">
        <v>1</v>
      </c>
      <c r="M154" s="211">
        <f t="shared" si="49"/>
        <v>6.8973526530384133E-2</v>
      </c>
      <c r="N154" s="34">
        <v>21040000</v>
      </c>
      <c r="O154" s="610">
        <v>0.55397270566210699</v>
      </c>
      <c r="P154" s="210">
        <f t="shared" si="50"/>
        <v>9.8892585551330736E-2</v>
      </c>
    </row>
    <row r="155" spans="1:18" ht="14.1" customHeight="1" x14ac:dyDescent="0.2">
      <c r="A155" s="253" t="s">
        <v>657</v>
      </c>
      <c r="B155" s="40" t="s">
        <v>658</v>
      </c>
      <c r="C155" s="200">
        <v>1576943.5</v>
      </c>
      <c r="D155" s="540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10">
        <v>1</v>
      </c>
      <c r="M155" s="211">
        <f t="shared" si="49"/>
        <v>0.18840289733511639</v>
      </c>
      <c r="N155" s="34">
        <v>0</v>
      </c>
      <c r="O155" s="610">
        <v>0</v>
      </c>
      <c r="P155" s="210" t="s">
        <v>129</v>
      </c>
    </row>
    <row r="156" spans="1:18" ht="14.1" customHeight="1" x14ac:dyDescent="0.2">
      <c r="A156" s="39" t="s">
        <v>659</v>
      </c>
      <c r="B156" s="40" t="s">
        <v>660</v>
      </c>
      <c r="C156" s="200">
        <v>8163831</v>
      </c>
      <c r="D156" s="540">
        <v>8163831</v>
      </c>
      <c r="E156" s="137">
        <v>7463831</v>
      </c>
      <c r="F156" s="280">
        <f t="shared" si="46"/>
        <v>0.91425594184886971</v>
      </c>
      <c r="G156" s="137">
        <v>7463831</v>
      </c>
      <c r="H156" s="280">
        <f t="shared" si="47"/>
        <v>0.91425594184886971</v>
      </c>
      <c r="I156" s="137">
        <v>0</v>
      </c>
      <c r="J156" s="178">
        <f t="shared" si="48"/>
        <v>0</v>
      </c>
      <c r="K156" s="34">
        <v>7493661</v>
      </c>
      <c r="L156" s="280">
        <v>1</v>
      </c>
      <c r="M156" s="211">
        <f t="shared" si="49"/>
        <v>-3.9806978191300191E-3</v>
      </c>
      <c r="N156" s="34">
        <v>29830</v>
      </c>
      <c r="O156" s="280">
        <v>3.9806978191300624E-3</v>
      </c>
      <c r="P156" s="210">
        <f t="shared" si="50"/>
        <v>-1</v>
      </c>
    </row>
    <row r="157" spans="1:18" ht="14.1" customHeight="1" x14ac:dyDescent="0.2">
      <c r="A157" s="39" t="s">
        <v>661</v>
      </c>
      <c r="B157" s="40" t="s">
        <v>114</v>
      </c>
      <c r="C157" s="200">
        <v>9096798.4100000001</v>
      </c>
      <c r="D157" s="540">
        <v>9081096.2200000007</v>
      </c>
      <c r="E157" s="137">
        <v>8429105.4399999995</v>
      </c>
      <c r="F157" s="280">
        <f t="shared" si="46"/>
        <v>0.92820351594072181</v>
      </c>
      <c r="G157" s="137">
        <v>8233367.6399999997</v>
      </c>
      <c r="H157" s="280">
        <f t="shared" si="47"/>
        <v>0.90664909175469555</v>
      </c>
      <c r="I157" s="137">
        <v>70246.2</v>
      </c>
      <c r="J157" s="178">
        <f t="shared" si="48"/>
        <v>7.7354317472478002E-3</v>
      </c>
      <c r="K157" s="34">
        <v>6272474.4800000004</v>
      </c>
      <c r="L157" s="280">
        <v>0.94351166865972447</v>
      </c>
      <c r="M157" s="211">
        <f t="shared" si="49"/>
        <v>0.31261875456845201</v>
      </c>
      <c r="N157" s="34">
        <v>52137.15</v>
      </c>
      <c r="O157" s="280">
        <v>7.8425204522573604E-3</v>
      </c>
      <c r="P157" s="210">
        <f t="shared" si="50"/>
        <v>0.34733486582983519</v>
      </c>
    </row>
    <row r="158" spans="1:18" ht="14.1" customHeight="1" x14ac:dyDescent="0.2">
      <c r="A158" s="39" t="s">
        <v>662</v>
      </c>
      <c r="B158" s="40" t="s">
        <v>663</v>
      </c>
      <c r="C158" s="200">
        <v>8827393.0999999996</v>
      </c>
      <c r="D158" s="540">
        <v>8827393.0999999996</v>
      </c>
      <c r="E158" s="137">
        <v>8744700.8900000006</v>
      </c>
      <c r="F158" s="280">
        <f t="shared" si="46"/>
        <v>0.99063231816423825</v>
      </c>
      <c r="G158" s="137">
        <v>8744700.8900000006</v>
      </c>
      <c r="H158" s="280">
        <f t="shared" si="47"/>
        <v>0.99063231816423825</v>
      </c>
      <c r="I158" s="137">
        <v>0</v>
      </c>
      <c r="J158" s="178">
        <f t="shared" si="48"/>
        <v>0</v>
      </c>
      <c r="K158" s="34">
        <v>7468371.0999999996</v>
      </c>
      <c r="L158" s="280">
        <v>0.98289106990312702</v>
      </c>
      <c r="M158" s="211">
        <f t="shared" si="49"/>
        <v>0.17089801416000894</v>
      </c>
      <c r="N158" s="34">
        <v>0</v>
      </c>
      <c r="O158" s="280">
        <v>0</v>
      </c>
      <c r="P158" s="210" t="s">
        <v>129</v>
      </c>
    </row>
    <row r="159" spans="1:18" ht="14.1" customHeight="1" x14ac:dyDescent="0.2">
      <c r="A159" s="39">
        <v>3281</v>
      </c>
      <c r="B159" s="40" t="s">
        <v>666</v>
      </c>
      <c r="C159" s="200">
        <v>5255775.0999999996</v>
      </c>
      <c r="D159" s="540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4793232.18</v>
      </c>
      <c r="L159" s="280">
        <v>1</v>
      </c>
      <c r="M159" s="211">
        <f t="shared" si="49"/>
        <v>9.6499168542259151E-2</v>
      </c>
      <c r="N159" s="34">
        <v>0</v>
      </c>
      <c r="O159" s="280">
        <v>0</v>
      </c>
      <c r="P159" s="210" t="s">
        <v>129</v>
      </c>
    </row>
    <row r="160" spans="1:18" ht="14.1" customHeight="1" x14ac:dyDescent="0.2">
      <c r="A160" s="39" t="s">
        <v>664</v>
      </c>
      <c r="B160" s="40" t="s">
        <v>667</v>
      </c>
      <c r="C160" s="200">
        <v>2919606</v>
      </c>
      <c r="D160" s="540">
        <v>2919606</v>
      </c>
      <c r="E160" s="137">
        <v>2919606</v>
      </c>
      <c r="F160" s="280">
        <f t="shared" ref="F160:F161" si="51">+E160/D160</f>
        <v>1</v>
      </c>
      <c r="G160" s="137">
        <v>2919606</v>
      </c>
      <c r="H160" s="280">
        <f t="shared" ref="H160:H161" si="52">+G160/D160</f>
        <v>1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0</v>
      </c>
      <c r="O160" s="280">
        <v>0</v>
      </c>
      <c r="P160" s="210" t="s">
        <v>129</v>
      </c>
    </row>
    <row r="161" spans="1:18" ht="14.1" customHeight="1" x14ac:dyDescent="0.2">
      <c r="A161" s="39" t="s">
        <v>665</v>
      </c>
      <c r="B161" s="40" t="s">
        <v>668</v>
      </c>
      <c r="C161" s="200">
        <v>1326943.5</v>
      </c>
      <c r="D161" s="540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0</v>
      </c>
      <c r="O161" s="280">
        <v>0</v>
      </c>
      <c r="P161" s="210" t="s">
        <v>129</v>
      </c>
    </row>
    <row r="162" spans="1:18" ht="14.1" customHeight="1" x14ac:dyDescent="0.2">
      <c r="A162" s="39">
        <v>3291</v>
      </c>
      <c r="B162" s="40" t="s">
        <v>495</v>
      </c>
      <c r="C162" s="200">
        <v>33376191.52</v>
      </c>
      <c r="D162" s="540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11200000</v>
      </c>
      <c r="J162" s="178">
        <f>+I162/D162</f>
        <v>0.33556854422076976</v>
      </c>
      <c r="K162" s="34">
        <v>28919222.559999999</v>
      </c>
      <c r="L162" s="610">
        <v>1</v>
      </c>
      <c r="M162" s="211">
        <f t="shared" si="49"/>
        <v>0.15411786920457238</v>
      </c>
      <c r="N162" s="34">
        <v>13500000</v>
      </c>
      <c r="O162" s="610">
        <v>0.46681752844465124</v>
      </c>
      <c r="P162" s="210">
        <f t="shared" si="50"/>
        <v>-0.17037037037037039</v>
      </c>
    </row>
    <row r="163" spans="1:18" ht="14.1" customHeight="1" x14ac:dyDescent="0.2">
      <c r="A163" s="253" t="s">
        <v>669</v>
      </c>
      <c r="B163" s="40" t="s">
        <v>670</v>
      </c>
      <c r="C163" s="200">
        <v>24741430.09</v>
      </c>
      <c r="D163" s="540">
        <v>26999978.949999999</v>
      </c>
      <c r="E163" s="137">
        <v>12514472.689999999</v>
      </c>
      <c r="F163" s="280">
        <f>+E163/D163</f>
        <v>0.463499349876345</v>
      </c>
      <c r="G163" s="137">
        <v>12514472.689999999</v>
      </c>
      <c r="H163" s="280">
        <f>+G163/D163</f>
        <v>0.463499349876345</v>
      </c>
      <c r="I163" s="137">
        <v>1334616.6499999999</v>
      </c>
      <c r="J163" s="178">
        <f>+I163/D163</f>
        <v>4.9430284833610949E-2</v>
      </c>
      <c r="K163" s="34">
        <v>10341859.550000001</v>
      </c>
      <c r="L163" s="280">
        <v>0.84914356615979958</v>
      </c>
      <c r="M163" s="211">
        <f t="shared" si="49"/>
        <v>0.21007954415702712</v>
      </c>
      <c r="N163" s="34">
        <v>558053.57999999996</v>
      </c>
      <c r="O163" s="280">
        <v>4.5820348336624135E-2</v>
      </c>
      <c r="P163" s="210">
        <f t="shared" si="50"/>
        <v>1.3915564702586445</v>
      </c>
    </row>
    <row r="164" spans="1:18" ht="14.1" customHeight="1" x14ac:dyDescent="0.2">
      <c r="A164" s="39" t="s">
        <v>671</v>
      </c>
      <c r="B164" s="40" t="s">
        <v>672</v>
      </c>
      <c r="C164" s="200">
        <v>12623127.310000001</v>
      </c>
      <c r="D164" s="540">
        <v>12615513.119999999</v>
      </c>
      <c r="E164" s="137">
        <v>12522188.5</v>
      </c>
      <c r="F164" s="280">
        <f>+E164/D164</f>
        <v>0.99260239206187761</v>
      </c>
      <c r="G164" s="137">
        <v>12427044.130000001</v>
      </c>
      <c r="H164" s="280">
        <f>+G164/D164</f>
        <v>0.98506053711749475</v>
      </c>
      <c r="I164" s="137">
        <v>7012764.8399999999</v>
      </c>
      <c r="J164" s="178">
        <f>+I164/D164</f>
        <v>0.55588423342704274</v>
      </c>
      <c r="K164" s="34">
        <v>12352958.27</v>
      </c>
      <c r="L164" s="280">
        <v>0.99037580520137958</v>
      </c>
      <c r="M164" s="211">
        <f t="shared" si="49"/>
        <v>5.9974184629056904E-3</v>
      </c>
      <c r="N164" s="34">
        <v>6498.84</v>
      </c>
      <c r="O164" s="280">
        <v>5.2103259455720105E-4</v>
      </c>
      <c r="P164" s="210">
        <f t="shared" si="50"/>
        <v>1078.0794726443487</v>
      </c>
    </row>
    <row r="165" spans="1:18" ht="14.1" customHeight="1" x14ac:dyDescent="0.2">
      <c r="A165" s="39" t="s">
        <v>673</v>
      </c>
      <c r="B165" s="40" t="s">
        <v>674</v>
      </c>
      <c r="C165" s="200">
        <v>48067327.659999996</v>
      </c>
      <c r="D165" s="540">
        <v>48067327.659999996</v>
      </c>
      <c r="E165" s="137">
        <v>48067327.659999996</v>
      </c>
      <c r="F165" s="280">
        <f>+E165/D165</f>
        <v>1</v>
      </c>
      <c r="G165" s="137">
        <v>48067327.659999996</v>
      </c>
      <c r="H165" s="280">
        <f>+G165/D165</f>
        <v>1</v>
      </c>
      <c r="I165" s="137">
        <v>13000000</v>
      </c>
      <c r="J165" s="178">
        <f>+I165/D165</f>
        <v>0.27045397846858377</v>
      </c>
      <c r="K165" s="34">
        <v>47277327.799999997</v>
      </c>
      <c r="L165" s="280">
        <v>1</v>
      </c>
      <c r="M165" s="211">
        <f t="shared" si="49"/>
        <v>1.6709909310906434E-2</v>
      </c>
      <c r="N165" s="34">
        <v>38000000</v>
      </c>
      <c r="O165" s="280">
        <v>0.80376793207842856</v>
      </c>
      <c r="P165" s="210">
        <f t="shared" si="50"/>
        <v>-0.65789473684210531</v>
      </c>
      <c r="R165" s="275"/>
    </row>
    <row r="166" spans="1:18" ht="14.1" customHeight="1" x14ac:dyDescent="0.2">
      <c r="A166" s="39" t="s">
        <v>675</v>
      </c>
      <c r="B166" s="40" t="s">
        <v>676</v>
      </c>
      <c r="C166" s="200">
        <v>17219551.329999998</v>
      </c>
      <c r="D166" s="540">
        <v>17219551.329999998</v>
      </c>
      <c r="E166" s="137">
        <v>17219551.329999998</v>
      </c>
      <c r="F166" s="280">
        <f>+E166/D166</f>
        <v>1</v>
      </c>
      <c r="G166" s="137">
        <v>17219551.329999998</v>
      </c>
      <c r="H166" s="280">
        <f>+G166/D166</f>
        <v>1</v>
      </c>
      <c r="I166" s="137">
        <v>0</v>
      </c>
      <c r="J166" s="178">
        <f>+I166/D166</f>
        <v>0</v>
      </c>
      <c r="K166" s="34">
        <v>17219551.329999998</v>
      </c>
      <c r="L166" s="280">
        <v>1</v>
      </c>
      <c r="M166" s="211">
        <f t="shared" si="49"/>
        <v>0</v>
      </c>
      <c r="N166" s="34">
        <v>0</v>
      </c>
      <c r="O166" s="280">
        <v>0</v>
      </c>
      <c r="P166" s="210" t="s">
        <v>129</v>
      </c>
      <c r="R166" s="275"/>
    </row>
    <row r="167" spans="1:18" ht="14.1" customHeight="1" x14ac:dyDescent="0.2">
      <c r="A167" s="39" t="s">
        <v>677</v>
      </c>
      <c r="B167" s="40" t="s">
        <v>102</v>
      </c>
      <c r="C167" s="200">
        <v>17748245.370000001</v>
      </c>
      <c r="D167" s="540">
        <v>17686904.239999998</v>
      </c>
      <c r="E167" s="137">
        <v>16820470.18</v>
      </c>
      <c r="F167" s="280">
        <f t="shared" ref="F167:F173" si="54">+E167/D167</f>
        <v>0.95101267874563911</v>
      </c>
      <c r="G167" s="137">
        <v>16626386.83</v>
      </c>
      <c r="H167" s="280">
        <f t="shared" ref="H167:H173" si="55">+G167/D167</f>
        <v>0.94003939889030586</v>
      </c>
      <c r="I167" s="137">
        <v>876014.32</v>
      </c>
      <c r="J167" s="178">
        <f t="shared" ref="J167:J173" si="56">+I167/D167</f>
        <v>4.9528979640136278E-2</v>
      </c>
      <c r="K167" s="34">
        <v>15395977.710000001</v>
      </c>
      <c r="L167" s="610">
        <v>0.93056039935193957</v>
      </c>
      <c r="M167" s="211">
        <f t="shared" si="49"/>
        <v>7.9917569587076187E-2</v>
      </c>
      <c r="N167" s="34">
        <v>964474.06</v>
      </c>
      <c r="O167" s="610">
        <v>5.8294535322381061E-2</v>
      </c>
      <c r="P167" s="210">
        <f t="shared" si="50"/>
        <v>-9.1718112149123066E-2</v>
      </c>
      <c r="R167" s="275"/>
    </row>
    <row r="168" spans="1:18" ht="14.1" customHeight="1" x14ac:dyDescent="0.2">
      <c r="A168" s="253">
        <v>3361</v>
      </c>
      <c r="B168" s="40" t="s">
        <v>678</v>
      </c>
      <c r="C168" s="200">
        <v>211322.62</v>
      </c>
      <c r="D168" s="540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">
      <c r="A169" s="253">
        <v>3371</v>
      </c>
      <c r="B169" s="40" t="s">
        <v>679</v>
      </c>
      <c r="C169" s="200">
        <v>15245118.1</v>
      </c>
      <c r="D169" s="540">
        <v>15888148.949999999</v>
      </c>
      <c r="E169" s="137">
        <v>13238212.24</v>
      </c>
      <c r="F169" s="280">
        <f t="shared" si="54"/>
        <v>0.83321299930285464</v>
      </c>
      <c r="G169" s="137">
        <v>12471469.92</v>
      </c>
      <c r="H169" s="280">
        <f t="shared" si="55"/>
        <v>0.78495424226243804</v>
      </c>
      <c r="I169" s="137">
        <v>3508460.62</v>
      </c>
      <c r="J169" s="178">
        <f t="shared" si="56"/>
        <v>0.22082249046387498</v>
      </c>
      <c r="K169" s="34">
        <v>9503788.5</v>
      </c>
      <c r="L169" s="280">
        <v>0.74363367917455936</v>
      </c>
      <c r="M169" s="211">
        <f t="shared" si="49"/>
        <v>0.31226299070102415</v>
      </c>
      <c r="N169" s="34">
        <v>3700421.74</v>
      </c>
      <c r="O169" s="280">
        <v>0.28954329455182265</v>
      </c>
      <c r="P169" s="210">
        <f t="shared" si="50"/>
        <v>-5.1875470821334035E-2</v>
      </c>
    </row>
    <row r="170" spans="1:18" ht="14.1" customHeight="1" x14ac:dyDescent="0.2">
      <c r="A170" s="253">
        <v>3381</v>
      </c>
      <c r="B170" s="40" t="s">
        <v>680</v>
      </c>
      <c r="C170" s="200">
        <v>8127724.7699999996</v>
      </c>
      <c r="D170" s="540">
        <v>8057094.6399999997</v>
      </c>
      <c r="E170" s="137">
        <v>6997868.4000000004</v>
      </c>
      <c r="F170" s="280">
        <f t="shared" si="54"/>
        <v>0.86853496361561922</v>
      </c>
      <c r="G170" s="137">
        <v>6794585.4400000004</v>
      </c>
      <c r="H170" s="280">
        <f t="shared" si="55"/>
        <v>0.84330465801752086</v>
      </c>
      <c r="I170" s="137">
        <v>432063.54</v>
      </c>
      <c r="J170" s="178">
        <f t="shared" si="56"/>
        <v>5.3625228361472987E-2</v>
      </c>
      <c r="K170" s="34">
        <v>4777635.42</v>
      </c>
      <c r="L170" s="280">
        <v>0.71895787695913294</v>
      </c>
      <c r="M170" s="211">
        <f t="shared" si="49"/>
        <v>0.42216490851451383</v>
      </c>
      <c r="N170" s="34">
        <v>315396.28000000003</v>
      </c>
      <c r="O170" s="280">
        <v>4.7462106237819261E-2</v>
      </c>
      <c r="P170" s="210">
        <f t="shared" si="50"/>
        <v>0.36990689934580057</v>
      </c>
    </row>
    <row r="171" spans="1:18" ht="14.1" customHeight="1" x14ac:dyDescent="0.2">
      <c r="A171" s="253" t="s">
        <v>681</v>
      </c>
      <c r="B171" s="40" t="s">
        <v>682</v>
      </c>
      <c r="C171" s="200">
        <v>14042820.529999999</v>
      </c>
      <c r="D171" s="540">
        <v>13053133.460000001</v>
      </c>
      <c r="E171" s="137">
        <v>12134166.24</v>
      </c>
      <c r="F171" s="390">
        <f t="shared" si="54"/>
        <v>0.92959796030462094</v>
      </c>
      <c r="G171" s="137">
        <v>12053735.460000001</v>
      </c>
      <c r="H171" s="390">
        <f t="shared" si="55"/>
        <v>0.92343616166474096</v>
      </c>
      <c r="I171" s="137">
        <v>1547573.07</v>
      </c>
      <c r="J171" s="392">
        <f t="shared" si="56"/>
        <v>0.11855950716679488</v>
      </c>
      <c r="K171" s="34">
        <v>11144308.779999999</v>
      </c>
      <c r="L171" s="390">
        <v>0.97824053667359068</v>
      </c>
      <c r="M171" s="211">
        <f t="shared" si="49"/>
        <v>8.1604583824175236E-2</v>
      </c>
      <c r="N171" s="34">
        <v>3929241.42</v>
      </c>
      <c r="O171" s="390">
        <v>0.34490638327601164</v>
      </c>
      <c r="P171" s="210">
        <f t="shared" si="50"/>
        <v>-0.60613947971667259</v>
      </c>
    </row>
    <row r="172" spans="1:18" ht="14.1" customHeight="1" x14ac:dyDescent="0.2">
      <c r="A172" s="253">
        <v>3421</v>
      </c>
      <c r="B172" s="40" t="s">
        <v>484</v>
      </c>
      <c r="C172" s="200">
        <v>5455050.5800000001</v>
      </c>
      <c r="D172" s="540">
        <v>6445868.8799999999</v>
      </c>
      <c r="E172" s="137">
        <v>6403992.3399999999</v>
      </c>
      <c r="F172" s="390">
        <f t="shared" si="54"/>
        <v>0.99350335218112595</v>
      </c>
      <c r="G172" s="137">
        <v>6349638.4000000004</v>
      </c>
      <c r="H172" s="390">
        <f t="shared" si="55"/>
        <v>0.98507098394468129</v>
      </c>
      <c r="I172" s="137">
        <v>1306276.68</v>
      </c>
      <c r="J172" s="392">
        <f t="shared" si="56"/>
        <v>0.20265331242667164</v>
      </c>
      <c r="K172" s="34">
        <v>4610331.54</v>
      </c>
      <c r="L172" s="390">
        <v>0.9861227576750623</v>
      </c>
      <c r="M172" s="211">
        <f t="shared" si="49"/>
        <v>0.37726285949491611</v>
      </c>
      <c r="N172" s="34">
        <v>4515.24</v>
      </c>
      <c r="O172" s="390">
        <v>9.6578323743822295E-4</v>
      </c>
      <c r="P172" s="210">
        <f t="shared" si="50"/>
        <v>288.30393068806973</v>
      </c>
    </row>
    <row r="173" spans="1:18" ht="14.1" customHeight="1" x14ac:dyDescent="0.2">
      <c r="A173" s="531">
        <v>3431</v>
      </c>
      <c r="B173" s="533" t="s">
        <v>435</v>
      </c>
      <c r="C173" s="200">
        <v>6518951.2199999997</v>
      </c>
      <c r="D173" s="540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">
      <c r="A174" s="532">
        <v>3</v>
      </c>
      <c r="B174" s="2" t="s">
        <v>124</v>
      </c>
      <c r="C174" s="201">
        <f>SUM(C150:C173)</f>
        <v>314074850.86000001</v>
      </c>
      <c r="D174" s="207">
        <f>SUM(D150:D173)</f>
        <v>316807274.15999997</v>
      </c>
      <c r="E174" s="203">
        <f>SUM(E150:E173)</f>
        <v>293361757.81999999</v>
      </c>
      <c r="F174" s="90">
        <f t="shared" ref="F174:F211" si="57">+E174/D174</f>
        <v>0.9259943875904848</v>
      </c>
      <c r="G174" s="203">
        <f>SUM(G150:G173)</f>
        <v>291455592.54999995</v>
      </c>
      <c r="H174" s="90">
        <f t="shared" ref="H174:H211" si="58">+G174/D174</f>
        <v>0.9199775899173438</v>
      </c>
      <c r="I174" s="203">
        <f>SUM(I150:I173)</f>
        <v>69943917.689999998</v>
      </c>
      <c r="J174" s="170">
        <f t="shared" ref="J174:J211" si="59">+I174/D174</f>
        <v>0.22077749911346922</v>
      </c>
      <c r="K174" s="568">
        <f>SUM(K150:K173)</f>
        <v>265565663.43999997</v>
      </c>
      <c r="L174" s="90">
        <v>0.96525001743719174</v>
      </c>
      <c r="M174" s="213">
        <f t="shared" si="49"/>
        <v>9.7489746131466104E-2</v>
      </c>
      <c r="N174" s="568">
        <f>SUM(N150:N173)</f>
        <v>91034404.409999996</v>
      </c>
      <c r="O174" s="90">
        <v>0.33088223569983399</v>
      </c>
      <c r="P174" s="213">
        <f t="shared" ref="P174:P211" si="60">+I174/N174-1</f>
        <v>-0.23167600048233239</v>
      </c>
    </row>
    <row r="175" spans="1:18" ht="14.1" customHeight="1" x14ac:dyDescent="0.2">
      <c r="A175" s="37">
        <v>4301</v>
      </c>
      <c r="B175" s="534" t="s">
        <v>683</v>
      </c>
      <c r="C175" s="198">
        <v>4583248.97</v>
      </c>
      <c r="D175" s="516">
        <v>5226567.25</v>
      </c>
      <c r="E175" s="180">
        <v>1099254.1200000001</v>
      </c>
      <c r="F175" s="78">
        <f>+E175/D175</f>
        <v>0.21032047755627753</v>
      </c>
      <c r="G175" s="180">
        <v>990254.12</v>
      </c>
      <c r="H175" s="78">
        <f>+G175/D175</f>
        <v>0.18946548903584853</v>
      </c>
      <c r="I175" s="180">
        <v>959822.52</v>
      </c>
      <c r="J175" s="153">
        <f>+I175/D175</f>
        <v>0.18364300583714865</v>
      </c>
      <c r="K175" s="180">
        <v>1076551.42</v>
      </c>
      <c r="L175" s="48">
        <v>0.30826670771424336</v>
      </c>
      <c r="M175" s="210">
        <f t="shared" si="49"/>
        <v>-8.0160871461207095E-2</v>
      </c>
      <c r="N175" s="180">
        <v>840016.99</v>
      </c>
      <c r="O175" s="48">
        <v>0.24053590671157027</v>
      </c>
      <c r="P175" s="210">
        <f>+I175/N175-1</f>
        <v>0.14262274623754934</v>
      </c>
    </row>
    <row r="176" spans="1:18" ht="14.1" customHeight="1" x14ac:dyDescent="0.2">
      <c r="A176" s="37" t="s">
        <v>684</v>
      </c>
      <c r="B176" s="38" t="s">
        <v>686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0</v>
      </c>
      <c r="J176" s="153">
        <f>+I176/D176</f>
        <v>0</v>
      </c>
      <c r="K176" s="34">
        <v>752000</v>
      </c>
      <c r="L176" s="48">
        <v>0.33948957958405013</v>
      </c>
      <c r="M176" s="210">
        <f t="shared" si="49"/>
        <v>1.8791090425531913</v>
      </c>
      <c r="N176" s="34">
        <v>752000</v>
      </c>
      <c r="O176" s="48">
        <v>0.33948957958405013</v>
      </c>
      <c r="P176" s="210">
        <f>+I176/N176-1</f>
        <v>-1</v>
      </c>
    </row>
    <row r="177" spans="1:19" ht="14.1" customHeight="1" x14ac:dyDescent="0.2">
      <c r="A177" s="37" t="s">
        <v>685</v>
      </c>
      <c r="B177" s="38" t="s">
        <v>687</v>
      </c>
      <c r="C177" s="200">
        <v>7512544.6100000003</v>
      </c>
      <c r="D177" s="206">
        <v>7478354.6100000003</v>
      </c>
      <c r="E177" s="34">
        <v>1763585.3</v>
      </c>
      <c r="F177" s="48">
        <f>+E177/D177</f>
        <v>0.23582531077648375</v>
      </c>
      <c r="G177" s="34">
        <v>438163.4</v>
      </c>
      <c r="H177" s="48">
        <f>+G177/D177</f>
        <v>5.8590883001735594E-2</v>
      </c>
      <c r="I177" s="34">
        <v>310325.65000000002</v>
      </c>
      <c r="J177" s="153">
        <f>+I177/D177</f>
        <v>4.1496514431802266E-2</v>
      </c>
      <c r="K177" s="34">
        <v>175438.54</v>
      </c>
      <c r="L177" s="48">
        <v>2.8089850553786554E-2</v>
      </c>
      <c r="M177" s="210">
        <f t="shared" si="49"/>
        <v>1.4975321842053635</v>
      </c>
      <c r="N177" s="34">
        <v>100119.24</v>
      </c>
      <c r="O177" s="48">
        <v>1.6030311749964908E-2</v>
      </c>
      <c r="P177" s="210">
        <f>+I177/N177-1</f>
        <v>2.0995605839596867</v>
      </c>
    </row>
    <row r="178" spans="1:19" ht="14.1" customHeight="1" x14ac:dyDescent="0.2">
      <c r="A178" s="41" t="s">
        <v>688</v>
      </c>
      <c r="B178" s="42" t="s">
        <v>689</v>
      </c>
      <c r="C178" s="200">
        <v>2743104</v>
      </c>
      <c r="D178" s="206">
        <v>5057715.74</v>
      </c>
      <c r="E178" s="34">
        <v>2793069.95</v>
      </c>
      <c r="F178" s="390">
        <f>+E178/D178</f>
        <v>0.55223940877309963</v>
      </c>
      <c r="G178" s="34">
        <v>2573249.7999999998</v>
      </c>
      <c r="H178" s="390">
        <f>+G178/D178</f>
        <v>0.50877707097077773</v>
      </c>
      <c r="I178" s="34">
        <v>1634517.69</v>
      </c>
      <c r="J178" s="392">
        <f>+I178/D178</f>
        <v>0.32317310304196728</v>
      </c>
      <c r="K178" s="34">
        <v>2457124.6</v>
      </c>
      <c r="L178" s="390">
        <v>0.42094556175982206</v>
      </c>
      <c r="M178" s="520">
        <f t="shared" si="49"/>
        <v>4.7260606971254004E-2</v>
      </c>
      <c r="N178" s="34">
        <v>1613316.03</v>
      </c>
      <c r="O178" s="390">
        <v>0.27638737675105118</v>
      </c>
      <c r="P178" s="520">
        <f>+I178/N178-1</f>
        <v>1.31416657404686E-2</v>
      </c>
    </row>
    <row r="179" spans="1:19" ht="15.75" thickBot="1" x14ac:dyDescent="0.3">
      <c r="A179" s="672" t="s">
        <v>19</v>
      </c>
      <c r="B179" s="673"/>
      <c r="C179" s="673"/>
      <c r="D179" s="673"/>
      <c r="E179" s="673"/>
      <c r="F179" s="674"/>
      <c r="G179" s="673"/>
      <c r="H179" s="674"/>
      <c r="I179" s="673"/>
      <c r="J179" s="674"/>
      <c r="K179" s="674"/>
      <c r="L179" s="674"/>
      <c r="M179" s="674"/>
      <c r="N179" s="674"/>
      <c r="O179" s="674"/>
      <c r="P179" s="674"/>
    </row>
    <row r="180" spans="1:19" ht="12.75" customHeight="1" x14ac:dyDescent="0.2">
      <c r="A180" s="753" t="s">
        <v>758</v>
      </c>
      <c r="B180" s="754"/>
      <c r="C180" s="164" t="s">
        <v>767</v>
      </c>
      <c r="D180" s="757" t="s">
        <v>781</v>
      </c>
      <c r="E180" s="758"/>
      <c r="F180" s="759"/>
      <c r="G180" s="758"/>
      <c r="H180" s="758"/>
      <c r="I180" s="758"/>
      <c r="J180" s="760"/>
      <c r="K180" s="761" t="s">
        <v>782</v>
      </c>
      <c r="L180" s="762"/>
      <c r="M180" s="762"/>
      <c r="N180" s="762"/>
      <c r="O180" s="762"/>
      <c r="P180" s="763"/>
    </row>
    <row r="181" spans="1:19" ht="14.1" customHeight="1" x14ac:dyDescent="0.2">
      <c r="A181" s="39" t="s">
        <v>690</v>
      </c>
      <c r="B181" s="40" t="s">
        <v>691</v>
      </c>
      <c r="C181" s="200">
        <v>36360668.060000002</v>
      </c>
      <c r="D181" s="539">
        <v>40073130.359999999</v>
      </c>
      <c r="E181" s="136">
        <v>11605291.460000001</v>
      </c>
      <c r="F181" s="693">
        <f>+E181/D181</f>
        <v>0.28960281754240275</v>
      </c>
      <c r="G181" s="136">
        <v>7630660</v>
      </c>
      <c r="H181" s="48">
        <f>+G181/D181</f>
        <v>0.19041836590876202</v>
      </c>
      <c r="I181" s="136">
        <v>7005660</v>
      </c>
      <c r="J181" s="153">
        <f>+I181/D181</f>
        <v>0.17482188032390092</v>
      </c>
      <c r="K181" s="180">
        <v>2311259.7200000002</v>
      </c>
      <c r="L181" s="48">
        <v>5.1505720720854548E-2</v>
      </c>
      <c r="M181" s="210">
        <f>+G181/K181-1</f>
        <v>2.3015155908138265</v>
      </c>
      <c r="N181" s="180">
        <v>2081259.72</v>
      </c>
      <c r="O181" s="48">
        <v>4.6380240592729202E-2</v>
      </c>
      <c r="P181" s="210">
        <f>+I181/N181-1</f>
        <v>2.3660671624394864</v>
      </c>
      <c r="R181" s="279"/>
      <c r="S181" s="279"/>
    </row>
    <row r="182" spans="1:19" ht="14.1" customHeight="1" x14ac:dyDescent="0.2">
      <c r="A182" s="39" t="s">
        <v>692</v>
      </c>
      <c r="B182" s="40" t="s">
        <v>693</v>
      </c>
      <c r="C182" s="200">
        <v>1922280</v>
      </c>
      <c r="D182" s="540">
        <v>1922280</v>
      </c>
      <c r="E182" s="137">
        <v>1162500</v>
      </c>
      <c r="F182" s="280">
        <f t="shared" ref="F182:F189" si="61">+E182/D182</f>
        <v>0.60475060865222552</v>
      </c>
      <c r="G182" s="137">
        <v>1162500</v>
      </c>
      <c r="H182" s="280">
        <f t="shared" ref="H182:H189" si="62">+G182/D182</f>
        <v>0.60475060865222552</v>
      </c>
      <c r="I182" s="137">
        <v>0</v>
      </c>
      <c r="J182" s="178">
        <f t="shared" ref="J182:J189" si="63">+I182/D182</f>
        <v>0</v>
      </c>
      <c r="K182" s="34">
        <v>112500</v>
      </c>
      <c r="L182" s="280">
        <v>7.3912015137180695E-2</v>
      </c>
      <c r="M182" s="210">
        <f t="shared" ref="M182:M189" si="64">+G182/K182-1</f>
        <v>9.3333333333333339</v>
      </c>
      <c r="N182" s="34">
        <v>112500</v>
      </c>
      <c r="O182" s="280">
        <v>7.3912015137180695E-2</v>
      </c>
      <c r="P182" s="210">
        <f t="shared" ref="P182:P189" si="65">+I182/N182-1</f>
        <v>-1</v>
      </c>
      <c r="R182" s="279"/>
      <c r="S182" s="279"/>
    </row>
    <row r="183" spans="1:19" ht="14.1" customHeight="1" x14ac:dyDescent="0.2">
      <c r="A183" s="39" t="s">
        <v>694</v>
      </c>
      <c r="B183" s="40" t="s">
        <v>695</v>
      </c>
      <c r="C183" s="200">
        <v>10510570.890000001</v>
      </c>
      <c r="D183" s="540">
        <v>10400570.890000001</v>
      </c>
      <c r="E183" s="137">
        <v>5568951.7000000002</v>
      </c>
      <c r="F183" s="280">
        <f t="shared" si="61"/>
        <v>0.53544673257834985</v>
      </c>
      <c r="G183" s="137">
        <v>5568951.7000000002</v>
      </c>
      <c r="H183" s="280">
        <f t="shared" si="62"/>
        <v>0.53544673257834985</v>
      </c>
      <c r="I183" s="137">
        <v>5255731.5199999996</v>
      </c>
      <c r="J183" s="178">
        <f t="shared" si="63"/>
        <v>0.50533106072603284</v>
      </c>
      <c r="K183" s="34">
        <v>9219220.1799999997</v>
      </c>
      <c r="L183" s="280">
        <v>0.56621485517961312</v>
      </c>
      <c r="M183" s="210">
        <f t="shared" si="64"/>
        <v>-0.39594113262625208</v>
      </c>
      <c r="N183" s="34">
        <v>6617000</v>
      </c>
      <c r="O183" s="280">
        <v>0.40639486025633681</v>
      </c>
      <c r="P183" s="210">
        <f t="shared" si="65"/>
        <v>-0.20572290766208257</v>
      </c>
      <c r="R183" s="279"/>
      <c r="S183" s="279"/>
    </row>
    <row r="184" spans="1:19" ht="14.1" customHeight="1" x14ac:dyDescent="0.2">
      <c r="A184" s="39" t="s">
        <v>696</v>
      </c>
      <c r="B184" s="40" t="s">
        <v>697</v>
      </c>
      <c r="C184" s="200">
        <v>1031566.99</v>
      </c>
      <c r="D184" s="540">
        <v>1082779.1299999999</v>
      </c>
      <c r="E184" s="137">
        <v>357455.01</v>
      </c>
      <c r="F184" s="390">
        <f t="shared" si="61"/>
        <v>0.33012735478194899</v>
      </c>
      <c r="G184" s="137">
        <v>110444.22</v>
      </c>
      <c r="H184" s="280">
        <f t="shared" si="62"/>
        <v>0.10200069149836681</v>
      </c>
      <c r="I184" s="137">
        <v>32008.13</v>
      </c>
      <c r="J184" s="178">
        <f>+I184/D184</f>
        <v>2.9561088788255464E-2</v>
      </c>
      <c r="K184" s="34">
        <v>94849.19</v>
      </c>
      <c r="L184" s="280">
        <v>0.16317194449409034</v>
      </c>
      <c r="M184" s="210">
        <f t="shared" si="64"/>
        <v>0.16441922171396506</v>
      </c>
      <c r="N184" s="34">
        <v>4820.25</v>
      </c>
      <c r="O184" s="280">
        <v>8.2924225862934502E-3</v>
      </c>
      <c r="P184" s="210">
        <f t="shared" si="65"/>
        <v>5.6403464550593849</v>
      </c>
      <c r="R184" s="279"/>
      <c r="S184" s="279"/>
    </row>
    <row r="185" spans="1:19" ht="14.1" customHeight="1" x14ac:dyDescent="0.2">
      <c r="A185" s="39" t="s">
        <v>698</v>
      </c>
      <c r="B185" s="40" t="s">
        <v>699</v>
      </c>
      <c r="C185" s="200">
        <v>4649794.68</v>
      </c>
      <c r="D185" s="540">
        <v>4705707.68</v>
      </c>
      <c r="E185" s="133">
        <v>1803414.83</v>
      </c>
      <c r="F185" s="390">
        <f t="shared" si="61"/>
        <v>0.38323987647273494</v>
      </c>
      <c r="G185" s="682">
        <v>704757.25</v>
      </c>
      <c r="H185" s="280">
        <f t="shared" si="62"/>
        <v>0.14976647465700632</v>
      </c>
      <c r="I185" s="682">
        <v>70462.42</v>
      </c>
      <c r="J185" s="178">
        <f>+I185/D185</f>
        <v>1.4973820048252552E-2</v>
      </c>
      <c r="K185" s="682">
        <v>305395.59000000003</v>
      </c>
      <c r="L185" s="418">
        <v>0.36361157807417671</v>
      </c>
      <c r="M185" s="210">
        <f t="shared" si="64"/>
        <v>1.3076864011035654</v>
      </c>
      <c r="N185" s="682">
        <v>63844.62</v>
      </c>
      <c r="O185" s="418">
        <v>7.6014991014592401E-2</v>
      </c>
      <c r="P185" s="210">
        <f t="shared" si="65"/>
        <v>0.10365477936903678</v>
      </c>
      <c r="R185" s="279"/>
      <c r="S185" s="279"/>
    </row>
    <row r="186" spans="1:19" ht="14.1" customHeight="1" x14ac:dyDescent="0.2">
      <c r="A186" s="39" t="s">
        <v>700</v>
      </c>
      <c r="B186" s="40" t="s">
        <v>702</v>
      </c>
      <c r="C186" s="200">
        <v>136713543.02000001</v>
      </c>
      <c r="D186" s="540">
        <v>136713543.02000001</v>
      </c>
      <c r="E186" s="137">
        <v>112255416.90000001</v>
      </c>
      <c r="F186" s="280">
        <f t="shared" si="61"/>
        <v>0.82109946403464951</v>
      </c>
      <c r="G186" s="137">
        <v>112255416.90000001</v>
      </c>
      <c r="H186" s="280">
        <f t="shared" si="62"/>
        <v>0.82109946403464951</v>
      </c>
      <c r="I186" s="137">
        <v>36261555.640000001</v>
      </c>
      <c r="J186" s="178">
        <f t="shared" si="63"/>
        <v>0.26523748005488562</v>
      </c>
      <c r="K186" s="34">
        <v>110924325</v>
      </c>
      <c r="L186" s="280">
        <v>0.95136971527631864</v>
      </c>
      <c r="M186" s="210">
        <f t="shared" si="64"/>
        <v>1.2000000000000011E-2</v>
      </c>
      <c r="N186" s="34">
        <v>42981164.079999998</v>
      </c>
      <c r="O186" s="280">
        <v>0.36863850947963245</v>
      </c>
      <c r="P186" s="210">
        <f t="shared" si="65"/>
        <v>-0.15633844694138399</v>
      </c>
      <c r="R186" s="279"/>
      <c r="S186" s="279"/>
    </row>
    <row r="187" spans="1:19" ht="14.1" customHeight="1" x14ac:dyDescent="0.2">
      <c r="A187" s="39" t="s">
        <v>701</v>
      </c>
      <c r="B187" s="40" t="s">
        <v>703</v>
      </c>
      <c r="C187" s="200">
        <v>16809054</v>
      </c>
      <c r="D187" s="540">
        <v>16809054</v>
      </c>
      <c r="E187" s="137">
        <v>14327012</v>
      </c>
      <c r="F187" s="280">
        <f t="shared" si="61"/>
        <v>0.85233898350258142</v>
      </c>
      <c r="G187" s="137">
        <v>14327012</v>
      </c>
      <c r="H187" s="280">
        <f t="shared" si="62"/>
        <v>0.85233898350258142</v>
      </c>
      <c r="I187" s="137">
        <v>2529997.6</v>
      </c>
      <c r="J187" s="178">
        <f t="shared" si="63"/>
        <v>0.1505139789544373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2503542.64</v>
      </c>
      <c r="O187" s="280">
        <v>0.14894012714814292</v>
      </c>
      <c r="P187" s="210">
        <f t="shared" si="65"/>
        <v>1.0567009955140927E-2</v>
      </c>
      <c r="R187" s="279"/>
      <c r="S187" s="279"/>
    </row>
    <row r="188" spans="1:19" ht="14.1" customHeight="1" x14ac:dyDescent="0.2">
      <c r="A188" s="39">
        <v>4911</v>
      </c>
      <c r="B188" s="40" t="s">
        <v>704</v>
      </c>
      <c r="C188" s="200">
        <v>16869480</v>
      </c>
      <c r="D188" s="540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3900000</v>
      </c>
      <c r="J188" s="178">
        <f t="shared" si="63"/>
        <v>0.23118673486082558</v>
      </c>
      <c r="K188" s="34">
        <v>15669752</v>
      </c>
      <c r="L188" s="280">
        <v>0.91320892825922262</v>
      </c>
      <c r="M188" s="210">
        <f t="shared" si="64"/>
        <v>7.6563304894678552E-2</v>
      </c>
      <c r="N188" s="34">
        <v>3800000</v>
      </c>
      <c r="O188" s="280">
        <v>0.22145812693047381</v>
      </c>
      <c r="P188" s="210">
        <f t="shared" si="65"/>
        <v>2.6315789473684292E-2</v>
      </c>
      <c r="R188" s="279"/>
      <c r="S188" s="279"/>
    </row>
    <row r="189" spans="1:19" ht="14.1" customHeight="1" x14ac:dyDescent="0.2">
      <c r="A189" s="41" t="s">
        <v>705</v>
      </c>
      <c r="B189" s="42" t="s">
        <v>706</v>
      </c>
      <c r="C189" s="200">
        <v>1548192.01</v>
      </c>
      <c r="D189" s="540">
        <v>1483243.86</v>
      </c>
      <c r="E189" s="137">
        <v>610865.56000000006</v>
      </c>
      <c r="F189" s="390">
        <f t="shared" si="61"/>
        <v>0.41184432073091476</v>
      </c>
      <c r="G189" s="137">
        <v>186883.26</v>
      </c>
      <c r="H189" s="390">
        <f t="shared" si="62"/>
        <v>0.1259963145911826</v>
      </c>
      <c r="I189" s="137">
        <v>166598.35</v>
      </c>
      <c r="J189" s="392">
        <f t="shared" si="63"/>
        <v>0.11232026943971303</v>
      </c>
      <c r="K189" s="34">
        <v>264694.32</v>
      </c>
      <c r="L189" s="412">
        <v>0.16235293173794121</v>
      </c>
      <c r="M189" s="210">
        <f t="shared" si="64"/>
        <v>-0.29396573375658386</v>
      </c>
      <c r="N189" s="34">
        <v>194287.39</v>
      </c>
      <c r="O189" s="412">
        <v>0.11916813086964906</v>
      </c>
      <c r="P189" s="210">
        <f t="shared" si="65"/>
        <v>-0.14251588844752094</v>
      </c>
    </row>
    <row r="190" spans="1:19" ht="14.1" customHeight="1" x14ac:dyDescent="0.2">
      <c r="A190" s="532">
        <v>4</v>
      </c>
      <c r="B190" s="2" t="s">
        <v>123</v>
      </c>
      <c r="C190" s="201">
        <f>SUM(C175:C189)</f>
        <v>243419137.23000002</v>
      </c>
      <c r="D190" s="207">
        <f>SUM(D175:D189)</f>
        <v>249987516.54000002</v>
      </c>
      <c r="E190" s="203">
        <f>SUM(E175:E189)</f>
        <v>172381386.83000001</v>
      </c>
      <c r="F190" s="90">
        <f>+E190/D190</f>
        <v>0.68955997969769667</v>
      </c>
      <c r="G190" s="203">
        <f>SUM(G175:G189)</f>
        <v>164982862.64999998</v>
      </c>
      <c r="H190" s="90">
        <f>+G190/D190</f>
        <v>0.6599644051570126</v>
      </c>
      <c r="I190" s="203">
        <f>SUM(I175:I189)</f>
        <v>58126679.520000003</v>
      </c>
      <c r="J190" s="170">
        <f>+I190/D190</f>
        <v>0.23251832861301802</v>
      </c>
      <c r="K190" s="568">
        <f>SUM(K175:K189)</f>
        <v>160055153.56</v>
      </c>
      <c r="L190" s="90">
        <v>0.68375620673440762</v>
      </c>
      <c r="M190" s="629">
        <f t="shared" si="49"/>
        <v>3.0787569037273865E-2</v>
      </c>
      <c r="N190" s="568">
        <f>SUM(N175:N189)</f>
        <v>61663870.960000001</v>
      </c>
      <c r="O190" s="90">
        <v>0.26342828432802634</v>
      </c>
      <c r="P190" s="213">
        <f t="shared" si="60"/>
        <v>-5.7362461761352845E-2</v>
      </c>
    </row>
    <row r="191" spans="1:19" ht="14.1" customHeight="1" x14ac:dyDescent="0.2">
      <c r="A191" s="37" t="s">
        <v>707</v>
      </c>
      <c r="B191" s="38" t="s">
        <v>113</v>
      </c>
      <c r="C191" s="677">
        <v>22797084.350000001</v>
      </c>
      <c r="D191" s="190">
        <v>23400277.890000001</v>
      </c>
      <c r="E191" s="82">
        <v>7873050.1500000004</v>
      </c>
      <c r="F191" s="414">
        <f>+E191/D191</f>
        <v>0.33645113904243468</v>
      </c>
      <c r="G191" s="82">
        <v>6989050.1500000004</v>
      </c>
      <c r="H191" s="414">
        <f>+G191/D191</f>
        <v>0.29867380989465675</v>
      </c>
      <c r="I191" s="82">
        <v>5004522.88</v>
      </c>
      <c r="J191" s="431">
        <f>+I191/D191</f>
        <v>0.21386595934993829</v>
      </c>
      <c r="K191" s="472">
        <v>7095160</v>
      </c>
      <c r="L191" s="414">
        <v>0.33635395954333269</v>
      </c>
      <c r="M191" s="591">
        <f t="shared" si="49"/>
        <v>-1.4955244138257551E-2</v>
      </c>
      <c r="N191" s="472">
        <v>5029945.8899999997</v>
      </c>
      <c r="O191" s="414">
        <v>0.23845018525166625</v>
      </c>
      <c r="P191" s="591">
        <f t="shared" ref="P191:P196" si="66">+I191/N191-1</f>
        <v>-5.0543307136848847E-3</v>
      </c>
    </row>
    <row r="192" spans="1:19" ht="14.1" customHeight="1" x14ac:dyDescent="0.2">
      <c r="A192" s="37" t="s">
        <v>708</v>
      </c>
      <c r="B192" s="38" t="s">
        <v>709</v>
      </c>
      <c r="C192" s="530">
        <v>7386447.1399999997</v>
      </c>
      <c r="D192" s="539">
        <v>6996896.0199999996</v>
      </c>
      <c r="E192" s="56">
        <v>1748174.39</v>
      </c>
      <c r="F192" s="48">
        <f t="shared" ref="F192:F210" si="67">+E192/D192</f>
        <v>0.24984998848103504</v>
      </c>
      <c r="G192" s="56">
        <v>1065585.3700000001</v>
      </c>
      <c r="H192" s="414">
        <f t="shared" ref="H192:H210" si="68">+G192/D192</f>
        <v>0.15229401250985009</v>
      </c>
      <c r="I192" s="56">
        <v>993992.96</v>
      </c>
      <c r="J192" s="431">
        <f t="shared" ref="J192:J210" si="69">+I192/D192</f>
        <v>0.14206198822431551</v>
      </c>
      <c r="K192" s="180">
        <v>2443349.52</v>
      </c>
      <c r="L192" s="48">
        <v>0.32760111383515667</v>
      </c>
      <c r="M192" s="210">
        <f t="shared" si="49"/>
        <v>-0.56388336532384442</v>
      </c>
      <c r="N192" s="180">
        <v>1955905.6</v>
      </c>
      <c r="O192" s="48">
        <v>0.26224526940231641</v>
      </c>
      <c r="P192" s="210">
        <f t="shared" si="66"/>
        <v>-0.49179911341324456</v>
      </c>
    </row>
    <row r="193" spans="1:21" ht="14.1" customHeight="1" x14ac:dyDescent="0.2">
      <c r="A193" s="39" t="s">
        <v>710</v>
      </c>
      <c r="B193" s="40" t="s">
        <v>711</v>
      </c>
      <c r="C193" s="200">
        <v>51339420.009999998</v>
      </c>
      <c r="D193" s="540">
        <v>52934355.590000004</v>
      </c>
      <c r="E193" s="137">
        <v>17620815.469999999</v>
      </c>
      <c r="F193" s="48">
        <f t="shared" si="67"/>
        <v>0.33288051348883907</v>
      </c>
      <c r="G193" s="137">
        <v>14318377.710000001</v>
      </c>
      <c r="H193" s="414">
        <f t="shared" si="68"/>
        <v>0.27049309565421309</v>
      </c>
      <c r="I193" s="137">
        <v>7986931.7300000004</v>
      </c>
      <c r="J193" s="431">
        <f t="shared" si="69"/>
        <v>0.15088370569507484</v>
      </c>
      <c r="K193" s="34">
        <v>13499007.35</v>
      </c>
      <c r="L193" s="280">
        <v>0.28741662183861927</v>
      </c>
      <c r="M193" s="211">
        <f t="shared" si="49"/>
        <v>6.0698563883662349E-2</v>
      </c>
      <c r="N193" s="34">
        <v>8472526.5999999996</v>
      </c>
      <c r="O193" s="280">
        <v>0.18039437350257037</v>
      </c>
      <c r="P193" s="211">
        <f t="shared" si="66"/>
        <v>-5.731405670653178E-2</v>
      </c>
    </row>
    <row r="194" spans="1:21" ht="14.1" customHeight="1" x14ac:dyDescent="0.2">
      <c r="A194" s="39" t="s">
        <v>712</v>
      </c>
      <c r="B194" s="40" t="s">
        <v>713</v>
      </c>
      <c r="C194" s="200">
        <v>877692.04</v>
      </c>
      <c r="D194" s="540">
        <v>884664.91</v>
      </c>
      <c r="E194" s="137">
        <v>226006.98</v>
      </c>
      <c r="F194" s="48">
        <f t="shared" si="67"/>
        <v>0.25547184865736339</v>
      </c>
      <c r="G194" s="137">
        <v>220939.04</v>
      </c>
      <c r="H194" s="414">
        <f t="shared" si="68"/>
        <v>0.24974319372518122</v>
      </c>
      <c r="I194" s="137">
        <v>184757.15</v>
      </c>
      <c r="J194" s="431">
        <f t="shared" si="69"/>
        <v>0.20884421650679011</v>
      </c>
      <c r="K194" s="34">
        <v>217168.92</v>
      </c>
      <c r="L194" s="280">
        <v>0.29916673858762483</v>
      </c>
      <c r="M194" s="211">
        <f t="shared" si="49"/>
        <v>1.7360311042666776E-2</v>
      </c>
      <c r="N194" s="34">
        <v>193087.03</v>
      </c>
      <c r="O194" s="280">
        <v>0.26599209973817095</v>
      </c>
      <c r="P194" s="211">
        <f t="shared" si="66"/>
        <v>-4.3140546519359724E-2</v>
      </c>
    </row>
    <row r="195" spans="1:21" ht="14.1" customHeight="1" x14ac:dyDescent="0.2">
      <c r="A195" s="39" t="s">
        <v>714</v>
      </c>
      <c r="B195" s="40" t="s">
        <v>715</v>
      </c>
      <c r="C195" s="200">
        <v>4144550.55</v>
      </c>
      <c r="D195" s="540">
        <v>4181555.24</v>
      </c>
      <c r="E195" s="137">
        <v>1432960.19</v>
      </c>
      <c r="F195" s="48">
        <f t="shared" si="67"/>
        <v>0.34268594045884226</v>
      </c>
      <c r="G195" s="137">
        <v>1086045.9099999999</v>
      </c>
      <c r="H195" s="414">
        <f t="shared" si="68"/>
        <v>0.25972296135444567</v>
      </c>
      <c r="I195" s="137">
        <v>783187.85</v>
      </c>
      <c r="J195" s="431">
        <f t="shared" si="69"/>
        <v>0.18729582776000825</v>
      </c>
      <c r="K195" s="34">
        <v>1104280.93</v>
      </c>
      <c r="L195" s="280">
        <v>0.25869884439528751</v>
      </c>
      <c r="M195" s="211">
        <f t="shared" si="49"/>
        <v>-1.6513026264068476E-2</v>
      </c>
      <c r="N195" s="34">
        <v>785623.99</v>
      </c>
      <c r="O195" s="280">
        <v>0.1840473857881571</v>
      </c>
      <c r="P195" s="211">
        <f t="shared" si="66"/>
        <v>-3.1008981790385803E-3</v>
      </c>
    </row>
    <row r="196" spans="1:21" ht="14.1" customHeight="1" x14ac:dyDescent="0.2">
      <c r="A196" s="39" t="s">
        <v>716</v>
      </c>
      <c r="B196" s="40" t="s">
        <v>717</v>
      </c>
      <c r="C196" s="200">
        <v>7218581.6100000003</v>
      </c>
      <c r="D196" s="540">
        <v>7260705.21</v>
      </c>
      <c r="E196" s="137">
        <v>2488374.35</v>
      </c>
      <c r="F196" s="48">
        <f t="shared" si="67"/>
        <v>0.34271799749875814</v>
      </c>
      <c r="G196" s="137">
        <v>2279371.0499999998</v>
      </c>
      <c r="H196" s="414">
        <f t="shared" si="68"/>
        <v>0.31393246028783472</v>
      </c>
      <c r="I196" s="137">
        <v>1308047.47</v>
      </c>
      <c r="J196" s="431">
        <f t="shared" si="69"/>
        <v>0.18015432828734826</v>
      </c>
      <c r="K196" s="34">
        <v>1284935.93</v>
      </c>
      <c r="L196" s="280">
        <v>0.19510795211385135</v>
      </c>
      <c r="M196" s="211">
        <f>+G196/K196-1</f>
        <v>0.7739180583112808</v>
      </c>
      <c r="N196" s="34">
        <v>1126635.42</v>
      </c>
      <c r="O196" s="280">
        <v>0.17107119852670694</v>
      </c>
      <c r="P196" s="211">
        <f t="shared" si="66"/>
        <v>0.16102107814078859</v>
      </c>
      <c r="T196" s="254"/>
      <c r="U196" s="254"/>
    </row>
    <row r="197" spans="1:21" ht="14.1" customHeight="1" x14ac:dyDescent="0.2">
      <c r="A197" s="39" t="s">
        <v>718</v>
      </c>
      <c r="B197" s="40" t="s">
        <v>719</v>
      </c>
      <c r="C197" s="200">
        <v>1128377.3799999999</v>
      </c>
      <c r="D197" s="540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>
        <v>0</v>
      </c>
      <c r="M197" s="211" t="s">
        <v>129</v>
      </c>
      <c r="N197" s="34">
        <v>0</v>
      </c>
      <c r="O197" s="418">
        <v>0</v>
      </c>
      <c r="P197" s="211" t="s">
        <v>129</v>
      </c>
      <c r="T197" s="254"/>
      <c r="U197" s="254"/>
    </row>
    <row r="198" spans="1:21" ht="14.1" customHeight="1" x14ac:dyDescent="0.2">
      <c r="A198" s="39" t="s">
        <v>720</v>
      </c>
      <c r="B198" s="40" t="s">
        <v>721</v>
      </c>
      <c r="C198" s="200">
        <v>2204546.69</v>
      </c>
      <c r="D198" s="540">
        <v>2309210.9900000002</v>
      </c>
      <c r="E198" s="137">
        <v>888628.24</v>
      </c>
      <c r="F198" s="48">
        <f t="shared" si="67"/>
        <v>0.38481898962381084</v>
      </c>
      <c r="G198" s="137">
        <v>719343.85</v>
      </c>
      <c r="H198" s="414">
        <f t="shared" si="68"/>
        <v>0.31151066451489556</v>
      </c>
      <c r="I198" s="137">
        <v>380276</v>
      </c>
      <c r="J198" s="431">
        <f t="shared" si="69"/>
        <v>0.16467789285898035</v>
      </c>
      <c r="K198" s="34">
        <v>655306.21</v>
      </c>
      <c r="L198" s="280">
        <v>0.30508076921692795</v>
      </c>
      <c r="M198" s="211">
        <f t="shared" si="49"/>
        <v>9.7721704788971797E-2</v>
      </c>
      <c r="N198" s="34">
        <v>405080.03</v>
      </c>
      <c r="O198" s="280">
        <v>0.18858683964984288</v>
      </c>
      <c r="P198" s="211">
        <f>+I198/N198-1</f>
        <v>-6.1232418690203128E-2</v>
      </c>
      <c r="T198" s="254"/>
      <c r="U198" s="254"/>
    </row>
    <row r="199" spans="1:21" ht="14.1" customHeight="1" x14ac:dyDescent="0.2">
      <c r="A199" s="39" t="s">
        <v>722</v>
      </c>
      <c r="B199" s="42" t="s">
        <v>723</v>
      </c>
      <c r="C199" s="200">
        <v>14812972.529999999</v>
      </c>
      <c r="D199" s="540">
        <v>14555010.550000001</v>
      </c>
      <c r="E199" s="137">
        <v>8047183.3399999999</v>
      </c>
      <c r="F199" s="48">
        <f t="shared" si="67"/>
        <v>0.55288062570315344</v>
      </c>
      <c r="G199" s="137">
        <v>2872964.7</v>
      </c>
      <c r="H199" s="414">
        <f t="shared" si="68"/>
        <v>0.19738664497223604</v>
      </c>
      <c r="I199" s="137">
        <v>745317.54</v>
      </c>
      <c r="J199" s="431">
        <f t="shared" si="69"/>
        <v>5.1206939180129966E-2</v>
      </c>
      <c r="K199" s="34">
        <v>2888264.5</v>
      </c>
      <c r="L199" s="390">
        <v>0.29382220164954359</v>
      </c>
      <c r="M199" s="520">
        <f t="shared" si="49"/>
        <v>-5.2972295300516281E-3</v>
      </c>
      <c r="N199" s="34">
        <v>934138.78</v>
      </c>
      <c r="O199" s="390">
        <v>9.502963214962433E-2</v>
      </c>
      <c r="P199" s="520">
        <f>+I199/N199-1</f>
        <v>-0.20213403408859654</v>
      </c>
      <c r="T199" s="254"/>
      <c r="U199" s="254"/>
    </row>
    <row r="200" spans="1:21" ht="14.1" customHeight="1" x14ac:dyDescent="0.2">
      <c r="A200" s="39" t="s">
        <v>724</v>
      </c>
      <c r="B200" s="678" t="s">
        <v>725</v>
      </c>
      <c r="C200" s="679">
        <v>871764.12</v>
      </c>
      <c r="D200" s="540">
        <v>881894.41</v>
      </c>
      <c r="E200" s="137">
        <v>23481.13</v>
      </c>
      <c r="F200" s="48">
        <f t="shared" si="67"/>
        <v>2.6625783918961456E-2</v>
      </c>
      <c r="G200" s="682">
        <v>8481.1299999999992</v>
      </c>
      <c r="H200" s="414">
        <f t="shared" si="68"/>
        <v>9.6169449582972164E-3</v>
      </c>
      <c r="I200" s="682">
        <v>350.84</v>
      </c>
      <c r="J200" s="431">
        <f t="shared" si="69"/>
        <v>3.9782540406396266E-4</v>
      </c>
      <c r="K200" s="676">
        <v>0</v>
      </c>
      <c r="L200" s="675" t="s">
        <v>129</v>
      </c>
      <c r="M200" s="680" t="s">
        <v>129</v>
      </c>
      <c r="N200" s="676">
        <v>0</v>
      </c>
      <c r="O200" s="675" t="s">
        <v>129</v>
      </c>
      <c r="P200" s="680" t="s">
        <v>129</v>
      </c>
      <c r="T200" s="254"/>
      <c r="U200" s="254"/>
    </row>
    <row r="201" spans="1:21" ht="14.1" customHeight="1" x14ac:dyDescent="0.2">
      <c r="A201" s="39" t="s">
        <v>726</v>
      </c>
      <c r="B201" s="40" t="s">
        <v>727</v>
      </c>
      <c r="C201" s="200">
        <v>16719312.35</v>
      </c>
      <c r="D201" s="540">
        <v>16906629.129999999</v>
      </c>
      <c r="E201" s="137">
        <v>7067655.1900000004</v>
      </c>
      <c r="F201" s="48">
        <f t="shared" si="67"/>
        <v>0.41804047014072054</v>
      </c>
      <c r="G201" s="137">
        <v>7008790.1299999999</v>
      </c>
      <c r="H201" s="414">
        <f t="shared" si="68"/>
        <v>0.41455869624319369</v>
      </c>
      <c r="I201" s="137">
        <v>3124137.6</v>
      </c>
      <c r="J201" s="431">
        <f t="shared" si="69"/>
        <v>0.18478772888300771</v>
      </c>
      <c r="K201" s="34">
        <v>7545010.96</v>
      </c>
      <c r="L201" s="280">
        <v>0.52314664915149733</v>
      </c>
      <c r="M201" s="211">
        <f>+G201/K201-1</f>
        <v>-7.1069589274658895E-2</v>
      </c>
      <c r="N201" s="34">
        <v>2078957.05</v>
      </c>
      <c r="O201" s="280">
        <v>0.1441481556757582</v>
      </c>
      <c r="P201" s="211">
        <f>+I201/N201-1</f>
        <v>0.50274273342972631</v>
      </c>
      <c r="T201" s="254"/>
      <c r="U201" s="254"/>
    </row>
    <row r="202" spans="1:21" ht="14.1" customHeight="1" x14ac:dyDescent="0.2">
      <c r="A202" s="39" t="s">
        <v>728</v>
      </c>
      <c r="B202" s="40" t="s">
        <v>729</v>
      </c>
      <c r="C202" s="200">
        <v>22448323.75</v>
      </c>
      <c r="D202" s="540">
        <v>22978284.329999998</v>
      </c>
      <c r="E202" s="137">
        <v>13315327.35</v>
      </c>
      <c r="F202" s="48">
        <f t="shared" si="67"/>
        <v>0.57947439237731813</v>
      </c>
      <c r="G202" s="137">
        <v>8700166.7200000007</v>
      </c>
      <c r="H202" s="414">
        <f t="shared" si="68"/>
        <v>0.37862560124392025</v>
      </c>
      <c r="I202" s="137">
        <v>2408234.4</v>
      </c>
      <c r="J202" s="431">
        <f t="shared" si="69"/>
        <v>0.10480479592881772</v>
      </c>
      <c r="K202" s="34">
        <v>5209735.6399999997</v>
      </c>
      <c r="L202" s="280">
        <v>0.2402691363395911</v>
      </c>
      <c r="M202" s="211">
        <f>+G202/K202-1</f>
        <v>0.66998237937462823</v>
      </c>
      <c r="N202" s="34">
        <v>1707744.64</v>
      </c>
      <c r="O202" s="280">
        <v>7.8759913764331793E-2</v>
      </c>
      <c r="P202" s="211">
        <f>+I202/N202-1</f>
        <v>0.41018413619497585</v>
      </c>
      <c r="T202" s="254"/>
      <c r="U202" s="254"/>
    </row>
    <row r="203" spans="1:21" ht="14.1" customHeight="1" x14ac:dyDescent="0.2">
      <c r="A203" s="39" t="s">
        <v>730</v>
      </c>
      <c r="B203" s="40" t="s">
        <v>731</v>
      </c>
      <c r="C203" s="200">
        <v>42228054.409999996</v>
      </c>
      <c r="D203" s="540">
        <v>46938764.189999998</v>
      </c>
      <c r="E203" s="137">
        <v>34050397.909999996</v>
      </c>
      <c r="F203" s="48">
        <f t="shared" si="67"/>
        <v>0.72542169564093928</v>
      </c>
      <c r="G203" s="137">
        <v>33930085.189999998</v>
      </c>
      <c r="H203" s="414">
        <f t="shared" si="68"/>
        <v>0.72285851098799458</v>
      </c>
      <c r="I203" s="137">
        <v>9000000</v>
      </c>
      <c r="J203" s="431">
        <f t="shared" si="69"/>
        <v>0.1917391766764365</v>
      </c>
      <c r="K203" s="34">
        <v>26782124.75</v>
      </c>
      <c r="L203" s="280">
        <v>0.7367604944960563</v>
      </c>
      <c r="M203" s="211">
        <f>+G203/K203-1</f>
        <v>0.26689295590709228</v>
      </c>
      <c r="N203" s="34">
        <v>11000000</v>
      </c>
      <c r="O203" s="280">
        <v>0.30260352810344593</v>
      </c>
      <c r="P203" s="211">
        <f>+I203/N203-1</f>
        <v>-0.18181818181818177</v>
      </c>
    </row>
    <row r="204" spans="1:21" ht="14.1" customHeight="1" x14ac:dyDescent="0.2">
      <c r="A204" s="39" t="s">
        <v>732</v>
      </c>
      <c r="B204" s="40" t="s">
        <v>733</v>
      </c>
      <c r="C204" s="200">
        <v>13647818.9</v>
      </c>
      <c r="D204" s="540">
        <v>10266413.83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">
      <c r="A205" s="39" t="s">
        <v>734</v>
      </c>
      <c r="B205" s="40" t="s">
        <v>735</v>
      </c>
      <c r="C205" s="200">
        <v>30916505.399999999</v>
      </c>
      <c r="D205" s="540">
        <v>13806832.92</v>
      </c>
      <c r="E205" s="137">
        <v>1739.5</v>
      </c>
      <c r="F205" s="48">
        <f t="shared" si="67"/>
        <v>1.2598834287914307E-4</v>
      </c>
      <c r="G205" s="137">
        <v>1739.5</v>
      </c>
      <c r="H205" s="414">
        <f t="shared" si="68"/>
        <v>1.2598834287914307E-4</v>
      </c>
      <c r="I205" s="137">
        <v>1739.5</v>
      </c>
      <c r="J205" s="431">
        <f t="shared" si="69"/>
        <v>1.2598834287914307E-4</v>
      </c>
      <c r="K205" s="34">
        <v>1551252.79</v>
      </c>
      <c r="L205" s="280">
        <v>0.25139510337412074</v>
      </c>
      <c r="M205" s="211">
        <f t="shared" ref="M205:M210" si="70">+G205/K205-1</f>
        <v>-0.99887864826982842</v>
      </c>
      <c r="N205" s="34">
        <v>1551252.79</v>
      </c>
      <c r="O205" s="280">
        <v>0.25139510337412074</v>
      </c>
      <c r="P205" s="211">
        <f>+I205/N205-1</f>
        <v>-0.99887864826982842</v>
      </c>
    </row>
    <row r="206" spans="1:21" ht="14.1" customHeight="1" x14ac:dyDescent="0.2">
      <c r="A206" s="253">
        <v>9311</v>
      </c>
      <c r="B206" s="40" t="s">
        <v>736</v>
      </c>
      <c r="C206" s="200">
        <v>5805408.6299999999</v>
      </c>
      <c r="D206" s="540">
        <v>5139664.4800000004</v>
      </c>
      <c r="E206" s="137">
        <v>1649293.75</v>
      </c>
      <c r="F206" s="48">
        <f t="shared" si="67"/>
        <v>0.32089521726912412</v>
      </c>
      <c r="G206" s="137">
        <v>1498151.25</v>
      </c>
      <c r="H206" s="414">
        <f t="shared" si="68"/>
        <v>0.29148814204307744</v>
      </c>
      <c r="I206" s="137">
        <v>922420.31</v>
      </c>
      <c r="J206" s="431">
        <f t="shared" si="69"/>
        <v>0.17947091947138152</v>
      </c>
      <c r="K206" s="34">
        <v>1319315.1000000001</v>
      </c>
      <c r="L206" s="280">
        <v>0.26684222430910831</v>
      </c>
      <c r="M206" s="211">
        <f t="shared" si="70"/>
        <v>0.13555226495929595</v>
      </c>
      <c r="N206" s="34">
        <v>922060.4</v>
      </c>
      <c r="O206" s="280">
        <v>0.18649422574133057</v>
      </c>
      <c r="P206" s="211">
        <f t="shared" ref="P206:P210" si="71">+I206/N206-1</f>
        <v>3.9033234699159536E-4</v>
      </c>
    </row>
    <row r="207" spans="1:21" ht="14.1" customHeight="1" x14ac:dyDescent="0.2">
      <c r="A207" s="39" t="s">
        <v>737</v>
      </c>
      <c r="B207" s="40" t="s">
        <v>738</v>
      </c>
      <c r="C207" s="200">
        <v>28425422.43</v>
      </c>
      <c r="D207" s="540">
        <v>28426191.640000001</v>
      </c>
      <c r="E207" s="137">
        <v>26737433.260000002</v>
      </c>
      <c r="F207" s="48">
        <f t="shared" si="67"/>
        <v>0.94059146573740615</v>
      </c>
      <c r="G207" s="137">
        <v>26573022.559999999</v>
      </c>
      <c r="H207" s="414">
        <f t="shared" si="68"/>
        <v>0.934807690616132</v>
      </c>
      <c r="I207" s="137">
        <v>6977623.9400000004</v>
      </c>
      <c r="J207" s="431">
        <f t="shared" si="69"/>
        <v>0.24546460631685238</v>
      </c>
      <c r="K207" s="34">
        <v>24676338.039999999</v>
      </c>
      <c r="L207" s="280">
        <v>0.98750773407735382</v>
      </c>
      <c r="M207" s="211">
        <f t="shared" si="70"/>
        <v>7.686247922708378E-2</v>
      </c>
      <c r="N207" s="34">
        <v>2587885.0299999998</v>
      </c>
      <c r="O207" s="280">
        <v>0.10356303588828632</v>
      </c>
      <c r="P207" s="211">
        <f t="shared" si="71"/>
        <v>1.696265042346182</v>
      </c>
    </row>
    <row r="208" spans="1:21" ht="14.1" customHeight="1" x14ac:dyDescent="0.2">
      <c r="A208" s="39" t="s">
        <v>739</v>
      </c>
      <c r="B208" s="40" t="s">
        <v>740</v>
      </c>
      <c r="C208" s="200">
        <v>68365574.019999996</v>
      </c>
      <c r="D208" s="540">
        <v>67679029.939999998</v>
      </c>
      <c r="E208" s="137">
        <v>44833972.020000003</v>
      </c>
      <c r="F208" s="48">
        <f t="shared" si="67"/>
        <v>0.66244997984969645</v>
      </c>
      <c r="G208" s="137">
        <v>43694227.960000001</v>
      </c>
      <c r="H208" s="414">
        <f t="shared" si="68"/>
        <v>0.64560954846333607</v>
      </c>
      <c r="I208" s="137">
        <v>11165915.27</v>
      </c>
      <c r="J208" s="431">
        <f t="shared" si="69"/>
        <v>0.16498338229580126</v>
      </c>
      <c r="K208" s="34">
        <v>55462770.990000002</v>
      </c>
      <c r="L208" s="280">
        <v>0.83313990459173737</v>
      </c>
      <c r="M208" s="211">
        <f t="shared" si="70"/>
        <v>-0.21218815468347019</v>
      </c>
      <c r="N208" s="34">
        <v>9235962.5700000003</v>
      </c>
      <c r="O208" s="280">
        <v>0.13873899260767278</v>
      </c>
      <c r="P208" s="211">
        <f t="shared" si="71"/>
        <v>0.20896064545224746</v>
      </c>
    </row>
    <row r="209" spans="1:19" ht="14.1" customHeight="1" x14ac:dyDescent="0.2">
      <c r="A209" s="39" t="s">
        <v>741</v>
      </c>
      <c r="B209" s="40" t="s">
        <v>117</v>
      </c>
      <c r="C209" s="200">
        <v>799840.54</v>
      </c>
      <c r="D209" s="540">
        <v>801333.05</v>
      </c>
      <c r="E209" s="137">
        <v>167718.74</v>
      </c>
      <c r="F209" s="48">
        <f t="shared" si="67"/>
        <v>0.20929966634971561</v>
      </c>
      <c r="G209" s="137">
        <v>167718.74</v>
      </c>
      <c r="H209" s="414">
        <f t="shared" si="68"/>
        <v>0.20929966634971561</v>
      </c>
      <c r="I209" s="137">
        <v>167718.74</v>
      </c>
      <c r="J209" s="431">
        <f t="shared" si="69"/>
        <v>0.20929966634971561</v>
      </c>
      <c r="K209" s="34">
        <v>180338.42</v>
      </c>
      <c r="L209" s="280">
        <v>0.22599537806955675</v>
      </c>
      <c r="M209" s="211">
        <f t="shared" si="70"/>
        <v>-6.9977767355397846E-2</v>
      </c>
      <c r="N209" s="34">
        <v>180338.42</v>
      </c>
      <c r="O209" s="280">
        <v>0.22599537806955675</v>
      </c>
      <c r="P209" s="211">
        <f t="shared" si="71"/>
        <v>-6.9977767355397846E-2</v>
      </c>
    </row>
    <row r="210" spans="1:19" ht="14.1" customHeight="1" x14ac:dyDescent="0.2">
      <c r="A210" s="250">
        <v>9431</v>
      </c>
      <c r="B210" s="42" t="s">
        <v>742</v>
      </c>
      <c r="C210" s="200">
        <v>97687346.239999995</v>
      </c>
      <c r="D210" s="540">
        <v>97687346.239999995</v>
      </c>
      <c r="E210" s="137">
        <v>89498375.260000005</v>
      </c>
      <c r="F210" s="78">
        <f t="shared" si="67"/>
        <v>0.91617163025514914</v>
      </c>
      <c r="G210" s="137">
        <v>89498375.260000005</v>
      </c>
      <c r="H210" s="414">
        <f t="shared" si="68"/>
        <v>0.91617163025514914</v>
      </c>
      <c r="I210" s="137">
        <v>22432102.539999999</v>
      </c>
      <c r="J210" s="431">
        <f t="shared" si="69"/>
        <v>0.22963160945009617</v>
      </c>
      <c r="K210" s="34">
        <v>84274401.209999993</v>
      </c>
      <c r="L210" s="78">
        <v>0.94587005248899569</v>
      </c>
      <c r="M210" s="520">
        <f t="shared" si="70"/>
        <v>6.1987673302864588E-2</v>
      </c>
      <c r="N210" s="34">
        <v>16253391.82</v>
      </c>
      <c r="O210" s="78">
        <v>0.18242308878112068</v>
      </c>
      <c r="P210" s="520">
        <f t="shared" si="71"/>
        <v>0.38014900449252798</v>
      </c>
    </row>
    <row r="211" spans="1:19" ht="14.1" customHeight="1" thickBot="1" x14ac:dyDescent="0.25">
      <c r="A211" s="18">
        <v>9</v>
      </c>
      <c r="B211" s="2" t="s">
        <v>535</v>
      </c>
      <c r="C211" s="519">
        <f>SUM(C191:C210)</f>
        <v>439825043.08999997</v>
      </c>
      <c r="D211" s="207">
        <f>SUM(D191:D210)</f>
        <v>424035060.56</v>
      </c>
      <c r="E211" s="203">
        <f>SUM(E191:E210)</f>
        <v>257670587.22000003</v>
      </c>
      <c r="F211" s="535">
        <f t="shared" si="57"/>
        <v>0.6076634014171105</v>
      </c>
      <c r="G211" s="203">
        <f>SUM(G191:G210)</f>
        <v>240632436.22000003</v>
      </c>
      <c r="H211" s="535">
        <f t="shared" si="58"/>
        <v>0.56748240558742924</v>
      </c>
      <c r="I211" s="203">
        <f>SUM(I191:I210)</f>
        <v>73587276.719999999</v>
      </c>
      <c r="J211" s="536">
        <f t="shared" si="59"/>
        <v>0.17354054785662604</v>
      </c>
      <c r="K211" s="619">
        <f>SUM(K191:K210)</f>
        <v>236188761.25999999</v>
      </c>
      <c r="L211" s="90">
        <v>0.64298661222519637</v>
      </c>
      <c r="M211" s="43">
        <f t="shared" si="49"/>
        <v>1.8814083008413585E-2</v>
      </c>
      <c r="N211" s="619">
        <f>SUM(N191:N210)</f>
        <v>64420536.060000002</v>
      </c>
      <c r="O211" s="90">
        <v>0.1753747384845</v>
      </c>
      <c r="P211" s="43">
        <f t="shared" si="60"/>
        <v>0.14229531793188244</v>
      </c>
    </row>
    <row r="212" spans="1:19" s="6" customFormat="1" ht="14.1" customHeight="1" thickBot="1" x14ac:dyDescent="0.25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2165348003.1599998</v>
      </c>
      <c r="E212" s="209">
        <f>E86+E121+E149+E174+E190+E211</f>
        <v>1500775279.9400001</v>
      </c>
      <c r="F212" s="181">
        <f>+E212/D212</f>
        <v>0.69308733642344977</v>
      </c>
      <c r="G212" s="209">
        <f>G86+G121+G149+G174+G190+G211</f>
        <v>1445020068.49</v>
      </c>
      <c r="H212" s="181">
        <f>+G212/D212</f>
        <v>0.66733849080203755</v>
      </c>
      <c r="I212" s="209">
        <f>I86+I121+I149+I174+I190+I211</f>
        <v>358951455.87</v>
      </c>
      <c r="J212" s="173">
        <f>+I212/D212</f>
        <v>0.1657707931224747</v>
      </c>
      <c r="K212" s="620">
        <f>K86+K121+K149+K174+K190+K211</f>
        <v>1341199989.54</v>
      </c>
      <c r="L212" s="181">
        <v>0.67039922815110775</v>
      </c>
      <c r="M212" s="621">
        <f t="shared" si="49"/>
        <v>7.7408350551514626E-2</v>
      </c>
      <c r="N212" s="620">
        <f>N211+N190+N174+N149+N121+N86</f>
        <v>388022450.75000006</v>
      </c>
      <c r="O212" s="181">
        <v>0.19395314160218544</v>
      </c>
      <c r="P212" s="621">
        <f>+I212/N212-1</f>
        <v>-7.4920909405652658E-2</v>
      </c>
      <c r="R212" s="255"/>
    </row>
    <row r="213" spans="1:19" s="272" customFormat="1" ht="14.1" customHeight="1" x14ac:dyDescent="0.2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">
      <c r="C217" s="340"/>
    </row>
    <row r="218" spans="1:19" x14ac:dyDescent="0.2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20" spans="1:19" x14ac:dyDescent="0.2">
      <c r="C220" s="352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opLeftCell="A7" zoomScaleNormal="100" workbookViewId="0">
      <selection activeCell="N21" sqref="N2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bestFit="1" customWidth="1"/>
    <col min="12" max="12" width="6" style="97" bestFit="1" customWidth="1"/>
    <col min="13" max="13" width="51.85546875" style="97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60" t="s">
        <v>19</v>
      </c>
      <c r="K1" s="97"/>
    </row>
    <row r="2" spans="1:15" ht="12.75" customHeight="1" x14ac:dyDescent="0.25">
      <c r="A2" s="461" t="s">
        <v>534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64" t="s">
        <v>465</v>
      </c>
      <c r="B29" s="765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XFD139"/>
  <sheetViews>
    <sheetView zoomScaleNormal="100" workbookViewId="0">
      <pane xSplit="1" topLeftCell="E1" activePane="topRight" state="frozen"/>
      <selection activeCell="N21" sqref="N21"/>
      <selection pane="topRight" activeCell="I12" sqref="I12"/>
    </sheetView>
  </sheetViews>
  <sheetFormatPr defaultColWidth="11.42578125" defaultRowHeight="12.75" x14ac:dyDescent="0.2"/>
  <cols>
    <col min="1" max="1" width="4.140625" customWidth="1"/>
    <col min="2" max="2" width="33" bestFit="1" customWidth="1"/>
    <col min="3" max="5" width="11.7109375" customWidth="1"/>
    <col min="6" max="6" width="6.28515625" style="97" customWidth="1"/>
    <col min="7" max="7" width="11.7109375" customWidth="1"/>
    <col min="8" max="8" width="6.28515625" style="97" customWidth="1"/>
    <col min="9" max="9" width="11.7109375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7109375" customWidth="1"/>
    <col min="15" max="15" width="6.28515625" style="97" customWidth="1"/>
    <col min="16" max="16" width="8.140625" style="9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69"/>
    </row>
    <row r="3" spans="1:16384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545</v>
      </c>
      <c r="L3" s="88" t="s">
        <v>546</v>
      </c>
      <c r="M3" s="88" t="s">
        <v>547</v>
      </c>
      <c r="N3" s="87" t="s">
        <v>39</v>
      </c>
      <c r="O3" s="88" t="s">
        <v>40</v>
      </c>
      <c r="P3" s="623" t="s">
        <v>362</v>
      </c>
    </row>
    <row r="4" spans="1:16384" ht="25.5" x14ac:dyDescent="0.2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4" t="s">
        <v>766</v>
      </c>
      <c r="N4" s="564" t="s">
        <v>17</v>
      </c>
      <c r="O4" s="89" t="s">
        <v>18</v>
      </c>
      <c r="P4" s="624" t="s">
        <v>766</v>
      </c>
    </row>
    <row r="5" spans="1:16384" ht="15" customHeight="1" x14ac:dyDescent="0.2">
      <c r="A5" s="29">
        <v>1</v>
      </c>
      <c r="B5" s="21" t="s">
        <v>512</v>
      </c>
      <c r="C5" s="198">
        <v>150522241.06999999</v>
      </c>
      <c r="D5" s="204">
        <v>156002430.59</v>
      </c>
      <c r="E5" s="30">
        <v>89610113.150000006</v>
      </c>
      <c r="F5" s="48">
        <f t="shared" ref="F5:F16" si="0">+E5/D5</f>
        <v>0.57441485245515245</v>
      </c>
      <c r="G5" s="30">
        <v>81603965.530000001</v>
      </c>
      <c r="H5" s="48">
        <f t="shared" ref="H5:H16" si="1">+G5/D5</f>
        <v>0.52309419296465076</v>
      </c>
      <c r="I5" s="30">
        <v>26237448.829999998</v>
      </c>
      <c r="J5" s="153">
        <f t="shared" ref="J5:J16" si="2">+I5/D5</f>
        <v>0.16818615409240847</v>
      </c>
      <c r="K5" s="578">
        <v>83305357.859999999</v>
      </c>
      <c r="L5" s="48">
        <v>0.57041614065946478</v>
      </c>
      <c r="M5" s="625">
        <f>+G5/K5-1</f>
        <v>-2.0423564266530136E-2</v>
      </c>
      <c r="N5" s="578">
        <v>29698428.039999999</v>
      </c>
      <c r="O5" s="48">
        <v>0.20335381950701381</v>
      </c>
      <c r="P5" s="625">
        <f t="shared" ref="P5:P16" si="3">+I5/N5-1</f>
        <v>-0.11653745462010656</v>
      </c>
    </row>
    <row r="6" spans="1:16384" ht="15" customHeight="1" x14ac:dyDescent="0.2">
      <c r="A6" s="31">
        <v>2</v>
      </c>
      <c r="B6" s="23" t="s">
        <v>513</v>
      </c>
      <c r="C6" s="199">
        <v>349217889.70999998</v>
      </c>
      <c r="D6" s="204">
        <v>352153284.66000003</v>
      </c>
      <c r="E6" s="30">
        <v>299919295.5</v>
      </c>
      <c r="F6" s="48">
        <f t="shared" si="0"/>
        <v>0.85167257715505518</v>
      </c>
      <c r="G6" s="30">
        <v>290068923.93000001</v>
      </c>
      <c r="H6" s="280">
        <f t="shared" si="1"/>
        <v>0.82370074784353708</v>
      </c>
      <c r="I6" s="30">
        <v>79537969</v>
      </c>
      <c r="J6" s="178">
        <f t="shared" si="2"/>
        <v>0.22586178367409807</v>
      </c>
      <c r="K6" s="578">
        <v>248183869.59999999</v>
      </c>
      <c r="L6" s="48">
        <v>0.85419383162243812</v>
      </c>
      <c r="M6" s="626">
        <f t="shared" ref="M6:M29" si="4">+G6/K6-1</f>
        <v>0.16876622319374146</v>
      </c>
      <c r="N6" s="578">
        <v>83685393.969999999</v>
      </c>
      <c r="O6" s="48">
        <v>0.28802656450347963</v>
      </c>
      <c r="P6" s="626">
        <f t="shared" si="3"/>
        <v>-4.9559723307113668E-2</v>
      </c>
    </row>
    <row r="7" spans="1:16384" ht="15" customHeight="1" x14ac:dyDescent="0.2">
      <c r="A7" s="31">
        <v>3</v>
      </c>
      <c r="B7" s="23" t="s">
        <v>773</v>
      </c>
      <c r="C7" s="199">
        <v>220166239.43000001</v>
      </c>
      <c r="D7" s="204">
        <v>222214742.78999999</v>
      </c>
      <c r="E7" s="30">
        <v>137853891.90000001</v>
      </c>
      <c r="F7" s="48">
        <f t="shared" si="0"/>
        <v>0.62036339339679336</v>
      </c>
      <c r="G7" s="30">
        <v>136528470</v>
      </c>
      <c r="H7" s="280">
        <f t="shared" si="1"/>
        <v>0.6143987940936203</v>
      </c>
      <c r="I7" s="30">
        <v>30538309.920000002</v>
      </c>
      <c r="J7" s="178">
        <f t="shared" si="2"/>
        <v>0.13742702008236996</v>
      </c>
      <c r="K7" s="578">
        <v>0</v>
      </c>
      <c r="L7" s="48" t="s">
        <v>129</v>
      </c>
      <c r="M7" s="626" t="s">
        <v>129</v>
      </c>
      <c r="N7" s="578">
        <v>0</v>
      </c>
      <c r="O7" s="48" t="s">
        <v>129</v>
      </c>
      <c r="P7" s="626" t="s">
        <v>129</v>
      </c>
    </row>
    <row r="8" spans="1:16384" ht="15" customHeight="1" x14ac:dyDescent="0.2">
      <c r="A8" s="31">
        <v>4</v>
      </c>
      <c r="B8" s="23" t="s">
        <v>514</v>
      </c>
      <c r="C8" s="199">
        <v>241357694.44</v>
      </c>
      <c r="D8" s="204">
        <v>239087176.69999999</v>
      </c>
      <c r="E8" s="30">
        <v>58994785.07</v>
      </c>
      <c r="F8" s="48">
        <f t="shared" si="0"/>
        <v>0.24675010129892927</v>
      </c>
      <c r="G8" s="30">
        <v>57146244.93</v>
      </c>
      <c r="H8" s="280">
        <f t="shared" si="1"/>
        <v>0.23901844389465327</v>
      </c>
      <c r="I8" s="30">
        <v>46869407.789999999</v>
      </c>
      <c r="J8" s="178">
        <f t="shared" si="2"/>
        <v>0.19603480386072919</v>
      </c>
      <c r="K8" s="578">
        <v>63317486.490000002</v>
      </c>
      <c r="L8" s="48">
        <v>0.26368126657816882</v>
      </c>
      <c r="M8" s="626">
        <f t="shared" si="4"/>
        <v>-9.7465043262174533E-2</v>
      </c>
      <c r="N8" s="578">
        <v>50971081.189999998</v>
      </c>
      <c r="O8" s="48">
        <v>0.21226552082354896</v>
      </c>
      <c r="P8" s="626">
        <f t="shared" si="3"/>
        <v>-8.0470598312611497E-2</v>
      </c>
    </row>
    <row r="9" spans="1:16384" ht="15" customHeight="1" x14ac:dyDescent="0.2">
      <c r="A9" s="131" t="s">
        <v>420</v>
      </c>
      <c r="B9" s="23" t="s">
        <v>515</v>
      </c>
      <c r="C9" s="199">
        <v>65215120.890000001</v>
      </c>
      <c r="D9" s="204">
        <v>58618728.640000001</v>
      </c>
      <c r="E9" s="30">
        <v>34790498.659999996</v>
      </c>
      <c r="F9" s="48">
        <f t="shared" si="0"/>
        <v>0.59350483142788268</v>
      </c>
      <c r="G9" s="30">
        <v>33011223.739999998</v>
      </c>
      <c r="H9" s="280">
        <f t="shared" si="1"/>
        <v>0.56315147915838526</v>
      </c>
      <c r="I9" s="30">
        <v>8914580.6999999993</v>
      </c>
      <c r="J9" s="178">
        <f t="shared" si="2"/>
        <v>0.1520773463844268</v>
      </c>
      <c r="K9" s="578">
        <v>27290125.390000001</v>
      </c>
      <c r="L9" s="48">
        <v>0.53909629980699159</v>
      </c>
      <c r="M9" s="627">
        <f t="shared" si="4"/>
        <v>0.20963987040148946</v>
      </c>
      <c r="N9" s="578">
        <v>8010259.4400000004</v>
      </c>
      <c r="O9" s="48">
        <v>0.15823676743458248</v>
      </c>
      <c r="P9" s="627">
        <f t="shared" si="3"/>
        <v>0.11289537708156905</v>
      </c>
    </row>
    <row r="10" spans="1:16384" ht="15" customHeight="1" x14ac:dyDescent="0.2">
      <c r="A10" s="131" t="s">
        <v>419</v>
      </c>
      <c r="B10" s="23" t="s">
        <v>516</v>
      </c>
      <c r="C10" s="199">
        <v>286675054.51999998</v>
      </c>
      <c r="D10" s="204">
        <v>286919847.67000002</v>
      </c>
      <c r="E10" s="30">
        <v>270339849.95999998</v>
      </c>
      <c r="F10" s="48">
        <f t="shared" si="0"/>
        <v>0.94221383482306365</v>
      </c>
      <c r="G10" s="30">
        <v>268641135.80000001</v>
      </c>
      <c r="H10" s="280">
        <f t="shared" si="1"/>
        <v>0.93629331669301874</v>
      </c>
      <c r="I10" s="30">
        <v>26678344.16</v>
      </c>
      <c r="J10" s="178">
        <f t="shared" si="2"/>
        <v>9.2981870639649911E-2</v>
      </c>
      <c r="K10" s="578">
        <v>264475025.94999999</v>
      </c>
      <c r="L10" s="48">
        <v>0.79343432569204564</v>
      </c>
      <c r="M10" s="625">
        <f t="shared" si="4"/>
        <v>1.57523752385893E-2</v>
      </c>
      <c r="N10" s="578">
        <v>33637165.719999999</v>
      </c>
      <c r="O10" s="48">
        <v>0.10091267334362765</v>
      </c>
      <c r="P10" s="625">
        <f t="shared" si="3"/>
        <v>-0.20687895103666298</v>
      </c>
    </row>
    <row r="11" spans="1:16384" ht="15" customHeight="1" x14ac:dyDescent="0.2">
      <c r="A11" s="131" t="s">
        <v>443</v>
      </c>
      <c r="B11" s="23" t="s">
        <v>517</v>
      </c>
      <c r="C11" s="199">
        <v>4757330.3899999997</v>
      </c>
      <c r="D11" s="204">
        <v>4842046.9400000004</v>
      </c>
      <c r="E11" s="30">
        <v>3358332.5</v>
      </c>
      <c r="F11" s="48">
        <f t="shared" si="0"/>
        <v>0.69357702261349818</v>
      </c>
      <c r="G11" s="30">
        <v>3165771.56</v>
      </c>
      <c r="H11" s="280">
        <f t="shared" si="1"/>
        <v>0.65380852338453366</v>
      </c>
      <c r="I11" s="30">
        <v>216512.07</v>
      </c>
      <c r="J11" s="178">
        <f t="shared" si="2"/>
        <v>4.4714987831158862E-2</v>
      </c>
      <c r="K11" s="566">
        <v>3112657.58</v>
      </c>
      <c r="L11" s="280">
        <v>0.54919381688153934</v>
      </c>
      <c r="M11" s="626">
        <f t="shared" si="4"/>
        <v>1.7063868618661271E-2</v>
      </c>
      <c r="N11" s="566">
        <v>456898.1</v>
      </c>
      <c r="O11" s="280">
        <v>8.0614588985699884E-2</v>
      </c>
      <c r="P11" s="626">
        <f t="shared" si="3"/>
        <v>-0.5261261318442777</v>
      </c>
    </row>
    <row r="12" spans="1:16384" ht="15" customHeight="1" x14ac:dyDescent="0.2">
      <c r="A12" s="131" t="s">
        <v>447</v>
      </c>
      <c r="B12" s="23" t="s">
        <v>518</v>
      </c>
      <c r="C12" s="199">
        <v>60930053.189999998</v>
      </c>
      <c r="D12" s="204">
        <v>57242643.789999999</v>
      </c>
      <c r="E12" s="30">
        <v>39744712.039999999</v>
      </c>
      <c r="F12" s="48">
        <f t="shared" si="0"/>
        <v>0.69431999307731485</v>
      </c>
      <c r="G12" s="30">
        <v>35057451.380000003</v>
      </c>
      <c r="H12" s="280">
        <f t="shared" si="1"/>
        <v>0.61243592292158178</v>
      </c>
      <c r="I12" s="30">
        <v>3209286.16</v>
      </c>
      <c r="J12" s="178">
        <f t="shared" si="2"/>
        <v>5.6064604069888301E-2</v>
      </c>
      <c r="K12" s="566">
        <v>25461778.449999999</v>
      </c>
      <c r="L12" s="280">
        <v>0.63008489891548747</v>
      </c>
      <c r="M12" s="626">
        <f t="shared" si="4"/>
        <v>0.37686577741783789</v>
      </c>
      <c r="N12" s="566">
        <v>3514019.1</v>
      </c>
      <c r="O12" s="280">
        <v>8.6958983393816802E-2</v>
      </c>
      <c r="P12" s="626">
        <f t="shared" si="3"/>
        <v>-8.6719204229709468E-2</v>
      </c>
    </row>
    <row r="13" spans="1:16384" ht="15" customHeight="1" x14ac:dyDescent="0.2">
      <c r="A13" s="131" t="s">
        <v>510</v>
      </c>
      <c r="B13" s="23" t="s">
        <v>519</v>
      </c>
      <c r="C13" s="199">
        <v>84785705.450000003</v>
      </c>
      <c r="D13" s="204">
        <v>83761015.120000005</v>
      </c>
      <c r="E13" s="30">
        <v>59744229.68</v>
      </c>
      <c r="F13" s="48">
        <f t="shared" si="0"/>
        <v>0.71327012446551152</v>
      </c>
      <c r="G13" s="30">
        <v>49265512.280000001</v>
      </c>
      <c r="H13" s="280">
        <f t="shared" si="1"/>
        <v>0.58816756470083242</v>
      </c>
      <c r="I13" s="30">
        <v>16830368.390000001</v>
      </c>
      <c r="J13" s="178">
        <f t="shared" si="2"/>
        <v>0.20093319506560439</v>
      </c>
      <c r="K13" s="566">
        <v>48523670.219999999</v>
      </c>
      <c r="L13" s="280">
        <v>0.6068370022644487</v>
      </c>
      <c r="M13" s="626">
        <f t="shared" si="4"/>
        <v>1.5288251210936687E-2</v>
      </c>
      <c r="N13" s="566">
        <v>11964675.74</v>
      </c>
      <c r="O13" s="280">
        <v>0.14963023048770061</v>
      </c>
      <c r="P13" s="626">
        <f t="shared" si="3"/>
        <v>0.40667150165492072</v>
      </c>
    </row>
    <row r="14" spans="1:16384" ht="15" customHeight="1" x14ac:dyDescent="0.2">
      <c r="A14" s="131" t="s">
        <v>511</v>
      </c>
      <c r="B14" s="23" t="s">
        <v>520</v>
      </c>
      <c r="C14" s="199">
        <v>39445338.359999999</v>
      </c>
      <c r="D14" s="204">
        <v>46572804.619999997</v>
      </c>
      <c r="E14" s="30">
        <v>14233711.689999999</v>
      </c>
      <c r="F14" s="48">
        <f t="shared" si="0"/>
        <v>0.30562281585007967</v>
      </c>
      <c r="G14" s="30">
        <v>8451240.3499999996</v>
      </c>
      <c r="H14" s="412">
        <f t="shared" si="1"/>
        <v>0.18146298937665309</v>
      </c>
      <c r="I14" s="30">
        <v>7334951.9199999999</v>
      </c>
      <c r="J14" s="427">
        <f t="shared" si="2"/>
        <v>0.15749431411416684</v>
      </c>
      <c r="K14" s="579">
        <v>14718726.039999999</v>
      </c>
      <c r="L14" s="280">
        <v>0.20816397315317578</v>
      </c>
      <c r="M14" s="626">
        <f t="shared" si="4"/>
        <v>-0.42581713070596694</v>
      </c>
      <c r="N14" s="579">
        <v>10878944.859999999</v>
      </c>
      <c r="O14" s="280">
        <v>0.15385872252921692</v>
      </c>
      <c r="P14" s="626">
        <f t="shared" si="3"/>
        <v>-0.32576623795848525</v>
      </c>
    </row>
    <row r="15" spans="1:16384" ht="15" customHeight="1" x14ac:dyDescent="0.2">
      <c r="A15" s="717" t="s">
        <v>421</v>
      </c>
      <c r="B15" s="506" t="s">
        <v>23</v>
      </c>
      <c r="C15" s="199">
        <v>820954321.05999994</v>
      </c>
      <c r="D15" s="507">
        <v>825219144.71000004</v>
      </c>
      <c r="E15" s="508">
        <v>383405177.69999999</v>
      </c>
      <c r="F15" s="48">
        <f t="shared" si="0"/>
        <v>0.46461013435980925</v>
      </c>
      <c r="G15" s="508">
        <v>383405177.69999999</v>
      </c>
      <c r="H15" s="412">
        <f t="shared" si="1"/>
        <v>0.46461013435980925</v>
      </c>
      <c r="I15" s="508">
        <v>152615791.47</v>
      </c>
      <c r="J15" s="427">
        <f t="shared" si="2"/>
        <v>0.18493971261855843</v>
      </c>
      <c r="K15" s="622">
        <v>421170100.44</v>
      </c>
      <c r="L15" s="495">
        <v>0.5590041348572885</v>
      </c>
      <c r="M15" s="626">
        <f t="shared" si="4"/>
        <v>-8.9666675532158346E-2</v>
      </c>
      <c r="N15" s="622">
        <v>246952301.81</v>
      </c>
      <c r="O15" s="495">
        <v>0.32777103046986433</v>
      </c>
      <c r="P15" s="626">
        <f t="shared" si="3"/>
        <v>-0.38200296028251057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">
      <c r="A16" s="33">
        <v>8</v>
      </c>
      <c r="B16" s="524" t="s">
        <v>521</v>
      </c>
      <c r="C16" s="200">
        <v>76829628.569999993</v>
      </c>
      <c r="D16" s="526">
        <v>74835868.920000002</v>
      </c>
      <c r="E16" s="180">
        <v>47079781.280000001</v>
      </c>
      <c r="F16" s="78">
        <f t="shared" si="0"/>
        <v>0.62910716424404145</v>
      </c>
      <c r="G16" s="180">
        <v>41470031.450000003</v>
      </c>
      <c r="H16" s="78">
        <f t="shared" si="1"/>
        <v>0.55414645474794599</v>
      </c>
      <c r="I16" s="180">
        <v>8675466.2100000009</v>
      </c>
      <c r="J16" s="392">
        <f t="shared" si="2"/>
        <v>0.11592657819306043</v>
      </c>
      <c r="K16" s="580">
        <v>141073720.80000001</v>
      </c>
      <c r="L16" s="390">
        <v>0.89546003027450394</v>
      </c>
      <c r="M16" s="628">
        <f t="shared" si="4"/>
        <v>-0.70603999657177829</v>
      </c>
      <c r="N16" s="580">
        <v>45253142.539999999</v>
      </c>
      <c r="O16" s="390">
        <v>0.28724258606840997</v>
      </c>
      <c r="P16" s="628">
        <f t="shared" si="3"/>
        <v>-0.80829030376549849</v>
      </c>
    </row>
    <row r="17" spans="1:18" ht="15" customHeight="1" x14ac:dyDescent="0.2">
      <c r="A17" s="527"/>
      <c r="B17" s="2" t="s">
        <v>24</v>
      </c>
      <c r="C17" s="201">
        <f>SUM(C5:C16)</f>
        <v>2400856617.0800004</v>
      </c>
      <c r="D17" s="207">
        <f>SUM(D5:D16)</f>
        <v>2407469735.1500001</v>
      </c>
      <c r="E17" s="203">
        <f>SUM(E5:E16)</f>
        <v>1439074379.1299999</v>
      </c>
      <c r="F17" s="90">
        <f t="shared" ref="F17:F29" si="5">+E17/D17</f>
        <v>0.5977538816455098</v>
      </c>
      <c r="G17" s="203">
        <f>SUM(G5:G16)</f>
        <v>1387815148.6500001</v>
      </c>
      <c r="H17" s="90">
        <f t="shared" ref="H17:H29" si="6">+G17/D17</f>
        <v>0.57646213715061745</v>
      </c>
      <c r="I17" s="203">
        <f>SUM(I5:I16)</f>
        <v>407658436.61999995</v>
      </c>
      <c r="J17" s="170">
        <f>+I17/D17</f>
        <v>0.16933065893540727</v>
      </c>
      <c r="K17" s="568">
        <f>SUM(K5:K16)</f>
        <v>1340632518.8199999</v>
      </c>
      <c r="L17" s="90">
        <v>0.61799999999999999</v>
      </c>
      <c r="M17" s="629">
        <f t="shared" si="4"/>
        <v>3.5194305052013375E-2</v>
      </c>
      <c r="N17" s="568">
        <f>SUM(N5:N16)</f>
        <v>525022310.50999999</v>
      </c>
      <c r="O17" s="90">
        <v>0.24212537592467637</v>
      </c>
      <c r="P17" s="629">
        <f t="shared" ref="P17:P29" si="7">+I17/N17-1</f>
        <v>-0.22354073634698357</v>
      </c>
    </row>
    <row r="18" spans="1:18" ht="15" customHeight="1" x14ac:dyDescent="0.2">
      <c r="A18" s="29">
        <v>1</v>
      </c>
      <c r="B18" s="21" t="s">
        <v>25</v>
      </c>
      <c r="C18" s="198">
        <v>48735421.579999998</v>
      </c>
      <c r="D18" s="204">
        <v>51216471.909999996</v>
      </c>
      <c r="E18" s="30">
        <v>41334237.689999998</v>
      </c>
      <c r="F18" s="48">
        <f t="shared" si="5"/>
        <v>0.8070496882845517</v>
      </c>
      <c r="G18" s="30">
        <v>40086688.689999998</v>
      </c>
      <c r="H18" s="48">
        <f t="shared" si="6"/>
        <v>0.78269133337497787</v>
      </c>
      <c r="I18" s="30">
        <v>6467590.1299999999</v>
      </c>
      <c r="J18" s="153">
        <f t="shared" ref="J18:J29" si="8">+I18/D18</f>
        <v>0.12627949346774911</v>
      </c>
      <c r="K18" s="578">
        <v>39801173.729999997</v>
      </c>
      <c r="L18" s="48">
        <v>0.8556670356282261</v>
      </c>
      <c r="M18" s="625">
        <f t="shared" si="4"/>
        <v>7.1735311610872099E-3</v>
      </c>
      <c r="N18" s="578">
        <v>8602130.0299999993</v>
      </c>
      <c r="O18" s="48">
        <v>0.18493321711542007</v>
      </c>
      <c r="P18" s="625">
        <f t="shared" si="7"/>
        <v>-0.24814085494589988</v>
      </c>
    </row>
    <row r="19" spans="1:18" ht="15" customHeight="1" x14ac:dyDescent="0.2">
      <c r="A19" s="31">
        <v>2</v>
      </c>
      <c r="B19" s="23" t="s">
        <v>26</v>
      </c>
      <c r="C19" s="199">
        <v>43192677.759999998</v>
      </c>
      <c r="D19" s="204">
        <v>43477755.579999998</v>
      </c>
      <c r="E19" s="30">
        <v>35822936.259999998</v>
      </c>
      <c r="F19" s="280">
        <f t="shared" si="5"/>
        <v>0.82393710949694798</v>
      </c>
      <c r="G19" s="30">
        <v>34723516</v>
      </c>
      <c r="H19" s="280">
        <f t="shared" si="6"/>
        <v>0.79865014964049807</v>
      </c>
      <c r="I19" s="30">
        <v>6435418.5999999996</v>
      </c>
      <c r="J19" s="178">
        <f t="shared" si="8"/>
        <v>0.14801634799567084</v>
      </c>
      <c r="K19" s="579">
        <v>33162682.559999999</v>
      </c>
      <c r="L19" s="280">
        <v>0.82388665646377512</v>
      </c>
      <c r="M19" s="626">
        <f t="shared" si="4"/>
        <v>4.7065958466298463E-2</v>
      </c>
      <c r="N19" s="579">
        <v>6465358.0800000001</v>
      </c>
      <c r="O19" s="280">
        <v>0.16062398576275649</v>
      </c>
      <c r="P19" s="626">
        <f>+I19/N19-1</f>
        <v>-4.6307535684088075E-3</v>
      </c>
    </row>
    <row r="20" spans="1:18" ht="15" customHeight="1" x14ac:dyDescent="0.2">
      <c r="A20" s="35">
        <v>3</v>
      </c>
      <c r="B20" s="23" t="s">
        <v>27</v>
      </c>
      <c r="C20" s="199">
        <v>37174801.850000001</v>
      </c>
      <c r="D20" s="204">
        <v>37621326.859999999</v>
      </c>
      <c r="E20" s="30">
        <v>29411341.489999998</v>
      </c>
      <c r="F20" s="280">
        <f t="shared" si="5"/>
        <v>0.78177310437370362</v>
      </c>
      <c r="G20" s="30">
        <v>28089462.609999999</v>
      </c>
      <c r="H20" s="280">
        <f t="shared" si="6"/>
        <v>0.74663668069255329</v>
      </c>
      <c r="I20" s="30">
        <v>4125510.22</v>
      </c>
      <c r="J20" s="178">
        <f t="shared" si="8"/>
        <v>0.10965881759971505</v>
      </c>
      <c r="K20" s="579">
        <v>25756797.09</v>
      </c>
      <c r="L20" s="280">
        <v>0.75647928243998719</v>
      </c>
      <c r="M20" s="626">
        <f t="shared" si="4"/>
        <v>9.056504626134787E-2</v>
      </c>
      <c r="N20" s="579">
        <v>4762592.09</v>
      </c>
      <c r="O20" s="280">
        <v>0.13987772758423975</v>
      </c>
      <c r="P20" s="626">
        <f t="shared" si="7"/>
        <v>-0.13376788479065393</v>
      </c>
    </row>
    <row r="21" spans="1:18" ht="15" customHeight="1" x14ac:dyDescent="0.2">
      <c r="A21" s="35">
        <v>4</v>
      </c>
      <c r="B21" s="23" t="s">
        <v>28</v>
      </c>
      <c r="C21" s="199">
        <v>16159465.359999999</v>
      </c>
      <c r="D21" s="204">
        <v>16505587.58</v>
      </c>
      <c r="E21" s="30">
        <v>11950744.99</v>
      </c>
      <c r="F21" s="280">
        <f t="shared" si="5"/>
        <v>0.72404238456078041</v>
      </c>
      <c r="G21" s="30">
        <v>11008216.5</v>
      </c>
      <c r="H21" s="280">
        <f t="shared" si="6"/>
        <v>0.66693878340561319</v>
      </c>
      <c r="I21" s="30">
        <v>1454359.29</v>
      </c>
      <c r="J21" s="178">
        <f t="shared" si="8"/>
        <v>8.8113148529305491E-2</v>
      </c>
      <c r="K21" s="579">
        <v>10967102.279999999</v>
      </c>
      <c r="L21" s="280">
        <v>0.69675063331402187</v>
      </c>
      <c r="M21" s="626">
        <f t="shared" si="4"/>
        <v>3.7488681103099442E-3</v>
      </c>
      <c r="N21" s="579">
        <v>2381518.96</v>
      </c>
      <c r="O21" s="280">
        <v>0.1513002068609641</v>
      </c>
      <c r="P21" s="626">
        <f t="shared" si="7"/>
        <v>-0.38931441889507357</v>
      </c>
      <c r="R21" s="342"/>
    </row>
    <row r="22" spans="1:18" ht="15" customHeight="1" x14ac:dyDescent="0.2">
      <c r="A22" s="35">
        <v>5</v>
      </c>
      <c r="B22" s="23" t="s">
        <v>29</v>
      </c>
      <c r="C22" s="199">
        <v>22086461.75</v>
      </c>
      <c r="D22" s="204">
        <v>22974421.449999999</v>
      </c>
      <c r="E22" s="30">
        <v>16659410.91</v>
      </c>
      <c r="F22" s="280">
        <f t="shared" si="5"/>
        <v>0.72512863691720952</v>
      </c>
      <c r="G22" s="30">
        <v>16123400</v>
      </c>
      <c r="H22" s="280">
        <f t="shared" si="6"/>
        <v>0.70179786834196867</v>
      </c>
      <c r="I22" s="30">
        <v>2342124.2400000002</v>
      </c>
      <c r="J22" s="178">
        <f t="shared" si="8"/>
        <v>0.10194486268554111</v>
      </c>
      <c r="K22" s="579">
        <v>12759364.82</v>
      </c>
      <c r="L22" s="280">
        <v>0.58163372951954473</v>
      </c>
      <c r="M22" s="626">
        <f t="shared" si="4"/>
        <v>0.26365224503393425</v>
      </c>
      <c r="N22" s="579">
        <v>2152665.9900000002</v>
      </c>
      <c r="O22" s="280">
        <v>9.8128955934468132E-2</v>
      </c>
      <c r="P22" s="626">
        <f t="shared" si="7"/>
        <v>8.8010983069417126E-2</v>
      </c>
    </row>
    <row r="23" spans="1:18" ht="15" customHeight="1" x14ac:dyDescent="0.2">
      <c r="A23" s="35">
        <v>6</v>
      </c>
      <c r="B23" s="23" t="s">
        <v>30</v>
      </c>
      <c r="C23" s="199">
        <v>25671480.27</v>
      </c>
      <c r="D23" s="204">
        <v>25791099.879999999</v>
      </c>
      <c r="E23" s="30">
        <v>19413717.640000001</v>
      </c>
      <c r="F23" s="280">
        <f t="shared" si="5"/>
        <v>0.75272934191746466</v>
      </c>
      <c r="G23" s="30">
        <v>18653951.84</v>
      </c>
      <c r="H23" s="280">
        <f t="shared" si="6"/>
        <v>0.72327089293564473</v>
      </c>
      <c r="I23" s="30">
        <v>3185122.15</v>
      </c>
      <c r="J23" s="178">
        <f t="shared" si="8"/>
        <v>0.12349694913437713</v>
      </c>
      <c r="K23" s="579">
        <v>16712747.15</v>
      </c>
      <c r="L23" s="280">
        <v>0.77352981229809403</v>
      </c>
      <c r="M23" s="626">
        <f t="shared" si="4"/>
        <v>0.11615114335048138</v>
      </c>
      <c r="N23" s="579">
        <v>4416732.1399999997</v>
      </c>
      <c r="O23" s="280">
        <v>0.20442324368110595</v>
      </c>
      <c r="P23" s="626">
        <f t="shared" si="7"/>
        <v>-0.27885095834677442</v>
      </c>
    </row>
    <row r="24" spans="1:18" ht="15" customHeight="1" x14ac:dyDescent="0.2">
      <c r="A24" s="35">
        <v>7</v>
      </c>
      <c r="B24" s="23" t="s">
        <v>31</v>
      </c>
      <c r="C24" s="199">
        <v>31914406.829999998</v>
      </c>
      <c r="D24" s="204">
        <v>32486024.969999999</v>
      </c>
      <c r="E24" s="30">
        <v>26195459.989999998</v>
      </c>
      <c r="F24" s="280">
        <f t="shared" si="5"/>
        <v>0.80636088946526474</v>
      </c>
      <c r="G24" s="30">
        <v>24844085.27</v>
      </c>
      <c r="H24" s="280">
        <f t="shared" si="6"/>
        <v>0.76476224139281024</v>
      </c>
      <c r="I24" s="30">
        <v>2783286.85</v>
      </c>
      <c r="J24" s="178">
        <f t="shared" si="8"/>
        <v>8.5676436331323796E-2</v>
      </c>
      <c r="K24" s="579">
        <v>20879710.98</v>
      </c>
      <c r="L24" s="280">
        <v>0.7976577353369565</v>
      </c>
      <c r="M24" s="626">
        <f t="shared" si="4"/>
        <v>0.18986729719570095</v>
      </c>
      <c r="N24" s="579">
        <v>2584830.85</v>
      </c>
      <c r="O24" s="280">
        <v>9.8747071930978439E-2</v>
      </c>
      <c r="P24" s="626">
        <f t="shared" si="7"/>
        <v>7.6777170931707106E-2</v>
      </c>
    </row>
    <row r="25" spans="1:18" ht="15" customHeight="1" x14ac:dyDescent="0.2">
      <c r="A25" s="35">
        <v>8</v>
      </c>
      <c r="B25" s="23" t="s">
        <v>32</v>
      </c>
      <c r="C25" s="199">
        <v>36364709.509999998</v>
      </c>
      <c r="D25" s="204">
        <v>38604660.060000002</v>
      </c>
      <c r="E25" s="30">
        <v>28151480.460000001</v>
      </c>
      <c r="F25" s="280">
        <f t="shared" si="5"/>
        <v>0.72922492818863072</v>
      </c>
      <c r="G25" s="30">
        <v>26294138.489999998</v>
      </c>
      <c r="H25" s="280">
        <f t="shared" si="6"/>
        <v>0.68111306896973611</v>
      </c>
      <c r="I25" s="30">
        <v>5574771.3700000001</v>
      </c>
      <c r="J25" s="178">
        <f t="shared" si="8"/>
        <v>0.14440669497764255</v>
      </c>
      <c r="K25" s="579">
        <v>21178975.02</v>
      </c>
      <c r="L25" s="280">
        <v>0.68202112357323541</v>
      </c>
      <c r="M25" s="626">
        <f t="shared" si="4"/>
        <v>0.24152082266349439</v>
      </c>
      <c r="N25" s="579">
        <v>3866593.93</v>
      </c>
      <c r="O25" s="280">
        <v>0.1245149368205852</v>
      </c>
      <c r="P25" s="626">
        <f t="shared" si="7"/>
        <v>0.44177833796992494</v>
      </c>
    </row>
    <row r="26" spans="1:18" ht="15" customHeight="1" x14ac:dyDescent="0.2">
      <c r="A26" s="35">
        <v>9</v>
      </c>
      <c r="B26" s="23" t="s">
        <v>33</v>
      </c>
      <c r="C26" s="199">
        <v>29247888.579999998</v>
      </c>
      <c r="D26" s="204">
        <v>29891268.23</v>
      </c>
      <c r="E26" s="30">
        <v>20757832.670000002</v>
      </c>
      <c r="F26" s="280">
        <f t="shared" si="5"/>
        <v>0.69444469569767742</v>
      </c>
      <c r="G26" s="30">
        <v>19652396.350000001</v>
      </c>
      <c r="H26" s="280">
        <f t="shared" si="6"/>
        <v>0.6574627813976831</v>
      </c>
      <c r="I26" s="30">
        <v>3266605.21</v>
      </c>
      <c r="J26" s="178">
        <f t="shared" si="8"/>
        <v>0.1092829245271538</v>
      </c>
      <c r="K26" s="579">
        <v>17757450.379999999</v>
      </c>
      <c r="L26" s="280">
        <v>0.7106658871324788</v>
      </c>
      <c r="M26" s="626">
        <f t="shared" si="4"/>
        <v>0.10671272786628516</v>
      </c>
      <c r="N26" s="579">
        <v>5297356.1900000004</v>
      </c>
      <c r="O26" s="280">
        <v>0.21200399019349975</v>
      </c>
      <c r="P26" s="626">
        <f t="shared" si="7"/>
        <v>-0.38335179043340872</v>
      </c>
    </row>
    <row r="27" spans="1:18" ht="15" customHeight="1" x14ac:dyDescent="0.2">
      <c r="A27" s="36">
        <v>10</v>
      </c>
      <c r="B27" s="24" t="s">
        <v>34</v>
      </c>
      <c r="C27" s="200">
        <v>44779723.270000003</v>
      </c>
      <c r="D27" s="206">
        <v>44926048.32</v>
      </c>
      <c r="E27" s="180">
        <v>38787269.770000003</v>
      </c>
      <c r="F27" s="390">
        <f t="shared" si="5"/>
        <v>0.8633581456736501</v>
      </c>
      <c r="G27" s="180">
        <v>38092544.810000002</v>
      </c>
      <c r="H27" s="390">
        <f t="shared" si="6"/>
        <v>0.84789440056409582</v>
      </c>
      <c r="I27" s="180">
        <v>7491698.5</v>
      </c>
      <c r="J27" s="392">
        <f t="shared" si="8"/>
        <v>0.16675623118770666</v>
      </c>
      <c r="K27" s="580">
        <v>31089729.59</v>
      </c>
      <c r="L27" s="390">
        <v>0.82484082339896059</v>
      </c>
      <c r="M27" s="628">
        <f t="shared" si="4"/>
        <v>0.22524529200963062</v>
      </c>
      <c r="N27" s="580">
        <v>5410378.0599999996</v>
      </c>
      <c r="O27" s="390">
        <v>0.14354260242088104</v>
      </c>
      <c r="P27" s="628">
        <f t="shared" si="7"/>
        <v>0.38469038890047558</v>
      </c>
    </row>
    <row r="28" spans="1:18" ht="15" customHeight="1" thickBot="1" x14ac:dyDescent="0.25">
      <c r="A28" s="10">
        <v>6</v>
      </c>
      <c r="B28" s="2" t="s">
        <v>35</v>
      </c>
      <c r="C28" s="528">
        <f>SUM(C18:C27)</f>
        <v>335327036.75999999</v>
      </c>
      <c r="D28" s="207">
        <f>SUM(D18:D27)</f>
        <v>343494664.83999997</v>
      </c>
      <c r="E28" s="529">
        <f>SUM(E18:E27)</f>
        <v>268484431.86999995</v>
      </c>
      <c r="F28" s="90">
        <f t="shared" si="5"/>
        <v>0.78162620661098237</v>
      </c>
      <c r="G28" s="529">
        <f>SUM(G18:G27)</f>
        <v>257568400.56</v>
      </c>
      <c r="H28" s="90">
        <f t="shared" si="6"/>
        <v>0.74984687369154779</v>
      </c>
      <c r="I28" s="529">
        <f>SUM(I18:I27)</f>
        <v>43126486.559999995</v>
      </c>
      <c r="J28" s="170">
        <f t="shared" si="8"/>
        <v>0.12555212925967377</v>
      </c>
      <c r="K28" s="568">
        <f>SUM(K18:K27)</f>
        <v>230065733.59999999</v>
      </c>
      <c r="L28" s="90">
        <v>0.76686985944531549</v>
      </c>
      <c r="M28" s="629">
        <f t="shared" si="4"/>
        <v>0.11954264778872759</v>
      </c>
      <c r="N28" s="568">
        <f>SUM(N18:N27)</f>
        <v>45940156.32</v>
      </c>
      <c r="O28" s="90">
        <v>0.15313067560624433</v>
      </c>
      <c r="P28" s="629">
        <f t="shared" si="7"/>
        <v>-6.1246412406635087E-2</v>
      </c>
      <c r="R28" s="342"/>
    </row>
    <row r="29" spans="1:18" s="6" customFormat="1" ht="19.5" customHeight="1" thickBot="1" x14ac:dyDescent="0.25">
      <c r="A29" s="5"/>
      <c r="B29" s="4" t="s">
        <v>11</v>
      </c>
      <c r="C29" s="202">
        <f>+C17+C28</f>
        <v>2736183653.8400002</v>
      </c>
      <c r="D29" s="208">
        <f>+D17+D28</f>
        <v>2750964399.9900002</v>
      </c>
      <c r="E29" s="209">
        <f>+E17+E28</f>
        <v>1707558810.9999998</v>
      </c>
      <c r="F29" s="181">
        <f t="shared" si="5"/>
        <v>0.62071279839397653</v>
      </c>
      <c r="G29" s="209">
        <f>+G17+G28</f>
        <v>1645383549.21</v>
      </c>
      <c r="H29" s="181">
        <f t="shared" si="6"/>
        <v>0.59811153834487318</v>
      </c>
      <c r="I29" s="209">
        <f>+I17+I28</f>
        <v>450784923.17999995</v>
      </c>
      <c r="J29" s="173">
        <f t="shared" si="8"/>
        <v>0.16386432451893546</v>
      </c>
      <c r="K29" s="576">
        <f>K17+K28</f>
        <v>1570698252.4199998</v>
      </c>
      <c r="L29" s="181">
        <v>0.63632331786873109</v>
      </c>
      <c r="M29" s="630">
        <f t="shared" si="4"/>
        <v>4.7549105421700988E-2</v>
      </c>
      <c r="N29" s="576">
        <f>+N28+N17</f>
        <v>570962466.83000004</v>
      </c>
      <c r="O29" s="181">
        <v>0.23130905679178868</v>
      </c>
      <c r="P29" s="630">
        <f t="shared" si="7"/>
        <v>-0.21048238830343657</v>
      </c>
    </row>
    <row r="30" spans="1:18" ht="33.6" customHeight="1" x14ac:dyDescent="0.2">
      <c r="A30" s="719" t="s">
        <v>774</v>
      </c>
      <c r="B30" s="766" t="s">
        <v>775</v>
      </c>
      <c r="C30" s="767"/>
      <c r="D30" s="767"/>
      <c r="E30" s="767"/>
      <c r="F30" s="767"/>
      <c r="G30" s="767"/>
      <c r="H30" s="767"/>
      <c r="I30" s="767"/>
      <c r="J30" s="767"/>
      <c r="K30" s="767"/>
      <c r="L30" s="767"/>
      <c r="M30" s="767"/>
      <c r="N30" s="767"/>
      <c r="O30" s="767"/>
      <c r="P30" s="767"/>
    </row>
    <row r="32" spans="1:18" ht="15.75" thickBot="1" x14ac:dyDescent="0.3">
      <c r="A32" s="7" t="s">
        <v>19</v>
      </c>
    </row>
    <row r="33" spans="1:16" ht="26.25" customHeight="1" x14ac:dyDescent="0.2">
      <c r="A33" s="768" t="s">
        <v>464</v>
      </c>
      <c r="B33" s="767"/>
      <c r="C33" s="164" t="s">
        <v>767</v>
      </c>
      <c r="D33" s="742" t="s">
        <v>781</v>
      </c>
      <c r="E33" s="740"/>
      <c r="F33" s="740"/>
      <c r="G33" s="740"/>
      <c r="H33" s="740"/>
      <c r="I33" s="740"/>
      <c r="J33" s="741"/>
      <c r="K33" s="751" t="s">
        <v>782</v>
      </c>
      <c r="L33" s="749"/>
      <c r="M33" s="749"/>
      <c r="N33" s="749"/>
      <c r="O33" s="749"/>
      <c r="P33" s="752"/>
    </row>
    <row r="34" spans="1:16" x14ac:dyDescent="0.2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545</v>
      </c>
      <c r="L34" s="88" t="s">
        <v>546</v>
      </c>
      <c r="M34" s="88" t="s">
        <v>547</v>
      </c>
      <c r="N34" s="87" t="s">
        <v>39</v>
      </c>
      <c r="O34" s="88" t="s">
        <v>40</v>
      </c>
      <c r="P34" s="611" t="s">
        <v>362</v>
      </c>
    </row>
    <row r="35" spans="1:16" ht="25.5" x14ac:dyDescent="0.2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766</v>
      </c>
      <c r="N35" s="564" t="s">
        <v>17</v>
      </c>
      <c r="O35" s="89" t="s">
        <v>18</v>
      </c>
      <c r="P35" s="587" t="s">
        <v>766</v>
      </c>
    </row>
    <row r="36" spans="1:16" ht="15" customHeight="1" x14ac:dyDescent="0.2">
      <c r="A36" s="29">
        <v>1</v>
      </c>
      <c r="B36" s="21" t="s">
        <v>512</v>
      </c>
      <c r="C36" s="198">
        <v>147387289.73999998</v>
      </c>
      <c r="D36" s="204">
        <v>151895729.25999999</v>
      </c>
      <c r="E36" s="30">
        <v>88226574.620000005</v>
      </c>
      <c r="F36" s="48">
        <f t="shared" ref="F36:F47" si="9">+E36/D36</f>
        <v>0.58083643990399847</v>
      </c>
      <c r="G36" s="30">
        <v>80729460.290000007</v>
      </c>
      <c r="H36" s="48">
        <f t="shared" ref="H36:H47" si="10">+G36/D36</f>
        <v>0.53147946083339415</v>
      </c>
      <c r="I36" s="30">
        <v>26189507.510000002</v>
      </c>
      <c r="J36" s="153">
        <f t="shared" ref="J36:J47" si="11">+I36/D36</f>
        <v>0.17241766860456892</v>
      </c>
      <c r="K36" s="578">
        <v>82716286.340000004</v>
      </c>
      <c r="L36" s="48">
        <v>0.573689756725967</v>
      </c>
      <c r="M36" s="210">
        <f t="shared" ref="M36:M60" si="12">+G36/K36-1</f>
        <v>-2.40197685112854E-2</v>
      </c>
      <c r="N36" s="578">
        <v>29694037.010000002</v>
      </c>
      <c r="O36" s="48">
        <v>0.20594692559645153</v>
      </c>
      <c r="P36" s="210">
        <f t="shared" ref="P36:P43" si="13">+I36/N36-1</f>
        <v>-0.11802132188424852</v>
      </c>
    </row>
    <row r="37" spans="1:16" ht="15" customHeight="1" x14ac:dyDescent="0.2">
      <c r="A37" s="31">
        <v>2</v>
      </c>
      <c r="B37" s="23" t="s">
        <v>513</v>
      </c>
      <c r="C37" s="199">
        <v>347088506.07999998</v>
      </c>
      <c r="D37" s="204">
        <v>349680581.05000001</v>
      </c>
      <c r="E37" s="30">
        <v>299847154.94</v>
      </c>
      <c r="F37" s="48">
        <f t="shared" si="9"/>
        <v>0.85748872310734792</v>
      </c>
      <c r="G37" s="30">
        <v>289996783.37</v>
      </c>
      <c r="H37" s="280">
        <f t="shared" si="10"/>
        <v>0.82931909601389631</v>
      </c>
      <c r="I37" s="30">
        <v>79537969</v>
      </c>
      <c r="J37" s="178">
        <f t="shared" si="11"/>
        <v>0.22745892483125063</v>
      </c>
      <c r="K37" s="579">
        <v>248183869.59999999</v>
      </c>
      <c r="L37" s="280">
        <v>0.85545041504142849</v>
      </c>
      <c r="M37" s="211">
        <f t="shared" si="12"/>
        <v>0.16847554934730535</v>
      </c>
      <c r="N37" s="579">
        <v>83685393.969999999</v>
      </c>
      <c r="O37" s="280">
        <v>0.28845027325878214</v>
      </c>
      <c r="P37" s="211">
        <f t="shared" si="13"/>
        <v>-4.9559723307113668E-2</v>
      </c>
    </row>
    <row r="38" spans="1:16" ht="15" customHeight="1" x14ac:dyDescent="0.2">
      <c r="A38" s="31">
        <v>3</v>
      </c>
      <c r="B38" s="23" t="s">
        <v>773</v>
      </c>
      <c r="C38" s="199">
        <v>220166239.43000001</v>
      </c>
      <c r="D38" s="204">
        <v>222214742.78999999</v>
      </c>
      <c r="E38" s="30">
        <v>137853891.90000001</v>
      </c>
      <c r="F38" s="48">
        <f t="shared" si="9"/>
        <v>0.62036339339679336</v>
      </c>
      <c r="G38" s="30">
        <v>136528470</v>
      </c>
      <c r="H38" s="280">
        <f t="shared" si="10"/>
        <v>0.6143987940936203</v>
      </c>
      <c r="I38" s="30">
        <v>30538309.920000002</v>
      </c>
      <c r="J38" s="178">
        <f t="shared" si="11"/>
        <v>0.13742702008236996</v>
      </c>
      <c r="K38" s="579">
        <v>0</v>
      </c>
      <c r="L38" s="280" t="s">
        <v>129</v>
      </c>
      <c r="M38" s="211" t="s">
        <v>129</v>
      </c>
      <c r="N38" s="579">
        <v>0</v>
      </c>
      <c r="O38" s="280" t="s">
        <v>129</v>
      </c>
      <c r="P38" s="211" t="s">
        <v>129</v>
      </c>
    </row>
    <row r="39" spans="1:16" ht="15" customHeight="1" x14ac:dyDescent="0.2">
      <c r="A39" s="31">
        <v>4</v>
      </c>
      <c r="B39" s="23" t="s">
        <v>514</v>
      </c>
      <c r="C39" s="199">
        <v>239984203.19</v>
      </c>
      <c r="D39" s="204">
        <v>237153349.36000001</v>
      </c>
      <c r="E39" s="30">
        <v>58090160.840000004</v>
      </c>
      <c r="F39" s="48">
        <f t="shared" si="9"/>
        <v>0.2449476720306355</v>
      </c>
      <c r="G39" s="30">
        <v>56341809.439999998</v>
      </c>
      <c r="H39" s="280">
        <f t="shared" si="10"/>
        <v>0.23757543206557391</v>
      </c>
      <c r="I39" s="30">
        <v>46851141.469999999</v>
      </c>
      <c r="J39" s="178">
        <f t="shared" si="11"/>
        <v>0.19755631365290027</v>
      </c>
      <c r="K39" s="579">
        <v>62401093.369999997</v>
      </c>
      <c r="L39" s="280">
        <v>0.26436118957080168</v>
      </c>
      <c r="M39" s="211">
        <f t="shared" si="12"/>
        <v>-9.7102207714088951E-2</v>
      </c>
      <c r="N39" s="579">
        <v>50944989.119999997</v>
      </c>
      <c r="O39" s="280">
        <v>0.21582759530475756</v>
      </c>
      <c r="P39" s="211">
        <f t="shared" si="13"/>
        <v>-8.0358200496559395E-2</v>
      </c>
    </row>
    <row r="40" spans="1:16" ht="15" customHeight="1" x14ac:dyDescent="0.2">
      <c r="A40" s="131" t="s">
        <v>420</v>
      </c>
      <c r="B40" s="23" t="s">
        <v>515</v>
      </c>
      <c r="C40" s="199">
        <v>50177184.560000002</v>
      </c>
      <c r="D40" s="204">
        <v>51547129.130000003</v>
      </c>
      <c r="E40" s="30">
        <v>27873606.449999999</v>
      </c>
      <c r="F40" s="48">
        <f t="shared" si="9"/>
        <v>0.54074022977504277</v>
      </c>
      <c r="G40" s="30">
        <v>26094331.530000001</v>
      </c>
      <c r="H40" s="280">
        <f t="shared" si="10"/>
        <v>0.50622279010322835</v>
      </c>
      <c r="I40" s="30">
        <v>8914580.6999999993</v>
      </c>
      <c r="J40" s="178">
        <f t="shared" si="11"/>
        <v>0.17294039164659875</v>
      </c>
      <c r="K40" s="579">
        <v>25838652.300000001</v>
      </c>
      <c r="L40" s="280">
        <v>0.61433799728481731</v>
      </c>
      <c r="M40" s="211">
        <f t="shared" si="12"/>
        <v>9.8952231343738539E-3</v>
      </c>
      <c r="N40" s="579">
        <v>6992041.6200000001</v>
      </c>
      <c r="O40" s="280">
        <v>0.1662422945241184</v>
      </c>
      <c r="P40" s="211">
        <f t="shared" si="13"/>
        <v>0.27496104635601393</v>
      </c>
    </row>
    <row r="41" spans="1:16" ht="15" customHeight="1" x14ac:dyDescent="0.2">
      <c r="A41" s="131" t="s">
        <v>419</v>
      </c>
      <c r="B41" s="23" t="s">
        <v>516</v>
      </c>
      <c r="C41" s="199">
        <v>283222598.26999998</v>
      </c>
      <c r="D41" s="204">
        <v>283723738.50999999</v>
      </c>
      <c r="E41" s="30">
        <v>267710331.13999999</v>
      </c>
      <c r="F41" s="48">
        <f t="shared" si="9"/>
        <v>0.94355986053864993</v>
      </c>
      <c r="G41" s="30">
        <v>266404866.97999999</v>
      </c>
      <c r="H41" s="280">
        <f t="shared" si="10"/>
        <v>0.93895867994355509</v>
      </c>
      <c r="I41" s="30">
        <v>26678344.16</v>
      </c>
      <c r="J41" s="178">
        <f t="shared" si="11"/>
        <v>9.4029298711851381E-2</v>
      </c>
      <c r="K41" s="579">
        <v>264267239.66</v>
      </c>
      <c r="L41" s="280">
        <v>0.79354369370509537</v>
      </c>
      <c r="M41" s="211">
        <f t="shared" si="12"/>
        <v>8.0888850345210983E-3</v>
      </c>
      <c r="N41" s="579">
        <v>33637165.719999999</v>
      </c>
      <c r="O41" s="280">
        <v>0.1010059391605302</v>
      </c>
      <c r="P41" s="211">
        <f t="shared" si="13"/>
        <v>-0.20687895103666298</v>
      </c>
    </row>
    <row r="42" spans="1:16" ht="15" customHeight="1" x14ac:dyDescent="0.2">
      <c r="A42" s="131" t="s">
        <v>443</v>
      </c>
      <c r="B42" s="23" t="s">
        <v>517</v>
      </c>
      <c r="C42" s="199">
        <v>4757330.3899999997</v>
      </c>
      <c r="D42" s="204">
        <v>4842046.9400000004</v>
      </c>
      <c r="E42" s="30">
        <v>3358332.5</v>
      </c>
      <c r="F42" s="48">
        <f t="shared" si="9"/>
        <v>0.69357702261349818</v>
      </c>
      <c r="G42" s="30">
        <v>3165771.56</v>
      </c>
      <c r="H42" s="280">
        <f t="shared" si="10"/>
        <v>0.65380852338453366</v>
      </c>
      <c r="I42" s="30">
        <v>216512.07</v>
      </c>
      <c r="J42" s="178">
        <f t="shared" si="11"/>
        <v>4.4714987831158862E-2</v>
      </c>
      <c r="K42" s="566">
        <v>3112657.58</v>
      </c>
      <c r="L42" s="280">
        <v>0.54919381688153934</v>
      </c>
      <c r="M42" s="211">
        <f t="shared" si="12"/>
        <v>1.7063868618661271E-2</v>
      </c>
      <c r="N42" s="566">
        <v>456898.1</v>
      </c>
      <c r="O42" s="280">
        <v>8.0614588985699884E-2</v>
      </c>
      <c r="P42" s="211">
        <f t="shared" si="13"/>
        <v>-0.5261261318442777</v>
      </c>
    </row>
    <row r="43" spans="1:16" ht="15" customHeight="1" x14ac:dyDescent="0.2">
      <c r="A43" s="131" t="s">
        <v>447</v>
      </c>
      <c r="B43" s="23" t="s">
        <v>518</v>
      </c>
      <c r="C43" s="199">
        <v>36983581.259999998</v>
      </c>
      <c r="D43" s="204">
        <v>37005388.020000003</v>
      </c>
      <c r="E43" s="30">
        <v>27072847.949999999</v>
      </c>
      <c r="F43" s="48">
        <f t="shared" si="9"/>
        <v>0.73159205722604925</v>
      </c>
      <c r="G43" s="30">
        <v>26343091.969999999</v>
      </c>
      <c r="H43" s="280">
        <f t="shared" si="10"/>
        <v>0.71187179433877468</v>
      </c>
      <c r="I43" s="30">
        <v>3172028.44</v>
      </c>
      <c r="J43" s="178">
        <f t="shared" si="11"/>
        <v>8.5718015935561581E-2</v>
      </c>
      <c r="K43" s="566">
        <v>23204444.739999998</v>
      </c>
      <c r="L43" s="280">
        <v>0.68014659829308144</v>
      </c>
      <c r="M43" s="211">
        <f t="shared" si="12"/>
        <v>0.13526060481807511</v>
      </c>
      <c r="N43" s="566">
        <v>2445972.6</v>
      </c>
      <c r="O43" s="280">
        <v>7.1694020781299855E-2</v>
      </c>
      <c r="P43" s="211">
        <f t="shared" si="13"/>
        <v>0.29683727446497143</v>
      </c>
    </row>
    <row r="44" spans="1:16" ht="15" customHeight="1" x14ac:dyDescent="0.2">
      <c r="A44" s="131" t="s">
        <v>510</v>
      </c>
      <c r="B44" s="23" t="s">
        <v>519</v>
      </c>
      <c r="C44" s="199">
        <v>82667330.079999998</v>
      </c>
      <c r="D44" s="204">
        <v>82423377.620000005</v>
      </c>
      <c r="E44" s="30">
        <v>58444229.68</v>
      </c>
      <c r="F44" s="48">
        <f t="shared" si="9"/>
        <v>0.70907346152990613</v>
      </c>
      <c r="G44" s="30">
        <v>47965512.280000001</v>
      </c>
      <c r="H44" s="280">
        <f t="shared" si="10"/>
        <v>0.58194062977056626</v>
      </c>
      <c r="I44" s="30">
        <v>15530368.390000001</v>
      </c>
      <c r="J44" s="178">
        <f t="shared" si="11"/>
        <v>0.18842188755719666</v>
      </c>
      <c r="K44" s="566">
        <v>48523670.219999999</v>
      </c>
      <c r="L44" s="280">
        <v>0.6068370022644487</v>
      </c>
      <c r="M44" s="211">
        <f t="shared" si="12"/>
        <v>-1.1502797242446516E-2</v>
      </c>
      <c r="N44" s="566">
        <v>11964675.74</v>
      </c>
      <c r="O44" s="280">
        <v>0.14963023048770061</v>
      </c>
      <c r="P44" s="211">
        <f t="shared" ref="P44:P45" si="14">+I44/N44-1</f>
        <v>0.29801832723968169</v>
      </c>
    </row>
    <row r="45" spans="1:16" ht="15" customHeight="1" x14ac:dyDescent="0.2">
      <c r="A45" s="718" t="s">
        <v>511</v>
      </c>
      <c r="B45" s="24" t="s">
        <v>520</v>
      </c>
      <c r="C45" s="199">
        <v>39407700.859999999</v>
      </c>
      <c r="D45" s="204">
        <v>46572804.619999997</v>
      </c>
      <c r="E45" s="30">
        <v>14233711.689999999</v>
      </c>
      <c r="F45" s="48">
        <f t="shared" si="9"/>
        <v>0.30562281585007967</v>
      </c>
      <c r="G45" s="30">
        <v>8451240.3499999996</v>
      </c>
      <c r="H45" s="390">
        <f t="shared" si="10"/>
        <v>0.18146298937665309</v>
      </c>
      <c r="I45" s="30">
        <v>7334951.9199999999</v>
      </c>
      <c r="J45" s="392">
        <f t="shared" si="11"/>
        <v>0.15749431411416684</v>
      </c>
      <c r="K45" s="579">
        <v>14716415.15</v>
      </c>
      <c r="L45" s="280">
        <v>0.20816749523722536</v>
      </c>
      <c r="M45" s="211">
        <f t="shared" si="12"/>
        <v>-0.42572696788864373</v>
      </c>
      <c r="N45" s="579">
        <v>10876633.970000001</v>
      </c>
      <c r="O45" s="280">
        <v>0.15385279818957939</v>
      </c>
      <c r="P45" s="211">
        <f t="shared" si="14"/>
        <v>-0.32562298775234044</v>
      </c>
    </row>
    <row r="46" spans="1:16" ht="15" customHeight="1" x14ac:dyDescent="0.2">
      <c r="A46" s="718" t="s">
        <v>421</v>
      </c>
      <c r="B46" s="24" t="s">
        <v>23</v>
      </c>
      <c r="C46" s="199">
        <v>298770260.13</v>
      </c>
      <c r="D46" s="204">
        <v>294271325.50999999</v>
      </c>
      <c r="E46" s="30">
        <v>205987966.93000001</v>
      </c>
      <c r="F46" s="48">
        <f>+E46/D46</f>
        <v>0.69999333633001248</v>
      </c>
      <c r="G46" s="30">
        <v>205987966.93000001</v>
      </c>
      <c r="H46" s="390">
        <f t="shared" si="10"/>
        <v>0.69999333633001248</v>
      </c>
      <c r="I46" s="30">
        <v>62289420.479999997</v>
      </c>
      <c r="J46" s="392">
        <f t="shared" si="11"/>
        <v>0.21167342884002222</v>
      </c>
      <c r="K46" s="580">
        <v>202276111.81999999</v>
      </c>
      <c r="L46" s="390">
        <v>0.63085622366276284</v>
      </c>
      <c r="M46" s="211">
        <f t="shared" si="12"/>
        <v>1.8350437313641388E-2</v>
      </c>
      <c r="N46" s="580">
        <v>66163329.689999998</v>
      </c>
      <c r="O46" s="390">
        <v>0.2063493703612943</v>
      </c>
      <c r="P46" s="211">
        <f>+I46/N46-1</f>
        <v>-5.8550699128213757E-2</v>
      </c>
    </row>
    <row r="47" spans="1:16" ht="15" customHeight="1" x14ac:dyDescent="0.2">
      <c r="A47" s="31">
        <v>8</v>
      </c>
      <c r="B47" s="524" t="s">
        <v>521</v>
      </c>
      <c r="C47" s="200">
        <v>72658648.889999986</v>
      </c>
      <c r="D47" s="516">
        <v>73999868.920000002</v>
      </c>
      <c r="E47" s="180">
        <v>46780386.780000001</v>
      </c>
      <c r="F47" s="78">
        <f t="shared" si="9"/>
        <v>0.63216850871146113</v>
      </c>
      <c r="G47" s="180">
        <v>41320636.950000003</v>
      </c>
      <c r="H47" s="390">
        <f t="shared" si="10"/>
        <v>0.55838797491210479</v>
      </c>
      <c r="I47" s="180">
        <v>8675466.2100000009</v>
      </c>
      <c r="J47" s="392">
        <f t="shared" si="11"/>
        <v>0.11723623753143265</v>
      </c>
      <c r="K47" s="580">
        <v>136696927.80000001</v>
      </c>
      <c r="L47" s="390">
        <v>0.89247275948455418</v>
      </c>
      <c r="M47" s="520">
        <f t="shared" si="12"/>
        <v>-0.69772080751912846</v>
      </c>
      <c r="N47" s="580">
        <v>45253142.539999999</v>
      </c>
      <c r="O47" s="390">
        <v>0.29545065604628507</v>
      </c>
      <c r="P47" s="520">
        <f>+I47/N47-1</f>
        <v>-0.80829030376549849</v>
      </c>
    </row>
    <row r="48" spans="1:16" ht="15" customHeight="1" x14ac:dyDescent="0.2">
      <c r="A48" s="9"/>
      <c r="B48" s="2" t="s">
        <v>24</v>
      </c>
      <c r="C48" s="525">
        <f>SUM(C36:C47)</f>
        <v>1823270872.8799996</v>
      </c>
      <c r="D48" s="207">
        <f>SUM(D36:D47)</f>
        <v>1835330081.7299998</v>
      </c>
      <c r="E48" s="203">
        <f>SUM(E36:E47)</f>
        <v>1235479195.4200001</v>
      </c>
      <c r="F48" s="90">
        <f t="shared" ref="F48:F60" si="15">+E48/D48</f>
        <v>0.67316457552715836</v>
      </c>
      <c r="G48" s="203">
        <f>SUM(G36:G47)</f>
        <v>1189329941.6500001</v>
      </c>
      <c r="H48" s="90">
        <f t="shared" ref="H48:H60" si="16">+G48/D48</f>
        <v>0.64801964152896474</v>
      </c>
      <c r="I48" s="203">
        <f>SUM(I36:I47)</f>
        <v>315928600.26999992</v>
      </c>
      <c r="J48" s="170">
        <f t="shared" ref="J48:J60" si="17">+I48/D48</f>
        <v>0.17213721031162013</v>
      </c>
      <c r="K48" s="619">
        <f>SUM(K36:K47)</f>
        <v>1111937368.5799999</v>
      </c>
      <c r="L48" s="90">
        <v>0.65</v>
      </c>
      <c r="M48" s="213">
        <f t="shared" si="12"/>
        <v>6.9601557836692196E-2</v>
      </c>
      <c r="N48" s="619">
        <f>SUM(N36:N47)</f>
        <v>342114280.07999998</v>
      </c>
      <c r="O48" s="90">
        <v>0.2</v>
      </c>
      <c r="P48" s="213">
        <f t="shared" ref="P48:P60" si="18">+I48/N48-1</f>
        <v>-7.6540738971424438E-2</v>
      </c>
    </row>
    <row r="49" spans="1:16" ht="15" customHeight="1" x14ac:dyDescent="0.2">
      <c r="A49" s="29">
        <v>1</v>
      </c>
      <c r="B49" s="21" t="s">
        <v>25</v>
      </c>
      <c r="C49" s="199">
        <v>48396785.019999996</v>
      </c>
      <c r="D49" s="204">
        <v>48411664.789999999</v>
      </c>
      <c r="E49" s="30">
        <v>41174034.530000001</v>
      </c>
      <c r="F49" s="48">
        <f t="shared" si="15"/>
        <v>0.85049821584538821</v>
      </c>
      <c r="G49" s="30">
        <v>40059859.340000004</v>
      </c>
      <c r="H49" s="48">
        <f t="shared" si="16"/>
        <v>0.82748361399616321</v>
      </c>
      <c r="I49" s="30">
        <v>6465825.0099999998</v>
      </c>
      <c r="J49" s="153">
        <f t="shared" si="17"/>
        <v>0.13355923697413505</v>
      </c>
      <c r="K49" s="578">
        <v>39789865.68</v>
      </c>
      <c r="L49" s="48">
        <v>0.86878216919063822</v>
      </c>
      <c r="M49" s="210">
        <f t="shared" si="12"/>
        <v>6.7854880981845778E-3</v>
      </c>
      <c r="N49" s="578">
        <v>8602130.0299999993</v>
      </c>
      <c r="O49" s="48">
        <v>0.1878211212680658</v>
      </c>
      <c r="P49" s="210">
        <f>+I49/N49-1</f>
        <v>-0.24834605063508897</v>
      </c>
    </row>
    <row r="50" spans="1:16" ht="15" customHeight="1" x14ac:dyDescent="0.2">
      <c r="A50" s="31">
        <v>2</v>
      </c>
      <c r="B50" s="23" t="s">
        <v>26</v>
      </c>
      <c r="C50" s="199">
        <v>42470037.759999998</v>
      </c>
      <c r="D50" s="204">
        <v>42605115.579999998</v>
      </c>
      <c r="E50" s="30">
        <v>35420871.159999996</v>
      </c>
      <c r="F50" s="280">
        <f t="shared" si="15"/>
        <v>0.83137601383781989</v>
      </c>
      <c r="G50" s="30">
        <v>34551091.020000003</v>
      </c>
      <c r="H50" s="280">
        <f t="shared" si="16"/>
        <v>0.81096109116575721</v>
      </c>
      <c r="I50" s="30">
        <v>6435418.5999999996</v>
      </c>
      <c r="J50" s="178">
        <f t="shared" si="17"/>
        <v>0.15104802586243798</v>
      </c>
      <c r="K50" s="579">
        <v>33162682.559999999</v>
      </c>
      <c r="L50" s="280">
        <v>0.82593860102301886</v>
      </c>
      <c r="M50" s="211">
        <f t="shared" si="12"/>
        <v>4.1866590782817736E-2</v>
      </c>
      <c r="N50" s="579">
        <v>6465358.0800000001</v>
      </c>
      <c r="O50" s="280">
        <v>0.16102403049109881</v>
      </c>
      <c r="P50" s="211">
        <f>+I50/N50-1</f>
        <v>-4.6307535684088075E-3</v>
      </c>
    </row>
    <row r="51" spans="1:16" ht="15" customHeight="1" x14ac:dyDescent="0.2">
      <c r="A51" s="35">
        <v>3</v>
      </c>
      <c r="B51" s="23" t="s">
        <v>27</v>
      </c>
      <c r="C51" s="199">
        <v>36541747.380000003</v>
      </c>
      <c r="D51" s="204">
        <v>36840044.18</v>
      </c>
      <c r="E51" s="30">
        <v>29393294.600000001</v>
      </c>
      <c r="F51" s="280">
        <f t="shared" si="15"/>
        <v>0.7978626316620232</v>
      </c>
      <c r="G51" s="30">
        <v>28071415.719999999</v>
      </c>
      <c r="H51" s="280">
        <f t="shared" si="16"/>
        <v>0.7619810547143594</v>
      </c>
      <c r="I51" s="30">
        <v>4125510.22</v>
      </c>
      <c r="J51" s="178">
        <f t="shared" si="17"/>
        <v>0.11198439936290001</v>
      </c>
      <c r="K51" s="579">
        <v>25756797.09</v>
      </c>
      <c r="L51" s="280">
        <v>0.78202128805384707</v>
      </c>
      <c r="M51" s="211">
        <f t="shared" si="12"/>
        <v>8.9864381115097647E-2</v>
      </c>
      <c r="N51" s="579">
        <v>4762592.09</v>
      </c>
      <c r="O51" s="280">
        <v>0.14460060339345801</v>
      </c>
      <c r="P51" s="211">
        <f t="shared" si="18"/>
        <v>-0.13376788479065393</v>
      </c>
    </row>
    <row r="52" spans="1:16" ht="15" customHeight="1" x14ac:dyDescent="0.2">
      <c r="A52" s="35">
        <v>4</v>
      </c>
      <c r="B52" s="23" t="s">
        <v>28</v>
      </c>
      <c r="C52" s="199">
        <v>15926491.469999999</v>
      </c>
      <c r="D52" s="204">
        <v>15972613.689999999</v>
      </c>
      <c r="E52" s="30">
        <v>11924731.57</v>
      </c>
      <c r="F52" s="280">
        <f t="shared" si="15"/>
        <v>0.74657359161360903</v>
      </c>
      <c r="G52" s="30">
        <v>10997203.08</v>
      </c>
      <c r="H52" s="280">
        <f t="shared" si="16"/>
        <v>0.68850366592695078</v>
      </c>
      <c r="I52" s="30">
        <v>1450918.05</v>
      </c>
      <c r="J52" s="178">
        <f t="shared" si="17"/>
        <v>9.0837860237512585E-2</v>
      </c>
      <c r="K52" s="579">
        <v>10881840.619999999</v>
      </c>
      <c r="L52" s="280">
        <v>0.71023992370890698</v>
      </c>
      <c r="M52" s="211">
        <f t="shared" si="12"/>
        <v>1.0601373795897429E-2</v>
      </c>
      <c r="N52" s="579">
        <v>2380530.39</v>
      </c>
      <c r="O52" s="280">
        <v>0.15537332163024592</v>
      </c>
      <c r="P52" s="211">
        <f t="shared" si="18"/>
        <v>-0.39050639466946691</v>
      </c>
    </row>
    <row r="53" spans="1:16" ht="15" customHeight="1" x14ac:dyDescent="0.2">
      <c r="A53" s="35">
        <v>5</v>
      </c>
      <c r="B53" s="23" t="s">
        <v>29</v>
      </c>
      <c r="C53" s="199">
        <v>21490346.219999999</v>
      </c>
      <c r="D53" s="204">
        <v>21833300.609999999</v>
      </c>
      <c r="E53" s="30">
        <v>16384948.550000001</v>
      </c>
      <c r="F53" s="280">
        <f t="shared" si="15"/>
        <v>0.7504567835472129</v>
      </c>
      <c r="G53" s="30">
        <v>15968497.07</v>
      </c>
      <c r="H53" s="280">
        <f t="shared" si="16"/>
        <v>0.73138264137150999</v>
      </c>
      <c r="I53" s="30">
        <v>2342124.2400000002</v>
      </c>
      <c r="J53" s="178">
        <f t="shared" si="17"/>
        <v>0.10727302673271809</v>
      </c>
      <c r="K53" s="579">
        <v>12723982.17</v>
      </c>
      <c r="L53" s="280">
        <v>0.5929899549504658</v>
      </c>
      <c r="M53" s="211">
        <f t="shared" si="12"/>
        <v>0.25499209733645833</v>
      </c>
      <c r="N53" s="579">
        <v>2132628.41</v>
      </c>
      <c r="O53" s="280">
        <v>9.938926413726526E-2</v>
      </c>
      <c r="P53" s="211">
        <f t="shared" si="18"/>
        <v>9.8233629927118926E-2</v>
      </c>
    </row>
    <row r="54" spans="1:16" ht="15" customHeight="1" x14ac:dyDescent="0.2">
      <c r="A54" s="35">
        <v>6</v>
      </c>
      <c r="B54" s="23" t="s">
        <v>30</v>
      </c>
      <c r="C54" s="199">
        <v>25137763.800000001</v>
      </c>
      <c r="D54" s="204">
        <v>25257383.41</v>
      </c>
      <c r="E54" s="30">
        <v>19367578.66</v>
      </c>
      <c r="F54" s="280">
        <f t="shared" si="15"/>
        <v>0.76680859397066103</v>
      </c>
      <c r="G54" s="30">
        <v>18632176.050000001</v>
      </c>
      <c r="H54" s="280">
        <f t="shared" si="16"/>
        <v>0.73769225210490641</v>
      </c>
      <c r="I54" s="30">
        <v>3184485.34</v>
      </c>
      <c r="J54" s="178">
        <f t="shared" si="17"/>
        <v>0.12608136354849753</v>
      </c>
      <c r="K54" s="579">
        <v>16712747.15</v>
      </c>
      <c r="L54" s="280">
        <v>0.77352981229809403</v>
      </c>
      <c r="M54" s="211">
        <f t="shared" si="12"/>
        <v>0.11484819837054738</v>
      </c>
      <c r="N54" s="579">
        <v>4416732.1399999997</v>
      </c>
      <c r="O54" s="280">
        <v>0.20442324368110595</v>
      </c>
      <c r="P54" s="211">
        <f t="shared" si="18"/>
        <v>-0.27899513960563616</v>
      </c>
    </row>
    <row r="55" spans="1:16" ht="15" customHeight="1" x14ac:dyDescent="0.2">
      <c r="A55" s="35">
        <v>7</v>
      </c>
      <c r="B55" s="23" t="s">
        <v>31</v>
      </c>
      <c r="C55" s="199">
        <v>31142719.069999997</v>
      </c>
      <c r="D55" s="204">
        <v>31328200.879999999</v>
      </c>
      <c r="E55" s="30">
        <v>25679900.550000001</v>
      </c>
      <c r="F55" s="280">
        <f t="shared" si="15"/>
        <v>0.81970556331545086</v>
      </c>
      <c r="G55" s="30">
        <v>24402697.73</v>
      </c>
      <c r="H55" s="280">
        <f t="shared" si="16"/>
        <v>0.7789370932430002</v>
      </c>
      <c r="I55" s="30">
        <v>2775214.4</v>
      </c>
      <c r="J55" s="178">
        <f t="shared" si="17"/>
        <v>8.8585182744142316E-2</v>
      </c>
      <c r="K55" s="579">
        <v>20673904.239999998</v>
      </c>
      <c r="L55" s="280">
        <v>0.81074865220059367</v>
      </c>
      <c r="M55" s="211">
        <f t="shared" si="12"/>
        <v>0.18036232763357329</v>
      </c>
      <c r="N55" s="579">
        <v>2584830.85</v>
      </c>
      <c r="O55" s="280">
        <v>0.10136682957780863</v>
      </c>
      <c r="P55" s="211">
        <f t="shared" si="18"/>
        <v>7.3654161934812779E-2</v>
      </c>
    </row>
    <row r="56" spans="1:16" ht="15" customHeight="1" x14ac:dyDescent="0.2">
      <c r="A56" s="35">
        <v>8</v>
      </c>
      <c r="B56" s="23" t="s">
        <v>32</v>
      </c>
      <c r="C56" s="199">
        <v>34307400.759999998</v>
      </c>
      <c r="D56" s="204">
        <v>34813943.109999999</v>
      </c>
      <c r="E56" s="30">
        <v>26859127.199999999</v>
      </c>
      <c r="F56" s="280">
        <f t="shared" si="15"/>
        <v>0.77150488570439901</v>
      </c>
      <c r="G56" s="30">
        <v>25692052.48</v>
      </c>
      <c r="H56" s="280">
        <f t="shared" si="16"/>
        <v>0.73798168736077996</v>
      </c>
      <c r="I56" s="30">
        <v>5540826.7400000002</v>
      </c>
      <c r="J56" s="178">
        <f t="shared" si="17"/>
        <v>0.15915539134687809</v>
      </c>
      <c r="K56" s="579">
        <v>21096806.52</v>
      </c>
      <c r="L56" s="280">
        <v>0.76993463295379483</v>
      </c>
      <c r="M56" s="211">
        <f t="shared" si="12"/>
        <v>0.21781713529219027</v>
      </c>
      <c r="N56" s="579">
        <v>3856098.43</v>
      </c>
      <c r="O56" s="280">
        <v>0.14072953299927948</v>
      </c>
      <c r="P56" s="211">
        <f t="shared" si="18"/>
        <v>0.43689971627617408</v>
      </c>
    </row>
    <row r="57" spans="1:16" ht="15" customHeight="1" x14ac:dyDescent="0.2">
      <c r="A57" s="35">
        <v>9</v>
      </c>
      <c r="B57" s="23" t="s">
        <v>33</v>
      </c>
      <c r="C57" s="199">
        <v>28673688.939999998</v>
      </c>
      <c r="D57" s="204">
        <v>28889761.09</v>
      </c>
      <c r="E57" s="30">
        <v>20610435.129999999</v>
      </c>
      <c r="F57" s="280">
        <f t="shared" si="15"/>
        <v>0.71341659994322915</v>
      </c>
      <c r="G57" s="30">
        <v>19504998.809999999</v>
      </c>
      <c r="H57" s="280">
        <f t="shared" si="16"/>
        <v>0.67515265180754735</v>
      </c>
      <c r="I57" s="30">
        <v>3266605.21</v>
      </c>
      <c r="J57" s="178">
        <f t="shared" si="17"/>
        <v>0.11307138192744397</v>
      </c>
      <c r="K57" s="579">
        <v>17380779.34</v>
      </c>
      <c r="L57" s="280">
        <v>0.72929866955897293</v>
      </c>
      <c r="M57" s="211">
        <f t="shared" si="12"/>
        <v>0.12221658352864173</v>
      </c>
      <c r="N57" s="579">
        <v>5297356.1900000004</v>
      </c>
      <c r="O57" s="280">
        <v>0.22227742185621638</v>
      </c>
      <c r="P57" s="211">
        <f t="shared" si="18"/>
        <v>-0.38335179043340872</v>
      </c>
    </row>
    <row r="58" spans="1:16" ht="15" customHeight="1" x14ac:dyDescent="0.2">
      <c r="A58" s="36">
        <v>10</v>
      </c>
      <c r="B58" s="24" t="s">
        <v>34</v>
      </c>
      <c r="C58" s="200">
        <v>44042057.960000001</v>
      </c>
      <c r="D58" s="516">
        <v>44065894.090000004</v>
      </c>
      <c r="E58" s="34">
        <v>38481162.57</v>
      </c>
      <c r="F58" s="390">
        <f t="shared" si="15"/>
        <v>0.87326408245356901</v>
      </c>
      <c r="G58" s="180">
        <v>37810135.539999999</v>
      </c>
      <c r="H58" s="390">
        <f t="shared" si="16"/>
        <v>0.85803627319524556</v>
      </c>
      <c r="I58" s="180">
        <v>7435927.79</v>
      </c>
      <c r="J58" s="392">
        <f t="shared" si="17"/>
        <v>0.16874564657221958</v>
      </c>
      <c r="K58" s="580">
        <v>31083215.59</v>
      </c>
      <c r="L58" s="390">
        <v>0.84191162134967112</v>
      </c>
      <c r="M58" s="520">
        <f t="shared" si="12"/>
        <v>0.21641647501116856</v>
      </c>
      <c r="N58" s="580">
        <v>5409914.0599999996</v>
      </c>
      <c r="O58" s="390">
        <v>0.1465314778784437</v>
      </c>
      <c r="P58" s="520">
        <f t="shared" si="18"/>
        <v>0.37450016904704775</v>
      </c>
    </row>
    <row r="59" spans="1:16" ht="15" customHeight="1" thickBot="1" x14ac:dyDescent="0.25">
      <c r="A59" s="10">
        <v>6</v>
      </c>
      <c r="B59" s="2" t="s">
        <v>35</v>
      </c>
      <c r="C59" s="528">
        <f>SUM(C49:C58)</f>
        <v>328129038.37999994</v>
      </c>
      <c r="D59" s="558">
        <f>SUM(D49:D58)</f>
        <v>330017921.42999995</v>
      </c>
      <c r="E59" s="203">
        <f>SUM(E49:E58)</f>
        <v>265296084.51999998</v>
      </c>
      <c r="F59" s="90">
        <f t="shared" si="15"/>
        <v>0.80388387203472489</v>
      </c>
      <c r="G59" s="529">
        <f>SUM(G49:G58)</f>
        <v>255690126.84</v>
      </c>
      <c r="H59" s="90">
        <f t="shared" si="16"/>
        <v>0.7747764901132328</v>
      </c>
      <c r="I59" s="529">
        <f>SUM(I49:I58)</f>
        <v>43022855.599999994</v>
      </c>
      <c r="J59" s="170">
        <f t="shared" si="17"/>
        <v>0.13036520990610981</v>
      </c>
      <c r="K59" s="619">
        <f>SUM(K49:K58)</f>
        <v>229262620.96000004</v>
      </c>
      <c r="L59" s="90">
        <v>0.78804897127069651</v>
      </c>
      <c r="M59" s="213">
        <f t="shared" si="12"/>
        <v>0.11527176026052155</v>
      </c>
      <c r="N59" s="619">
        <f>SUM(N49:N58)</f>
        <v>45908170.670000002</v>
      </c>
      <c r="O59" s="90">
        <v>0.16836252421140374</v>
      </c>
      <c r="P59" s="213">
        <f t="shared" si="18"/>
        <v>-6.2849706879858247E-2</v>
      </c>
    </row>
    <row r="60" spans="1:16" s="6" customFormat="1" ht="23.25" customHeight="1" thickBot="1" x14ac:dyDescent="0.25">
      <c r="A60" s="5"/>
      <c r="B60" s="4" t="s">
        <v>130</v>
      </c>
      <c r="C60" s="202">
        <f>+C48+C59</f>
        <v>2151399911.2599998</v>
      </c>
      <c r="D60" s="208">
        <f>+D48+D59</f>
        <v>2165348003.1599998</v>
      </c>
      <c r="E60" s="209">
        <f>+E48+E59</f>
        <v>1500775279.9400001</v>
      </c>
      <c r="F60" s="181">
        <f t="shared" si="15"/>
        <v>0.69308733642344977</v>
      </c>
      <c r="G60" s="209">
        <f>+G48+G59</f>
        <v>1445020068.49</v>
      </c>
      <c r="H60" s="181">
        <f t="shared" si="16"/>
        <v>0.66733849080203755</v>
      </c>
      <c r="I60" s="209">
        <f>+I48+I59</f>
        <v>358951455.86999989</v>
      </c>
      <c r="J60" s="173">
        <f t="shared" si="17"/>
        <v>0.16577079312247464</v>
      </c>
      <c r="K60" s="620">
        <f>K48+K59</f>
        <v>1341199989.54</v>
      </c>
      <c r="L60" s="181">
        <v>0.67039922815110808</v>
      </c>
      <c r="M60" s="607">
        <f t="shared" si="12"/>
        <v>7.7408350551514626E-2</v>
      </c>
      <c r="N60" s="620">
        <f>+N59+N48</f>
        <v>388022450.75</v>
      </c>
      <c r="O60" s="181">
        <v>0.20142119566907932</v>
      </c>
      <c r="P60" s="607">
        <f t="shared" si="18"/>
        <v>-7.4920909405652769E-2</v>
      </c>
    </row>
    <row r="61" spans="1:16" ht="32.450000000000003" customHeight="1" x14ac:dyDescent="0.2">
      <c r="A61" s="719" t="s">
        <v>774</v>
      </c>
      <c r="B61" s="766" t="s">
        <v>775</v>
      </c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</row>
    <row r="65" spans="3:14" x14ac:dyDescent="0.2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">
      <c r="L138" s="687"/>
      <c r="O138" s="687"/>
    </row>
    <row r="139" spans="12:15" x14ac:dyDescent="0.2">
      <c r="L139" s="687"/>
      <c r="N139" s="46"/>
      <c r="O139" s="687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31"/>
  <sheetViews>
    <sheetView zoomScale="110" zoomScaleNormal="110" workbookViewId="0">
      <selection activeCell="N21" sqref="N21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customWidth="1"/>
    <col min="12" max="12" width="6.28515625" style="97" customWidth="1"/>
    <col min="13" max="13" width="8.140625" style="9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70" t="s">
        <v>505</v>
      </c>
      <c r="C18" s="771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38"/>
  <sheetViews>
    <sheetView topLeftCell="D1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2" bestFit="1" customWidth="1"/>
    <col min="16" max="16" width="9" style="97" bestFit="1" customWidth="1"/>
  </cols>
  <sheetData>
    <row r="1" spans="1:16384" ht="15.75" thickBot="1" x14ac:dyDescent="0.3">
      <c r="A1" s="7" t="s">
        <v>778</v>
      </c>
    </row>
    <row r="2" spans="1:16384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643" t="s">
        <v>546</v>
      </c>
      <c r="M3" s="88" t="s">
        <v>547</v>
      </c>
      <c r="N3" s="217" t="s">
        <v>39</v>
      </c>
      <c r="O3" s="643" t="s">
        <v>40</v>
      </c>
      <c r="P3" s="611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1" t="s">
        <v>17</v>
      </c>
      <c r="O4" s="644" t="s">
        <v>18</v>
      </c>
      <c r="P4" s="587" t="s">
        <v>766</v>
      </c>
    </row>
    <row r="5" spans="1:16384" ht="15" customHeight="1" x14ac:dyDescent="0.2">
      <c r="A5" s="21">
        <v>1</v>
      </c>
      <c r="B5" s="21" t="s">
        <v>0</v>
      </c>
      <c r="C5" s="159">
        <v>331387995.62</v>
      </c>
      <c r="D5" s="204">
        <v>330986575.26999998</v>
      </c>
      <c r="E5" s="30">
        <v>69103838.079999998</v>
      </c>
      <c r="F5" s="48">
        <f t="shared" ref="F5:F13" si="0">E5/D5</f>
        <v>0.2087813924888918</v>
      </c>
      <c r="G5" s="30">
        <v>68765563.189999998</v>
      </c>
      <c r="H5" s="48">
        <f t="shared" ref="H5:H13" si="1">G5/D5</f>
        <v>0.20775937251806956</v>
      </c>
      <c r="I5" s="30">
        <v>67738577.510000005</v>
      </c>
      <c r="J5" s="153">
        <f t="shared" ref="J5:J13" si="2">I5/D5</f>
        <v>0.20465657090394901</v>
      </c>
      <c r="K5" s="30">
        <v>73428726.010000005</v>
      </c>
      <c r="L5" s="48">
        <v>0.23469999999999999</v>
      </c>
      <c r="M5" s="210">
        <f>+G5/K5-1</f>
        <v>-6.350597475114772E-2</v>
      </c>
      <c r="N5" s="690">
        <v>73094657.730000004</v>
      </c>
      <c r="O5" s="48">
        <v>0.2336</v>
      </c>
      <c r="P5" s="210">
        <f>+I5/N5-1</f>
        <v>-7.3275946373324574E-2</v>
      </c>
    </row>
    <row r="6" spans="1:16384" ht="15" customHeight="1" x14ac:dyDescent="0.2">
      <c r="A6" s="23">
        <v>2</v>
      </c>
      <c r="B6" s="23" t="s">
        <v>1</v>
      </c>
      <c r="C6" s="160">
        <v>489247858.38999999</v>
      </c>
      <c r="D6" s="205">
        <v>493629246.56999999</v>
      </c>
      <c r="E6" s="32">
        <v>386969250.22000003</v>
      </c>
      <c r="F6" s="48">
        <f t="shared" si="0"/>
        <v>0.78392691054849228</v>
      </c>
      <c r="G6" s="32">
        <v>364955421.66000003</v>
      </c>
      <c r="H6" s="48">
        <f t="shared" si="1"/>
        <v>0.73933103477135009</v>
      </c>
      <c r="I6" s="32">
        <v>42423427.740000002</v>
      </c>
      <c r="J6" s="153">
        <f t="shared" si="2"/>
        <v>8.5941884592091469E-2</v>
      </c>
      <c r="K6" s="32">
        <v>352632506.06</v>
      </c>
      <c r="L6" s="280">
        <v>0.80489999999999995</v>
      </c>
      <c r="M6" s="210">
        <f>+G6/K6-1</f>
        <v>3.4945489676165398E-2</v>
      </c>
      <c r="N6" s="32">
        <v>40453169.789999999</v>
      </c>
      <c r="O6" s="280">
        <v>9.2299999999999993E-2</v>
      </c>
      <c r="P6" s="210">
        <f>+I6/N6-1</f>
        <v>4.8704661716942876E-2</v>
      </c>
    </row>
    <row r="7" spans="1:16384" ht="15" customHeight="1" x14ac:dyDescent="0.2">
      <c r="A7" s="23">
        <v>3</v>
      </c>
      <c r="B7" s="23" t="s">
        <v>2</v>
      </c>
      <c r="C7" s="160">
        <v>22100000</v>
      </c>
      <c r="D7" s="205">
        <v>22100000</v>
      </c>
      <c r="E7" s="32">
        <v>3018479.13</v>
      </c>
      <c r="F7" s="48">
        <f t="shared" si="0"/>
        <v>0.1365827660633484</v>
      </c>
      <c r="G7" s="32">
        <v>3018479.13</v>
      </c>
      <c r="H7" s="48">
        <f t="shared" si="1"/>
        <v>0.1365827660633484</v>
      </c>
      <c r="I7" s="32">
        <v>3018479.13</v>
      </c>
      <c r="J7" s="153">
        <f t="shared" si="2"/>
        <v>0.1365827660633484</v>
      </c>
      <c r="K7" s="32">
        <v>4739155.2</v>
      </c>
      <c r="L7" s="280">
        <v>0.13650000000000001</v>
      </c>
      <c r="M7" s="210">
        <f>+G7/K7-1</f>
        <v>-0.36307653946424889</v>
      </c>
      <c r="N7" s="32">
        <v>4739155.2</v>
      </c>
      <c r="O7" s="280">
        <v>0.13650000000000001</v>
      </c>
      <c r="P7" s="210">
        <f>+I7/N7-1</f>
        <v>-0.36307653946424889</v>
      </c>
    </row>
    <row r="8" spans="1:16384" ht="15" customHeight="1" x14ac:dyDescent="0.2">
      <c r="A8" s="24">
        <v>4</v>
      </c>
      <c r="B8" s="24" t="s">
        <v>3</v>
      </c>
      <c r="C8" s="161">
        <v>967337199.97000003</v>
      </c>
      <c r="D8" s="206">
        <v>978647846.05999994</v>
      </c>
      <c r="E8" s="34">
        <v>776387627.99000001</v>
      </c>
      <c r="F8" s="390">
        <f t="shared" si="0"/>
        <v>0.79332686534355323</v>
      </c>
      <c r="G8" s="34">
        <v>752590477.66999996</v>
      </c>
      <c r="H8" s="390">
        <f t="shared" si="1"/>
        <v>0.76901050842741991</v>
      </c>
      <c r="I8" s="34">
        <v>202748115.88999999</v>
      </c>
      <c r="J8" s="392">
        <f t="shared" si="2"/>
        <v>0.2071716774386787</v>
      </c>
      <c r="K8" s="34">
        <v>681136981.30999994</v>
      </c>
      <c r="L8" s="390">
        <v>0.74209999999999998</v>
      </c>
      <c r="M8" s="520">
        <f>+G8/K8-1</f>
        <v>0.10490326956345375</v>
      </c>
      <c r="N8" s="34">
        <v>223827297.36000001</v>
      </c>
      <c r="O8" s="390">
        <v>0.24390000000000001</v>
      </c>
      <c r="P8" s="520">
        <f>+I8/N8-1</f>
        <v>-9.4176097905058653E-2</v>
      </c>
    </row>
    <row r="9" spans="1:16384" ht="15" customHeight="1" x14ac:dyDescent="0.2">
      <c r="A9" s="24">
        <v>5</v>
      </c>
      <c r="B9" s="24" t="s">
        <v>453</v>
      </c>
      <c r="C9" s="161">
        <v>13197818.9</v>
      </c>
      <c r="D9" s="206">
        <v>9966413.8300000001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20" t="s">
        <v>129</v>
      </c>
      <c r="N9" s="34">
        <v>0</v>
      </c>
      <c r="O9" s="390">
        <v>0</v>
      </c>
      <c r="P9" s="520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0"/>
      <c r="AD9" s="34"/>
      <c r="AE9" s="390"/>
      <c r="AF9" s="520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0"/>
      <c r="AT9" s="34"/>
      <c r="AU9" s="390"/>
      <c r="AV9" s="520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0"/>
      <c r="BJ9" s="34"/>
      <c r="BK9" s="390"/>
      <c r="BL9" s="520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0"/>
      <c r="BZ9" s="34"/>
      <c r="CA9" s="390"/>
      <c r="CB9" s="520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0"/>
      <c r="CP9" s="34"/>
      <c r="CQ9" s="390"/>
      <c r="CR9" s="520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0"/>
      <c r="DF9" s="34"/>
      <c r="DG9" s="390"/>
      <c r="DH9" s="520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0"/>
      <c r="DV9" s="34"/>
      <c r="DW9" s="390"/>
      <c r="DX9" s="520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0"/>
      <c r="EL9" s="34"/>
      <c r="EM9" s="390"/>
      <c r="EN9" s="520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0"/>
      <c r="FB9" s="34"/>
      <c r="FC9" s="390"/>
      <c r="FD9" s="520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0"/>
      <c r="FR9" s="34"/>
      <c r="FS9" s="390"/>
      <c r="FT9" s="520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0"/>
      <c r="GH9" s="34"/>
      <c r="GI9" s="390"/>
      <c r="GJ9" s="520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0"/>
      <c r="GX9" s="34"/>
      <c r="GY9" s="390"/>
      <c r="GZ9" s="520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0"/>
      <c r="HN9" s="34"/>
      <c r="HO9" s="390"/>
      <c r="HP9" s="520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0"/>
      <c r="ID9" s="34"/>
      <c r="IE9" s="390"/>
      <c r="IF9" s="520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0"/>
      <c r="IT9" s="34"/>
      <c r="IU9" s="390"/>
      <c r="IV9" s="520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0"/>
      <c r="JJ9" s="34"/>
      <c r="JK9" s="390"/>
      <c r="JL9" s="520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0"/>
      <c r="JZ9" s="34"/>
      <c r="KA9" s="390"/>
      <c r="KB9" s="520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0"/>
      <c r="KP9" s="34"/>
      <c r="KQ9" s="390"/>
      <c r="KR9" s="520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0"/>
      <c r="LF9" s="34"/>
      <c r="LG9" s="390"/>
      <c r="LH9" s="520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0"/>
      <c r="LV9" s="34"/>
      <c r="LW9" s="390"/>
      <c r="LX9" s="520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0"/>
      <c r="ML9" s="34"/>
      <c r="MM9" s="390"/>
      <c r="MN9" s="520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0"/>
      <c r="NB9" s="34"/>
      <c r="NC9" s="390"/>
      <c r="ND9" s="520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0"/>
      <c r="NR9" s="34"/>
      <c r="NS9" s="390"/>
      <c r="NT9" s="520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0"/>
      <c r="OH9" s="34"/>
      <c r="OI9" s="390"/>
      <c r="OJ9" s="520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0"/>
      <c r="OX9" s="34"/>
      <c r="OY9" s="390"/>
      <c r="OZ9" s="520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0"/>
      <c r="PN9" s="34"/>
      <c r="PO9" s="390"/>
      <c r="PP9" s="520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0"/>
      <c r="QD9" s="34"/>
      <c r="QE9" s="390"/>
      <c r="QF9" s="520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0"/>
      <c r="QT9" s="34"/>
      <c r="QU9" s="390"/>
      <c r="QV9" s="520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0"/>
      <c r="RJ9" s="34"/>
      <c r="RK9" s="390"/>
      <c r="RL9" s="520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0"/>
      <c r="RZ9" s="34"/>
      <c r="SA9" s="390"/>
      <c r="SB9" s="520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0"/>
      <c r="SP9" s="34"/>
      <c r="SQ9" s="390"/>
      <c r="SR9" s="520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0"/>
      <c r="TF9" s="34"/>
      <c r="TG9" s="390"/>
      <c r="TH9" s="520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0"/>
      <c r="TV9" s="34"/>
      <c r="TW9" s="390"/>
      <c r="TX9" s="520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0"/>
      <c r="UL9" s="34"/>
      <c r="UM9" s="390"/>
      <c r="UN9" s="520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0"/>
      <c r="VB9" s="34"/>
      <c r="VC9" s="390"/>
      <c r="VD9" s="520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0"/>
      <c r="VR9" s="34"/>
      <c r="VS9" s="390"/>
      <c r="VT9" s="520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0"/>
      <c r="WH9" s="34"/>
      <c r="WI9" s="390"/>
      <c r="WJ9" s="520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0"/>
      <c r="WX9" s="34"/>
      <c r="WY9" s="390"/>
      <c r="WZ9" s="520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0"/>
      <c r="XN9" s="34"/>
      <c r="XO9" s="390"/>
      <c r="XP9" s="520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0"/>
      <c r="YD9" s="34"/>
      <c r="YE9" s="390"/>
      <c r="YF9" s="520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0"/>
      <c r="YT9" s="34"/>
      <c r="YU9" s="390"/>
      <c r="YV9" s="520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0"/>
      <c r="ZJ9" s="34"/>
      <c r="ZK9" s="390"/>
      <c r="ZL9" s="520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0"/>
      <c r="ZZ9" s="34"/>
      <c r="AAA9" s="390"/>
      <c r="AAB9" s="520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0"/>
      <c r="AAP9" s="34"/>
      <c r="AAQ9" s="390"/>
      <c r="AAR9" s="520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0"/>
      <c r="ABF9" s="34"/>
      <c r="ABG9" s="390"/>
      <c r="ABH9" s="520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0"/>
      <c r="ABV9" s="34"/>
      <c r="ABW9" s="390"/>
      <c r="ABX9" s="520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0"/>
      <c r="ACL9" s="34"/>
      <c r="ACM9" s="390"/>
      <c r="ACN9" s="520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0"/>
      <c r="ADB9" s="34"/>
      <c r="ADC9" s="390"/>
      <c r="ADD9" s="520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0"/>
      <c r="ADR9" s="34"/>
      <c r="ADS9" s="390"/>
      <c r="ADT9" s="520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0"/>
      <c r="AEH9" s="34"/>
      <c r="AEI9" s="390"/>
      <c r="AEJ9" s="520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0"/>
      <c r="AEX9" s="34"/>
      <c r="AEY9" s="390"/>
      <c r="AEZ9" s="520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0"/>
      <c r="AFN9" s="34"/>
      <c r="AFO9" s="390"/>
      <c r="AFP9" s="520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0"/>
      <c r="AGD9" s="34"/>
      <c r="AGE9" s="390"/>
      <c r="AGF9" s="520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0"/>
      <c r="AGT9" s="34"/>
      <c r="AGU9" s="390"/>
      <c r="AGV9" s="520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0"/>
      <c r="AHJ9" s="34"/>
      <c r="AHK9" s="390"/>
      <c r="AHL9" s="520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0"/>
      <c r="AHZ9" s="34"/>
      <c r="AIA9" s="390"/>
      <c r="AIB9" s="520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0"/>
      <c r="AIP9" s="34"/>
      <c r="AIQ9" s="390"/>
      <c r="AIR9" s="520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0"/>
      <c r="AJF9" s="34"/>
      <c r="AJG9" s="390"/>
      <c r="AJH9" s="520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0"/>
      <c r="AJV9" s="34"/>
      <c r="AJW9" s="390"/>
      <c r="AJX9" s="520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0"/>
      <c r="AKL9" s="34"/>
      <c r="AKM9" s="390"/>
      <c r="AKN9" s="520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0"/>
      <c r="ALB9" s="34"/>
      <c r="ALC9" s="390"/>
      <c r="ALD9" s="520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0"/>
      <c r="ALR9" s="34"/>
      <c r="ALS9" s="390"/>
      <c r="ALT9" s="520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0"/>
      <c r="AMH9" s="34"/>
      <c r="AMI9" s="390"/>
      <c r="AMJ9" s="520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0"/>
      <c r="AMX9" s="34"/>
      <c r="AMY9" s="390"/>
      <c r="AMZ9" s="520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0"/>
      <c r="ANN9" s="34"/>
      <c r="ANO9" s="390"/>
      <c r="ANP9" s="520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0"/>
      <c r="AOD9" s="34"/>
      <c r="AOE9" s="390"/>
      <c r="AOF9" s="520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0"/>
      <c r="AOT9" s="34"/>
      <c r="AOU9" s="390"/>
      <c r="AOV9" s="520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0"/>
      <c r="APJ9" s="34"/>
      <c r="APK9" s="390"/>
      <c r="APL9" s="520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0"/>
      <c r="APZ9" s="34"/>
      <c r="AQA9" s="390"/>
      <c r="AQB9" s="520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0"/>
      <c r="AQP9" s="34"/>
      <c r="AQQ9" s="390"/>
      <c r="AQR9" s="520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0"/>
      <c r="ARF9" s="34"/>
      <c r="ARG9" s="390"/>
      <c r="ARH9" s="520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0"/>
      <c r="ARV9" s="34"/>
      <c r="ARW9" s="390"/>
      <c r="ARX9" s="520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0"/>
      <c r="ASL9" s="34"/>
      <c r="ASM9" s="390"/>
      <c r="ASN9" s="520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0"/>
      <c r="ATB9" s="34"/>
      <c r="ATC9" s="390"/>
      <c r="ATD9" s="520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0"/>
      <c r="ATR9" s="34"/>
      <c r="ATS9" s="390"/>
      <c r="ATT9" s="520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0"/>
      <c r="AUH9" s="34"/>
      <c r="AUI9" s="390"/>
      <c r="AUJ9" s="520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0"/>
      <c r="AUX9" s="34"/>
      <c r="AUY9" s="390"/>
      <c r="AUZ9" s="520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0"/>
      <c r="AVN9" s="34"/>
      <c r="AVO9" s="390"/>
      <c r="AVP9" s="520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0"/>
      <c r="AWD9" s="34"/>
      <c r="AWE9" s="390"/>
      <c r="AWF9" s="520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0"/>
      <c r="AWT9" s="34"/>
      <c r="AWU9" s="390"/>
      <c r="AWV9" s="520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0"/>
      <c r="AXJ9" s="34"/>
      <c r="AXK9" s="390"/>
      <c r="AXL9" s="520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0"/>
      <c r="AXZ9" s="34"/>
      <c r="AYA9" s="390"/>
      <c r="AYB9" s="520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0"/>
      <c r="AYP9" s="34"/>
      <c r="AYQ9" s="390"/>
      <c r="AYR9" s="520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0"/>
      <c r="AZF9" s="34"/>
      <c r="AZG9" s="390"/>
      <c r="AZH9" s="520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0"/>
      <c r="AZV9" s="34"/>
      <c r="AZW9" s="390"/>
      <c r="AZX9" s="520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0"/>
      <c r="BAL9" s="34"/>
      <c r="BAM9" s="390"/>
      <c r="BAN9" s="520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0"/>
      <c r="BBB9" s="34"/>
      <c r="BBC9" s="390"/>
      <c r="BBD9" s="520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0"/>
      <c r="BBR9" s="34"/>
      <c r="BBS9" s="390"/>
      <c r="BBT9" s="520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0"/>
      <c r="BCH9" s="34"/>
      <c r="BCI9" s="390"/>
      <c r="BCJ9" s="520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0"/>
      <c r="BCX9" s="34"/>
      <c r="BCY9" s="390"/>
      <c r="BCZ9" s="520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0"/>
      <c r="BDN9" s="34"/>
      <c r="BDO9" s="390"/>
      <c r="BDP9" s="520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0"/>
      <c r="BED9" s="34"/>
      <c r="BEE9" s="390"/>
      <c r="BEF9" s="520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0"/>
      <c r="BET9" s="34"/>
      <c r="BEU9" s="390"/>
      <c r="BEV9" s="520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0"/>
      <c r="BFJ9" s="34"/>
      <c r="BFK9" s="390"/>
      <c r="BFL9" s="520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0"/>
      <c r="BFZ9" s="34"/>
      <c r="BGA9" s="390"/>
      <c r="BGB9" s="520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0"/>
      <c r="BGP9" s="34"/>
      <c r="BGQ9" s="390"/>
      <c r="BGR9" s="520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0"/>
      <c r="BHF9" s="34"/>
      <c r="BHG9" s="390"/>
      <c r="BHH9" s="520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0"/>
      <c r="BHV9" s="34"/>
      <c r="BHW9" s="390"/>
      <c r="BHX9" s="520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0"/>
      <c r="BIL9" s="34"/>
      <c r="BIM9" s="390"/>
      <c r="BIN9" s="520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0"/>
      <c r="BJB9" s="34"/>
      <c r="BJC9" s="390"/>
      <c r="BJD9" s="520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0"/>
      <c r="BJR9" s="34"/>
      <c r="BJS9" s="390"/>
      <c r="BJT9" s="520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0"/>
      <c r="BKH9" s="34"/>
      <c r="BKI9" s="390"/>
      <c r="BKJ9" s="520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0"/>
      <c r="BKX9" s="34"/>
      <c r="BKY9" s="390"/>
      <c r="BKZ9" s="520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0"/>
      <c r="BLN9" s="34"/>
      <c r="BLO9" s="390"/>
      <c r="BLP9" s="520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0"/>
      <c r="BMD9" s="34"/>
      <c r="BME9" s="390"/>
      <c r="BMF9" s="520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0"/>
      <c r="BMT9" s="34"/>
      <c r="BMU9" s="390"/>
      <c r="BMV9" s="520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0"/>
      <c r="BNJ9" s="34"/>
      <c r="BNK9" s="390"/>
      <c r="BNL9" s="520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0"/>
      <c r="BNZ9" s="34"/>
      <c r="BOA9" s="390"/>
      <c r="BOB9" s="520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0"/>
      <c r="BOP9" s="34"/>
      <c r="BOQ9" s="390"/>
      <c r="BOR9" s="520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0"/>
      <c r="BPF9" s="34"/>
      <c r="BPG9" s="390"/>
      <c r="BPH9" s="520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0"/>
      <c r="BPV9" s="34"/>
      <c r="BPW9" s="390"/>
      <c r="BPX9" s="520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0"/>
      <c r="BQL9" s="34"/>
      <c r="BQM9" s="390"/>
      <c r="BQN9" s="520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0"/>
      <c r="BRB9" s="34"/>
      <c r="BRC9" s="390"/>
      <c r="BRD9" s="520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0"/>
      <c r="BRR9" s="34"/>
      <c r="BRS9" s="390"/>
      <c r="BRT9" s="520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0"/>
      <c r="BSH9" s="34"/>
      <c r="BSI9" s="390"/>
      <c r="BSJ9" s="520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0"/>
      <c r="BSX9" s="34"/>
      <c r="BSY9" s="390"/>
      <c r="BSZ9" s="520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0"/>
      <c r="BTN9" s="34"/>
      <c r="BTO9" s="390"/>
      <c r="BTP9" s="520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0"/>
      <c r="BUD9" s="34"/>
      <c r="BUE9" s="390"/>
      <c r="BUF9" s="520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0"/>
      <c r="BUT9" s="34"/>
      <c r="BUU9" s="390"/>
      <c r="BUV9" s="520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0"/>
      <c r="BVJ9" s="34"/>
      <c r="BVK9" s="390"/>
      <c r="BVL9" s="520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0"/>
      <c r="BVZ9" s="34"/>
      <c r="BWA9" s="390"/>
      <c r="BWB9" s="520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0"/>
      <c r="BWP9" s="34"/>
      <c r="BWQ9" s="390"/>
      <c r="BWR9" s="520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0"/>
      <c r="BXF9" s="34"/>
      <c r="BXG9" s="390"/>
      <c r="BXH9" s="520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0"/>
      <c r="BXV9" s="34"/>
      <c r="BXW9" s="390"/>
      <c r="BXX9" s="520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0"/>
      <c r="BYL9" s="34"/>
      <c r="BYM9" s="390"/>
      <c r="BYN9" s="520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0"/>
      <c r="BZB9" s="34"/>
      <c r="BZC9" s="390"/>
      <c r="BZD9" s="520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0"/>
      <c r="BZR9" s="34"/>
      <c r="BZS9" s="390"/>
      <c r="BZT9" s="520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0"/>
      <c r="CAH9" s="34"/>
      <c r="CAI9" s="390"/>
      <c r="CAJ9" s="520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0"/>
      <c r="CAX9" s="34"/>
      <c r="CAY9" s="390"/>
      <c r="CAZ9" s="520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0"/>
      <c r="CBN9" s="34"/>
      <c r="CBO9" s="390"/>
      <c r="CBP9" s="520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0"/>
      <c r="CCD9" s="34"/>
      <c r="CCE9" s="390"/>
      <c r="CCF9" s="520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0"/>
      <c r="CCT9" s="34"/>
      <c r="CCU9" s="390"/>
      <c r="CCV9" s="520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0"/>
      <c r="CDJ9" s="34"/>
      <c r="CDK9" s="390"/>
      <c r="CDL9" s="520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0"/>
      <c r="CDZ9" s="34"/>
      <c r="CEA9" s="390"/>
      <c r="CEB9" s="520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0"/>
      <c r="CEP9" s="34"/>
      <c r="CEQ9" s="390"/>
      <c r="CER9" s="520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0"/>
      <c r="CFF9" s="34"/>
      <c r="CFG9" s="390"/>
      <c r="CFH9" s="520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0"/>
      <c r="CFV9" s="34"/>
      <c r="CFW9" s="390"/>
      <c r="CFX9" s="520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0"/>
      <c r="CGL9" s="34"/>
      <c r="CGM9" s="390"/>
      <c r="CGN9" s="520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0"/>
      <c r="CHB9" s="34"/>
      <c r="CHC9" s="390"/>
      <c r="CHD9" s="520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0"/>
      <c r="CHR9" s="34"/>
      <c r="CHS9" s="390"/>
      <c r="CHT9" s="520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0"/>
      <c r="CIH9" s="34"/>
      <c r="CII9" s="390"/>
      <c r="CIJ9" s="520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0"/>
      <c r="CIX9" s="34"/>
      <c r="CIY9" s="390"/>
      <c r="CIZ9" s="520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0"/>
      <c r="CJN9" s="34"/>
      <c r="CJO9" s="390"/>
      <c r="CJP9" s="520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0"/>
      <c r="CKD9" s="34"/>
      <c r="CKE9" s="390"/>
      <c r="CKF9" s="520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0"/>
      <c r="CKT9" s="34"/>
      <c r="CKU9" s="390"/>
      <c r="CKV9" s="520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0"/>
      <c r="CLJ9" s="34"/>
      <c r="CLK9" s="390"/>
      <c r="CLL9" s="520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0"/>
      <c r="CLZ9" s="34"/>
      <c r="CMA9" s="390"/>
      <c r="CMB9" s="520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0"/>
      <c r="CMP9" s="34"/>
      <c r="CMQ9" s="390"/>
      <c r="CMR9" s="520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0"/>
      <c r="CNF9" s="34"/>
      <c r="CNG9" s="390"/>
      <c r="CNH9" s="520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0"/>
      <c r="CNV9" s="34"/>
      <c r="CNW9" s="390"/>
      <c r="CNX9" s="520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0"/>
      <c r="COL9" s="34"/>
      <c r="COM9" s="390"/>
      <c r="CON9" s="520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0"/>
      <c r="CPB9" s="34"/>
      <c r="CPC9" s="390"/>
      <c r="CPD9" s="520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0"/>
      <c r="CPR9" s="34"/>
      <c r="CPS9" s="390"/>
      <c r="CPT9" s="520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0"/>
      <c r="CQH9" s="34"/>
      <c r="CQI9" s="390"/>
      <c r="CQJ9" s="520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0"/>
      <c r="CQX9" s="34"/>
      <c r="CQY9" s="390"/>
      <c r="CQZ9" s="520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0"/>
      <c r="CRN9" s="34"/>
      <c r="CRO9" s="390"/>
      <c r="CRP9" s="520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0"/>
      <c r="CSD9" s="34"/>
      <c r="CSE9" s="390"/>
      <c r="CSF9" s="520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0"/>
      <c r="CST9" s="34"/>
      <c r="CSU9" s="390"/>
      <c r="CSV9" s="520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0"/>
      <c r="CTJ9" s="34"/>
      <c r="CTK9" s="390"/>
      <c r="CTL9" s="520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0"/>
      <c r="CTZ9" s="34"/>
      <c r="CUA9" s="390"/>
      <c r="CUB9" s="520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0"/>
      <c r="CUP9" s="34"/>
      <c r="CUQ9" s="390"/>
      <c r="CUR9" s="520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0"/>
      <c r="CVF9" s="34"/>
      <c r="CVG9" s="390"/>
      <c r="CVH9" s="520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0"/>
      <c r="CVV9" s="34"/>
      <c r="CVW9" s="390"/>
      <c r="CVX9" s="520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0"/>
      <c r="CWL9" s="34"/>
      <c r="CWM9" s="390"/>
      <c r="CWN9" s="520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0"/>
      <c r="CXB9" s="34"/>
      <c r="CXC9" s="390"/>
      <c r="CXD9" s="520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0"/>
      <c r="CXR9" s="34"/>
      <c r="CXS9" s="390"/>
      <c r="CXT9" s="520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0"/>
      <c r="CYH9" s="34"/>
      <c r="CYI9" s="390"/>
      <c r="CYJ9" s="520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0"/>
      <c r="CYX9" s="34"/>
      <c r="CYY9" s="390"/>
      <c r="CYZ9" s="520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0"/>
      <c r="CZN9" s="34"/>
      <c r="CZO9" s="390"/>
      <c r="CZP9" s="520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0"/>
      <c r="DAD9" s="34"/>
      <c r="DAE9" s="390"/>
      <c r="DAF9" s="520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0"/>
      <c r="DAT9" s="34"/>
      <c r="DAU9" s="390"/>
      <c r="DAV9" s="520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0"/>
      <c r="DBJ9" s="34"/>
      <c r="DBK9" s="390"/>
      <c r="DBL9" s="520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0"/>
      <c r="DBZ9" s="34"/>
      <c r="DCA9" s="390"/>
      <c r="DCB9" s="520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0"/>
      <c r="DCP9" s="34"/>
      <c r="DCQ9" s="390"/>
      <c r="DCR9" s="520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0"/>
      <c r="DDF9" s="34"/>
      <c r="DDG9" s="390"/>
      <c r="DDH9" s="520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0"/>
      <c r="DDV9" s="34"/>
      <c r="DDW9" s="390"/>
      <c r="DDX9" s="520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0"/>
      <c r="DEL9" s="34"/>
      <c r="DEM9" s="390"/>
      <c r="DEN9" s="520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0"/>
      <c r="DFB9" s="34"/>
      <c r="DFC9" s="390"/>
      <c r="DFD9" s="520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0"/>
      <c r="DFR9" s="34"/>
      <c r="DFS9" s="390"/>
      <c r="DFT9" s="520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0"/>
      <c r="DGH9" s="34"/>
      <c r="DGI9" s="390"/>
      <c r="DGJ9" s="520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0"/>
      <c r="DGX9" s="34"/>
      <c r="DGY9" s="390"/>
      <c r="DGZ9" s="520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0"/>
      <c r="DHN9" s="34"/>
      <c r="DHO9" s="390"/>
      <c r="DHP9" s="520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0"/>
      <c r="DID9" s="34"/>
      <c r="DIE9" s="390"/>
      <c r="DIF9" s="520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0"/>
      <c r="DIT9" s="34"/>
      <c r="DIU9" s="390"/>
      <c r="DIV9" s="520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0"/>
      <c r="DJJ9" s="34"/>
      <c r="DJK9" s="390"/>
      <c r="DJL9" s="520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0"/>
      <c r="DJZ9" s="34"/>
      <c r="DKA9" s="390"/>
      <c r="DKB9" s="520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0"/>
      <c r="DKP9" s="34"/>
      <c r="DKQ9" s="390"/>
      <c r="DKR9" s="520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0"/>
      <c r="DLF9" s="34"/>
      <c r="DLG9" s="390"/>
      <c r="DLH9" s="520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0"/>
      <c r="DLV9" s="34"/>
      <c r="DLW9" s="390"/>
      <c r="DLX9" s="520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0"/>
      <c r="DML9" s="34"/>
      <c r="DMM9" s="390"/>
      <c r="DMN9" s="520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0"/>
      <c r="DNB9" s="34"/>
      <c r="DNC9" s="390"/>
      <c r="DND9" s="520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0"/>
      <c r="DNR9" s="34"/>
      <c r="DNS9" s="390"/>
      <c r="DNT9" s="520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0"/>
      <c r="DOH9" s="34"/>
      <c r="DOI9" s="390"/>
      <c r="DOJ9" s="520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0"/>
      <c r="DOX9" s="34"/>
      <c r="DOY9" s="390"/>
      <c r="DOZ9" s="520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0"/>
      <c r="DPN9" s="34"/>
      <c r="DPO9" s="390"/>
      <c r="DPP9" s="520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0"/>
      <c r="DQD9" s="34"/>
      <c r="DQE9" s="390"/>
      <c r="DQF9" s="520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0"/>
      <c r="DQT9" s="34"/>
      <c r="DQU9" s="390"/>
      <c r="DQV9" s="520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0"/>
      <c r="DRJ9" s="34"/>
      <c r="DRK9" s="390"/>
      <c r="DRL9" s="520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0"/>
      <c r="DRZ9" s="34"/>
      <c r="DSA9" s="390"/>
      <c r="DSB9" s="520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0"/>
      <c r="DSP9" s="34"/>
      <c r="DSQ9" s="390"/>
      <c r="DSR9" s="520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0"/>
      <c r="DTF9" s="34"/>
      <c r="DTG9" s="390"/>
      <c r="DTH9" s="520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0"/>
      <c r="DTV9" s="34"/>
      <c r="DTW9" s="390"/>
      <c r="DTX9" s="520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0"/>
      <c r="DUL9" s="34"/>
      <c r="DUM9" s="390"/>
      <c r="DUN9" s="520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0"/>
      <c r="DVB9" s="34"/>
      <c r="DVC9" s="390"/>
      <c r="DVD9" s="520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0"/>
      <c r="DVR9" s="34"/>
      <c r="DVS9" s="390"/>
      <c r="DVT9" s="520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0"/>
      <c r="DWH9" s="34"/>
      <c r="DWI9" s="390"/>
      <c r="DWJ9" s="520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0"/>
      <c r="DWX9" s="34"/>
      <c r="DWY9" s="390"/>
      <c r="DWZ9" s="520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0"/>
      <c r="DXN9" s="34"/>
      <c r="DXO9" s="390"/>
      <c r="DXP9" s="520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0"/>
      <c r="DYD9" s="34"/>
      <c r="DYE9" s="390"/>
      <c r="DYF9" s="520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0"/>
      <c r="DYT9" s="34"/>
      <c r="DYU9" s="390"/>
      <c r="DYV9" s="520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0"/>
      <c r="DZJ9" s="34"/>
      <c r="DZK9" s="390"/>
      <c r="DZL9" s="520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0"/>
      <c r="DZZ9" s="34"/>
      <c r="EAA9" s="390"/>
      <c r="EAB9" s="520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0"/>
      <c r="EAP9" s="34"/>
      <c r="EAQ9" s="390"/>
      <c r="EAR9" s="520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0"/>
      <c r="EBF9" s="34"/>
      <c r="EBG9" s="390"/>
      <c r="EBH9" s="520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0"/>
      <c r="EBV9" s="34"/>
      <c r="EBW9" s="390"/>
      <c r="EBX9" s="520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0"/>
      <c r="ECL9" s="34"/>
      <c r="ECM9" s="390"/>
      <c r="ECN9" s="520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0"/>
      <c r="EDB9" s="34"/>
      <c r="EDC9" s="390"/>
      <c r="EDD9" s="520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0"/>
      <c r="EDR9" s="34"/>
      <c r="EDS9" s="390"/>
      <c r="EDT9" s="520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0"/>
      <c r="EEH9" s="34"/>
      <c r="EEI9" s="390"/>
      <c r="EEJ9" s="520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0"/>
      <c r="EEX9" s="34"/>
      <c r="EEY9" s="390"/>
      <c r="EEZ9" s="520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0"/>
      <c r="EFN9" s="34"/>
      <c r="EFO9" s="390"/>
      <c r="EFP9" s="520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0"/>
      <c r="EGD9" s="34"/>
      <c r="EGE9" s="390"/>
      <c r="EGF9" s="520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0"/>
      <c r="EGT9" s="34"/>
      <c r="EGU9" s="390"/>
      <c r="EGV9" s="520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0"/>
      <c r="EHJ9" s="34"/>
      <c r="EHK9" s="390"/>
      <c r="EHL9" s="520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0"/>
      <c r="EHZ9" s="34"/>
      <c r="EIA9" s="390"/>
      <c r="EIB9" s="520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0"/>
      <c r="EIP9" s="34"/>
      <c r="EIQ9" s="390"/>
      <c r="EIR9" s="520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0"/>
      <c r="EJF9" s="34"/>
      <c r="EJG9" s="390"/>
      <c r="EJH9" s="520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0"/>
      <c r="EJV9" s="34"/>
      <c r="EJW9" s="390"/>
      <c r="EJX9" s="520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0"/>
      <c r="EKL9" s="34"/>
      <c r="EKM9" s="390"/>
      <c r="EKN9" s="520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0"/>
      <c r="ELB9" s="34"/>
      <c r="ELC9" s="390"/>
      <c r="ELD9" s="520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0"/>
      <c r="ELR9" s="34"/>
      <c r="ELS9" s="390"/>
      <c r="ELT9" s="520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0"/>
      <c r="EMH9" s="34"/>
      <c r="EMI9" s="390"/>
      <c r="EMJ9" s="520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0"/>
      <c r="EMX9" s="34"/>
      <c r="EMY9" s="390"/>
      <c r="EMZ9" s="520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0"/>
      <c r="ENN9" s="34"/>
      <c r="ENO9" s="390"/>
      <c r="ENP9" s="520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0"/>
      <c r="EOD9" s="34"/>
      <c r="EOE9" s="390"/>
      <c r="EOF9" s="520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0"/>
      <c r="EOT9" s="34"/>
      <c r="EOU9" s="390"/>
      <c r="EOV9" s="520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0"/>
      <c r="EPJ9" s="34"/>
      <c r="EPK9" s="390"/>
      <c r="EPL9" s="520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0"/>
      <c r="EPZ9" s="34"/>
      <c r="EQA9" s="390"/>
      <c r="EQB9" s="520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0"/>
      <c r="EQP9" s="34"/>
      <c r="EQQ9" s="390"/>
      <c r="EQR9" s="520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0"/>
      <c r="ERF9" s="34"/>
      <c r="ERG9" s="390"/>
      <c r="ERH9" s="520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0"/>
      <c r="ERV9" s="34"/>
      <c r="ERW9" s="390"/>
      <c r="ERX9" s="520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0"/>
      <c r="ESL9" s="34"/>
      <c r="ESM9" s="390"/>
      <c r="ESN9" s="520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0"/>
      <c r="ETB9" s="34"/>
      <c r="ETC9" s="390"/>
      <c r="ETD9" s="520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0"/>
      <c r="ETR9" s="34"/>
      <c r="ETS9" s="390"/>
      <c r="ETT9" s="520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0"/>
      <c r="EUH9" s="34"/>
      <c r="EUI9" s="390"/>
      <c r="EUJ9" s="520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0"/>
      <c r="EUX9" s="34"/>
      <c r="EUY9" s="390"/>
      <c r="EUZ9" s="520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0"/>
      <c r="EVN9" s="34"/>
      <c r="EVO9" s="390"/>
      <c r="EVP9" s="520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0"/>
      <c r="EWD9" s="34"/>
      <c r="EWE9" s="390"/>
      <c r="EWF9" s="520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0"/>
      <c r="EWT9" s="34"/>
      <c r="EWU9" s="390"/>
      <c r="EWV9" s="520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0"/>
      <c r="EXJ9" s="34"/>
      <c r="EXK9" s="390"/>
      <c r="EXL9" s="520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0"/>
      <c r="EXZ9" s="34"/>
      <c r="EYA9" s="390"/>
      <c r="EYB9" s="520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0"/>
      <c r="EYP9" s="34"/>
      <c r="EYQ9" s="390"/>
      <c r="EYR9" s="520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0"/>
      <c r="EZF9" s="34"/>
      <c r="EZG9" s="390"/>
      <c r="EZH9" s="520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0"/>
      <c r="EZV9" s="34"/>
      <c r="EZW9" s="390"/>
      <c r="EZX9" s="520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0"/>
      <c r="FAL9" s="34"/>
      <c r="FAM9" s="390"/>
      <c r="FAN9" s="520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0"/>
      <c r="FBB9" s="34"/>
      <c r="FBC9" s="390"/>
      <c r="FBD9" s="520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0"/>
      <c r="FBR9" s="34"/>
      <c r="FBS9" s="390"/>
      <c r="FBT9" s="520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0"/>
      <c r="FCH9" s="34"/>
      <c r="FCI9" s="390"/>
      <c r="FCJ9" s="520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0"/>
      <c r="FCX9" s="34"/>
      <c r="FCY9" s="390"/>
      <c r="FCZ9" s="520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0"/>
      <c r="FDN9" s="34"/>
      <c r="FDO9" s="390"/>
      <c r="FDP9" s="520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0"/>
      <c r="FED9" s="34"/>
      <c r="FEE9" s="390"/>
      <c r="FEF9" s="520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0"/>
      <c r="FET9" s="34"/>
      <c r="FEU9" s="390"/>
      <c r="FEV9" s="520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0"/>
      <c r="FFJ9" s="34"/>
      <c r="FFK9" s="390"/>
      <c r="FFL9" s="520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0"/>
      <c r="FFZ9" s="34"/>
      <c r="FGA9" s="390"/>
      <c r="FGB9" s="520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0"/>
      <c r="FGP9" s="34"/>
      <c r="FGQ9" s="390"/>
      <c r="FGR9" s="520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0"/>
      <c r="FHF9" s="34"/>
      <c r="FHG9" s="390"/>
      <c r="FHH9" s="520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0"/>
      <c r="FHV9" s="34"/>
      <c r="FHW9" s="390"/>
      <c r="FHX9" s="520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0"/>
      <c r="FIL9" s="34"/>
      <c r="FIM9" s="390"/>
      <c r="FIN9" s="520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0"/>
      <c r="FJB9" s="34"/>
      <c r="FJC9" s="390"/>
      <c r="FJD9" s="520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0"/>
      <c r="FJR9" s="34"/>
      <c r="FJS9" s="390"/>
      <c r="FJT9" s="520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0"/>
      <c r="FKH9" s="34"/>
      <c r="FKI9" s="390"/>
      <c r="FKJ9" s="520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0"/>
      <c r="FKX9" s="34"/>
      <c r="FKY9" s="390"/>
      <c r="FKZ9" s="520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0"/>
      <c r="FLN9" s="34"/>
      <c r="FLO9" s="390"/>
      <c r="FLP9" s="520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0"/>
      <c r="FMD9" s="34"/>
      <c r="FME9" s="390"/>
      <c r="FMF9" s="520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0"/>
      <c r="FMT9" s="34"/>
      <c r="FMU9" s="390"/>
      <c r="FMV9" s="520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0"/>
      <c r="FNJ9" s="34"/>
      <c r="FNK9" s="390"/>
      <c r="FNL9" s="520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0"/>
      <c r="FNZ9" s="34"/>
      <c r="FOA9" s="390"/>
      <c r="FOB9" s="520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0"/>
      <c r="FOP9" s="34"/>
      <c r="FOQ9" s="390"/>
      <c r="FOR9" s="520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0"/>
      <c r="FPF9" s="34"/>
      <c r="FPG9" s="390"/>
      <c r="FPH9" s="520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0"/>
      <c r="FPV9" s="34"/>
      <c r="FPW9" s="390"/>
      <c r="FPX9" s="520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0"/>
      <c r="FQL9" s="34"/>
      <c r="FQM9" s="390"/>
      <c r="FQN9" s="520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0"/>
      <c r="FRB9" s="34"/>
      <c r="FRC9" s="390"/>
      <c r="FRD9" s="520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0"/>
      <c r="FRR9" s="34"/>
      <c r="FRS9" s="390"/>
      <c r="FRT9" s="520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0"/>
      <c r="FSH9" s="34"/>
      <c r="FSI9" s="390"/>
      <c r="FSJ9" s="520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0"/>
      <c r="FSX9" s="34"/>
      <c r="FSY9" s="390"/>
      <c r="FSZ9" s="520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0"/>
      <c r="FTN9" s="34"/>
      <c r="FTO9" s="390"/>
      <c r="FTP9" s="520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0"/>
      <c r="FUD9" s="34"/>
      <c r="FUE9" s="390"/>
      <c r="FUF9" s="520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0"/>
      <c r="FUT9" s="34"/>
      <c r="FUU9" s="390"/>
      <c r="FUV9" s="520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0"/>
      <c r="FVJ9" s="34"/>
      <c r="FVK9" s="390"/>
      <c r="FVL9" s="520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0"/>
      <c r="FVZ9" s="34"/>
      <c r="FWA9" s="390"/>
      <c r="FWB9" s="520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0"/>
      <c r="FWP9" s="34"/>
      <c r="FWQ9" s="390"/>
      <c r="FWR9" s="520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0"/>
      <c r="FXF9" s="34"/>
      <c r="FXG9" s="390"/>
      <c r="FXH9" s="520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0"/>
      <c r="FXV9" s="34"/>
      <c r="FXW9" s="390"/>
      <c r="FXX9" s="520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0"/>
      <c r="FYL9" s="34"/>
      <c r="FYM9" s="390"/>
      <c r="FYN9" s="520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0"/>
      <c r="FZB9" s="34"/>
      <c r="FZC9" s="390"/>
      <c r="FZD9" s="520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0"/>
      <c r="FZR9" s="34"/>
      <c r="FZS9" s="390"/>
      <c r="FZT9" s="520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0"/>
      <c r="GAH9" s="34"/>
      <c r="GAI9" s="390"/>
      <c r="GAJ9" s="520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0"/>
      <c r="GAX9" s="34"/>
      <c r="GAY9" s="390"/>
      <c r="GAZ9" s="520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0"/>
      <c r="GBN9" s="34"/>
      <c r="GBO9" s="390"/>
      <c r="GBP9" s="520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0"/>
      <c r="GCD9" s="34"/>
      <c r="GCE9" s="390"/>
      <c r="GCF9" s="520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0"/>
      <c r="GCT9" s="34"/>
      <c r="GCU9" s="390"/>
      <c r="GCV9" s="520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0"/>
      <c r="GDJ9" s="34"/>
      <c r="GDK9" s="390"/>
      <c r="GDL9" s="520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0"/>
      <c r="GDZ9" s="34"/>
      <c r="GEA9" s="390"/>
      <c r="GEB9" s="520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0"/>
      <c r="GEP9" s="34"/>
      <c r="GEQ9" s="390"/>
      <c r="GER9" s="520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0"/>
      <c r="GFF9" s="34"/>
      <c r="GFG9" s="390"/>
      <c r="GFH9" s="520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0"/>
      <c r="GFV9" s="34"/>
      <c r="GFW9" s="390"/>
      <c r="GFX9" s="520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0"/>
      <c r="GGL9" s="34"/>
      <c r="GGM9" s="390"/>
      <c r="GGN9" s="520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0"/>
      <c r="GHB9" s="34"/>
      <c r="GHC9" s="390"/>
      <c r="GHD9" s="520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0"/>
      <c r="GHR9" s="34"/>
      <c r="GHS9" s="390"/>
      <c r="GHT9" s="520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0"/>
      <c r="GIH9" s="34"/>
      <c r="GII9" s="390"/>
      <c r="GIJ9" s="520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0"/>
      <c r="GIX9" s="34"/>
      <c r="GIY9" s="390"/>
      <c r="GIZ9" s="520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0"/>
      <c r="GJN9" s="34"/>
      <c r="GJO9" s="390"/>
      <c r="GJP9" s="520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0"/>
      <c r="GKD9" s="34"/>
      <c r="GKE9" s="390"/>
      <c r="GKF9" s="520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0"/>
      <c r="GKT9" s="34"/>
      <c r="GKU9" s="390"/>
      <c r="GKV9" s="520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0"/>
      <c r="GLJ9" s="34"/>
      <c r="GLK9" s="390"/>
      <c r="GLL9" s="520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0"/>
      <c r="GLZ9" s="34"/>
      <c r="GMA9" s="390"/>
      <c r="GMB9" s="520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0"/>
      <c r="GMP9" s="34"/>
      <c r="GMQ9" s="390"/>
      <c r="GMR9" s="520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0"/>
      <c r="GNF9" s="34"/>
      <c r="GNG9" s="390"/>
      <c r="GNH9" s="520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0"/>
      <c r="GNV9" s="34"/>
      <c r="GNW9" s="390"/>
      <c r="GNX9" s="520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0"/>
      <c r="GOL9" s="34"/>
      <c r="GOM9" s="390"/>
      <c r="GON9" s="520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0"/>
      <c r="GPB9" s="34"/>
      <c r="GPC9" s="390"/>
      <c r="GPD9" s="520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0"/>
      <c r="GPR9" s="34"/>
      <c r="GPS9" s="390"/>
      <c r="GPT9" s="520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0"/>
      <c r="GQH9" s="34"/>
      <c r="GQI9" s="390"/>
      <c r="GQJ9" s="520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0"/>
      <c r="GQX9" s="34"/>
      <c r="GQY9" s="390"/>
      <c r="GQZ9" s="520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0"/>
      <c r="GRN9" s="34"/>
      <c r="GRO9" s="390"/>
      <c r="GRP9" s="520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0"/>
      <c r="GSD9" s="34"/>
      <c r="GSE9" s="390"/>
      <c r="GSF9" s="520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0"/>
      <c r="GST9" s="34"/>
      <c r="GSU9" s="390"/>
      <c r="GSV9" s="520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0"/>
      <c r="GTJ9" s="34"/>
      <c r="GTK9" s="390"/>
      <c r="GTL9" s="520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0"/>
      <c r="GTZ9" s="34"/>
      <c r="GUA9" s="390"/>
      <c r="GUB9" s="520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0"/>
      <c r="GUP9" s="34"/>
      <c r="GUQ9" s="390"/>
      <c r="GUR9" s="520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0"/>
      <c r="GVF9" s="34"/>
      <c r="GVG9" s="390"/>
      <c r="GVH9" s="520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0"/>
      <c r="GVV9" s="34"/>
      <c r="GVW9" s="390"/>
      <c r="GVX9" s="520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0"/>
      <c r="GWL9" s="34"/>
      <c r="GWM9" s="390"/>
      <c r="GWN9" s="520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0"/>
      <c r="GXB9" s="34"/>
      <c r="GXC9" s="390"/>
      <c r="GXD9" s="520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0"/>
      <c r="GXR9" s="34"/>
      <c r="GXS9" s="390"/>
      <c r="GXT9" s="520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0"/>
      <c r="GYH9" s="34"/>
      <c r="GYI9" s="390"/>
      <c r="GYJ9" s="520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0"/>
      <c r="GYX9" s="34"/>
      <c r="GYY9" s="390"/>
      <c r="GYZ9" s="520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0"/>
      <c r="GZN9" s="34"/>
      <c r="GZO9" s="390"/>
      <c r="GZP9" s="520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0"/>
      <c r="HAD9" s="34"/>
      <c r="HAE9" s="390"/>
      <c r="HAF9" s="520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0"/>
      <c r="HAT9" s="34"/>
      <c r="HAU9" s="390"/>
      <c r="HAV9" s="520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0"/>
      <c r="HBJ9" s="34"/>
      <c r="HBK9" s="390"/>
      <c r="HBL9" s="520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0"/>
      <c r="HBZ9" s="34"/>
      <c r="HCA9" s="390"/>
      <c r="HCB9" s="520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0"/>
      <c r="HCP9" s="34"/>
      <c r="HCQ9" s="390"/>
      <c r="HCR9" s="520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0"/>
      <c r="HDF9" s="34"/>
      <c r="HDG9" s="390"/>
      <c r="HDH9" s="520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0"/>
      <c r="HDV9" s="34"/>
      <c r="HDW9" s="390"/>
      <c r="HDX9" s="520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0"/>
      <c r="HEL9" s="34"/>
      <c r="HEM9" s="390"/>
      <c r="HEN9" s="520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0"/>
      <c r="HFB9" s="34"/>
      <c r="HFC9" s="390"/>
      <c r="HFD9" s="520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0"/>
      <c r="HFR9" s="34"/>
      <c r="HFS9" s="390"/>
      <c r="HFT9" s="520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0"/>
      <c r="HGH9" s="34"/>
      <c r="HGI9" s="390"/>
      <c r="HGJ9" s="520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0"/>
      <c r="HGX9" s="34"/>
      <c r="HGY9" s="390"/>
      <c r="HGZ9" s="520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0"/>
      <c r="HHN9" s="34"/>
      <c r="HHO9" s="390"/>
      <c r="HHP9" s="520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0"/>
      <c r="HID9" s="34"/>
      <c r="HIE9" s="390"/>
      <c r="HIF9" s="520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0"/>
      <c r="HIT9" s="34"/>
      <c r="HIU9" s="390"/>
      <c r="HIV9" s="520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0"/>
      <c r="HJJ9" s="34"/>
      <c r="HJK9" s="390"/>
      <c r="HJL9" s="520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0"/>
      <c r="HJZ9" s="34"/>
      <c r="HKA9" s="390"/>
      <c r="HKB9" s="520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0"/>
      <c r="HKP9" s="34"/>
      <c r="HKQ9" s="390"/>
      <c r="HKR9" s="520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0"/>
      <c r="HLF9" s="34"/>
      <c r="HLG9" s="390"/>
      <c r="HLH9" s="520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0"/>
      <c r="HLV9" s="34"/>
      <c r="HLW9" s="390"/>
      <c r="HLX9" s="520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0"/>
      <c r="HML9" s="34"/>
      <c r="HMM9" s="390"/>
      <c r="HMN9" s="520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0"/>
      <c r="HNB9" s="34"/>
      <c r="HNC9" s="390"/>
      <c r="HND9" s="520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0"/>
      <c r="HNR9" s="34"/>
      <c r="HNS9" s="390"/>
      <c r="HNT9" s="520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0"/>
      <c r="HOH9" s="34"/>
      <c r="HOI9" s="390"/>
      <c r="HOJ9" s="520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0"/>
      <c r="HOX9" s="34"/>
      <c r="HOY9" s="390"/>
      <c r="HOZ9" s="520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0"/>
      <c r="HPN9" s="34"/>
      <c r="HPO9" s="390"/>
      <c r="HPP9" s="520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0"/>
      <c r="HQD9" s="34"/>
      <c r="HQE9" s="390"/>
      <c r="HQF9" s="520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0"/>
      <c r="HQT9" s="34"/>
      <c r="HQU9" s="390"/>
      <c r="HQV9" s="520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0"/>
      <c r="HRJ9" s="34"/>
      <c r="HRK9" s="390"/>
      <c r="HRL9" s="520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0"/>
      <c r="HRZ9" s="34"/>
      <c r="HSA9" s="390"/>
      <c r="HSB9" s="520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0"/>
      <c r="HSP9" s="34"/>
      <c r="HSQ9" s="390"/>
      <c r="HSR9" s="520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0"/>
      <c r="HTF9" s="34"/>
      <c r="HTG9" s="390"/>
      <c r="HTH9" s="520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0"/>
      <c r="HTV9" s="34"/>
      <c r="HTW9" s="390"/>
      <c r="HTX9" s="520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0"/>
      <c r="HUL9" s="34"/>
      <c r="HUM9" s="390"/>
      <c r="HUN9" s="520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0"/>
      <c r="HVB9" s="34"/>
      <c r="HVC9" s="390"/>
      <c r="HVD9" s="520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0"/>
      <c r="HVR9" s="34"/>
      <c r="HVS9" s="390"/>
      <c r="HVT9" s="520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0"/>
      <c r="HWH9" s="34"/>
      <c r="HWI9" s="390"/>
      <c r="HWJ9" s="520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0"/>
      <c r="HWX9" s="34"/>
      <c r="HWY9" s="390"/>
      <c r="HWZ9" s="520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0"/>
      <c r="HXN9" s="34"/>
      <c r="HXO9" s="390"/>
      <c r="HXP9" s="520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0"/>
      <c r="HYD9" s="34"/>
      <c r="HYE9" s="390"/>
      <c r="HYF9" s="520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0"/>
      <c r="HYT9" s="34"/>
      <c r="HYU9" s="390"/>
      <c r="HYV9" s="520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0"/>
      <c r="HZJ9" s="34"/>
      <c r="HZK9" s="390"/>
      <c r="HZL9" s="520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0"/>
      <c r="HZZ9" s="34"/>
      <c r="IAA9" s="390"/>
      <c r="IAB9" s="520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0"/>
      <c r="IAP9" s="34"/>
      <c r="IAQ9" s="390"/>
      <c r="IAR9" s="520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0"/>
      <c r="IBF9" s="34"/>
      <c r="IBG9" s="390"/>
      <c r="IBH9" s="520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0"/>
      <c r="IBV9" s="34"/>
      <c r="IBW9" s="390"/>
      <c r="IBX9" s="520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0"/>
      <c r="ICL9" s="34"/>
      <c r="ICM9" s="390"/>
      <c r="ICN9" s="520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0"/>
      <c r="IDB9" s="34"/>
      <c r="IDC9" s="390"/>
      <c r="IDD9" s="520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0"/>
      <c r="IDR9" s="34"/>
      <c r="IDS9" s="390"/>
      <c r="IDT9" s="520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0"/>
      <c r="IEH9" s="34"/>
      <c r="IEI9" s="390"/>
      <c r="IEJ9" s="520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0"/>
      <c r="IEX9" s="34"/>
      <c r="IEY9" s="390"/>
      <c r="IEZ9" s="520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0"/>
      <c r="IFN9" s="34"/>
      <c r="IFO9" s="390"/>
      <c r="IFP9" s="520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0"/>
      <c r="IGD9" s="34"/>
      <c r="IGE9" s="390"/>
      <c r="IGF9" s="520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0"/>
      <c r="IGT9" s="34"/>
      <c r="IGU9" s="390"/>
      <c r="IGV9" s="520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0"/>
      <c r="IHJ9" s="34"/>
      <c r="IHK9" s="390"/>
      <c r="IHL9" s="520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0"/>
      <c r="IHZ9" s="34"/>
      <c r="IIA9" s="390"/>
      <c r="IIB9" s="520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0"/>
      <c r="IIP9" s="34"/>
      <c r="IIQ9" s="390"/>
      <c r="IIR9" s="520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0"/>
      <c r="IJF9" s="34"/>
      <c r="IJG9" s="390"/>
      <c r="IJH9" s="520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0"/>
      <c r="IJV9" s="34"/>
      <c r="IJW9" s="390"/>
      <c r="IJX9" s="520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0"/>
      <c r="IKL9" s="34"/>
      <c r="IKM9" s="390"/>
      <c r="IKN9" s="520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0"/>
      <c r="ILB9" s="34"/>
      <c r="ILC9" s="390"/>
      <c r="ILD9" s="520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0"/>
      <c r="ILR9" s="34"/>
      <c r="ILS9" s="390"/>
      <c r="ILT9" s="520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0"/>
      <c r="IMH9" s="34"/>
      <c r="IMI9" s="390"/>
      <c r="IMJ9" s="520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0"/>
      <c r="IMX9" s="34"/>
      <c r="IMY9" s="390"/>
      <c r="IMZ9" s="520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0"/>
      <c r="INN9" s="34"/>
      <c r="INO9" s="390"/>
      <c r="INP9" s="520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0"/>
      <c r="IOD9" s="34"/>
      <c r="IOE9" s="390"/>
      <c r="IOF9" s="520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0"/>
      <c r="IOT9" s="34"/>
      <c r="IOU9" s="390"/>
      <c r="IOV9" s="520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0"/>
      <c r="IPJ9" s="34"/>
      <c r="IPK9" s="390"/>
      <c r="IPL9" s="520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0"/>
      <c r="IPZ9" s="34"/>
      <c r="IQA9" s="390"/>
      <c r="IQB9" s="520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0"/>
      <c r="IQP9" s="34"/>
      <c r="IQQ9" s="390"/>
      <c r="IQR9" s="520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0"/>
      <c r="IRF9" s="34"/>
      <c r="IRG9" s="390"/>
      <c r="IRH9" s="520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0"/>
      <c r="IRV9" s="34"/>
      <c r="IRW9" s="390"/>
      <c r="IRX9" s="520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0"/>
      <c r="ISL9" s="34"/>
      <c r="ISM9" s="390"/>
      <c r="ISN9" s="520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0"/>
      <c r="ITB9" s="34"/>
      <c r="ITC9" s="390"/>
      <c r="ITD9" s="520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0"/>
      <c r="ITR9" s="34"/>
      <c r="ITS9" s="390"/>
      <c r="ITT9" s="520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0"/>
      <c r="IUH9" s="34"/>
      <c r="IUI9" s="390"/>
      <c r="IUJ9" s="520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0"/>
      <c r="IUX9" s="34"/>
      <c r="IUY9" s="390"/>
      <c r="IUZ9" s="520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0"/>
      <c r="IVN9" s="34"/>
      <c r="IVO9" s="390"/>
      <c r="IVP9" s="520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0"/>
      <c r="IWD9" s="34"/>
      <c r="IWE9" s="390"/>
      <c r="IWF9" s="520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0"/>
      <c r="IWT9" s="34"/>
      <c r="IWU9" s="390"/>
      <c r="IWV9" s="520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0"/>
      <c r="IXJ9" s="34"/>
      <c r="IXK9" s="390"/>
      <c r="IXL9" s="520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0"/>
      <c r="IXZ9" s="34"/>
      <c r="IYA9" s="390"/>
      <c r="IYB9" s="520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0"/>
      <c r="IYP9" s="34"/>
      <c r="IYQ9" s="390"/>
      <c r="IYR9" s="520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0"/>
      <c r="IZF9" s="34"/>
      <c r="IZG9" s="390"/>
      <c r="IZH9" s="520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0"/>
      <c r="IZV9" s="34"/>
      <c r="IZW9" s="390"/>
      <c r="IZX9" s="520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0"/>
      <c r="JAL9" s="34"/>
      <c r="JAM9" s="390"/>
      <c r="JAN9" s="520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0"/>
      <c r="JBB9" s="34"/>
      <c r="JBC9" s="390"/>
      <c r="JBD9" s="520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0"/>
      <c r="JBR9" s="34"/>
      <c r="JBS9" s="390"/>
      <c r="JBT9" s="520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0"/>
      <c r="JCH9" s="34"/>
      <c r="JCI9" s="390"/>
      <c r="JCJ9" s="520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0"/>
      <c r="JCX9" s="34"/>
      <c r="JCY9" s="390"/>
      <c r="JCZ9" s="520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0"/>
      <c r="JDN9" s="34"/>
      <c r="JDO9" s="390"/>
      <c r="JDP9" s="520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0"/>
      <c r="JED9" s="34"/>
      <c r="JEE9" s="390"/>
      <c r="JEF9" s="520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0"/>
      <c r="JET9" s="34"/>
      <c r="JEU9" s="390"/>
      <c r="JEV9" s="520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0"/>
      <c r="JFJ9" s="34"/>
      <c r="JFK9" s="390"/>
      <c r="JFL9" s="520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0"/>
      <c r="JFZ9" s="34"/>
      <c r="JGA9" s="390"/>
      <c r="JGB9" s="520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0"/>
      <c r="JGP9" s="34"/>
      <c r="JGQ9" s="390"/>
      <c r="JGR9" s="520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0"/>
      <c r="JHF9" s="34"/>
      <c r="JHG9" s="390"/>
      <c r="JHH9" s="520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0"/>
      <c r="JHV9" s="34"/>
      <c r="JHW9" s="390"/>
      <c r="JHX9" s="520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0"/>
      <c r="JIL9" s="34"/>
      <c r="JIM9" s="390"/>
      <c r="JIN9" s="520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0"/>
      <c r="JJB9" s="34"/>
      <c r="JJC9" s="390"/>
      <c r="JJD9" s="520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0"/>
      <c r="JJR9" s="34"/>
      <c r="JJS9" s="390"/>
      <c r="JJT9" s="520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0"/>
      <c r="JKH9" s="34"/>
      <c r="JKI9" s="390"/>
      <c r="JKJ9" s="520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0"/>
      <c r="JKX9" s="34"/>
      <c r="JKY9" s="390"/>
      <c r="JKZ9" s="520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0"/>
      <c r="JLN9" s="34"/>
      <c r="JLO9" s="390"/>
      <c r="JLP9" s="520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0"/>
      <c r="JMD9" s="34"/>
      <c r="JME9" s="390"/>
      <c r="JMF9" s="520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0"/>
      <c r="JMT9" s="34"/>
      <c r="JMU9" s="390"/>
      <c r="JMV9" s="520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0"/>
      <c r="JNJ9" s="34"/>
      <c r="JNK9" s="390"/>
      <c r="JNL9" s="520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0"/>
      <c r="JNZ9" s="34"/>
      <c r="JOA9" s="390"/>
      <c r="JOB9" s="520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0"/>
      <c r="JOP9" s="34"/>
      <c r="JOQ9" s="390"/>
      <c r="JOR9" s="520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0"/>
      <c r="JPF9" s="34"/>
      <c r="JPG9" s="390"/>
      <c r="JPH9" s="520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0"/>
      <c r="JPV9" s="34"/>
      <c r="JPW9" s="390"/>
      <c r="JPX9" s="520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0"/>
      <c r="JQL9" s="34"/>
      <c r="JQM9" s="390"/>
      <c r="JQN9" s="520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0"/>
      <c r="JRB9" s="34"/>
      <c r="JRC9" s="390"/>
      <c r="JRD9" s="520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0"/>
      <c r="JRR9" s="34"/>
      <c r="JRS9" s="390"/>
      <c r="JRT9" s="520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0"/>
      <c r="JSH9" s="34"/>
      <c r="JSI9" s="390"/>
      <c r="JSJ9" s="520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0"/>
      <c r="JSX9" s="34"/>
      <c r="JSY9" s="390"/>
      <c r="JSZ9" s="520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0"/>
      <c r="JTN9" s="34"/>
      <c r="JTO9" s="390"/>
      <c r="JTP9" s="520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0"/>
      <c r="JUD9" s="34"/>
      <c r="JUE9" s="390"/>
      <c r="JUF9" s="520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0"/>
      <c r="JUT9" s="34"/>
      <c r="JUU9" s="390"/>
      <c r="JUV9" s="520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0"/>
      <c r="JVJ9" s="34"/>
      <c r="JVK9" s="390"/>
      <c r="JVL9" s="520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0"/>
      <c r="JVZ9" s="34"/>
      <c r="JWA9" s="390"/>
      <c r="JWB9" s="520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0"/>
      <c r="JWP9" s="34"/>
      <c r="JWQ9" s="390"/>
      <c r="JWR9" s="520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0"/>
      <c r="JXF9" s="34"/>
      <c r="JXG9" s="390"/>
      <c r="JXH9" s="520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0"/>
      <c r="JXV9" s="34"/>
      <c r="JXW9" s="390"/>
      <c r="JXX9" s="520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0"/>
      <c r="JYL9" s="34"/>
      <c r="JYM9" s="390"/>
      <c r="JYN9" s="520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0"/>
      <c r="JZB9" s="34"/>
      <c r="JZC9" s="390"/>
      <c r="JZD9" s="520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0"/>
      <c r="JZR9" s="34"/>
      <c r="JZS9" s="390"/>
      <c r="JZT9" s="520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0"/>
      <c r="KAH9" s="34"/>
      <c r="KAI9" s="390"/>
      <c r="KAJ9" s="520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0"/>
      <c r="KAX9" s="34"/>
      <c r="KAY9" s="390"/>
      <c r="KAZ9" s="520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0"/>
      <c r="KBN9" s="34"/>
      <c r="KBO9" s="390"/>
      <c r="KBP9" s="520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0"/>
      <c r="KCD9" s="34"/>
      <c r="KCE9" s="390"/>
      <c r="KCF9" s="520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0"/>
      <c r="KCT9" s="34"/>
      <c r="KCU9" s="390"/>
      <c r="KCV9" s="520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0"/>
      <c r="KDJ9" s="34"/>
      <c r="KDK9" s="390"/>
      <c r="KDL9" s="520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0"/>
      <c r="KDZ9" s="34"/>
      <c r="KEA9" s="390"/>
      <c r="KEB9" s="520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0"/>
      <c r="KEP9" s="34"/>
      <c r="KEQ9" s="390"/>
      <c r="KER9" s="520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0"/>
      <c r="KFF9" s="34"/>
      <c r="KFG9" s="390"/>
      <c r="KFH9" s="520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0"/>
      <c r="KFV9" s="34"/>
      <c r="KFW9" s="390"/>
      <c r="KFX9" s="520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0"/>
      <c r="KGL9" s="34"/>
      <c r="KGM9" s="390"/>
      <c r="KGN9" s="520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0"/>
      <c r="KHB9" s="34"/>
      <c r="KHC9" s="390"/>
      <c r="KHD9" s="520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0"/>
      <c r="KHR9" s="34"/>
      <c r="KHS9" s="390"/>
      <c r="KHT9" s="520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0"/>
      <c r="KIH9" s="34"/>
      <c r="KII9" s="390"/>
      <c r="KIJ9" s="520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0"/>
      <c r="KIX9" s="34"/>
      <c r="KIY9" s="390"/>
      <c r="KIZ9" s="520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0"/>
      <c r="KJN9" s="34"/>
      <c r="KJO9" s="390"/>
      <c r="KJP9" s="520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0"/>
      <c r="KKD9" s="34"/>
      <c r="KKE9" s="390"/>
      <c r="KKF9" s="520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0"/>
      <c r="KKT9" s="34"/>
      <c r="KKU9" s="390"/>
      <c r="KKV9" s="520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0"/>
      <c r="KLJ9" s="34"/>
      <c r="KLK9" s="390"/>
      <c r="KLL9" s="520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0"/>
      <c r="KLZ9" s="34"/>
      <c r="KMA9" s="390"/>
      <c r="KMB9" s="520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0"/>
      <c r="KMP9" s="34"/>
      <c r="KMQ9" s="390"/>
      <c r="KMR9" s="520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0"/>
      <c r="KNF9" s="34"/>
      <c r="KNG9" s="390"/>
      <c r="KNH9" s="520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0"/>
      <c r="KNV9" s="34"/>
      <c r="KNW9" s="390"/>
      <c r="KNX9" s="520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0"/>
      <c r="KOL9" s="34"/>
      <c r="KOM9" s="390"/>
      <c r="KON9" s="520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0"/>
      <c r="KPB9" s="34"/>
      <c r="KPC9" s="390"/>
      <c r="KPD9" s="520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0"/>
      <c r="KPR9" s="34"/>
      <c r="KPS9" s="390"/>
      <c r="KPT9" s="520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0"/>
      <c r="KQH9" s="34"/>
      <c r="KQI9" s="390"/>
      <c r="KQJ9" s="520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0"/>
      <c r="KQX9" s="34"/>
      <c r="KQY9" s="390"/>
      <c r="KQZ9" s="520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0"/>
      <c r="KRN9" s="34"/>
      <c r="KRO9" s="390"/>
      <c r="KRP9" s="520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0"/>
      <c r="KSD9" s="34"/>
      <c r="KSE9" s="390"/>
      <c r="KSF9" s="520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0"/>
      <c r="KST9" s="34"/>
      <c r="KSU9" s="390"/>
      <c r="KSV9" s="520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0"/>
      <c r="KTJ9" s="34"/>
      <c r="KTK9" s="390"/>
      <c r="KTL9" s="520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0"/>
      <c r="KTZ9" s="34"/>
      <c r="KUA9" s="390"/>
      <c r="KUB9" s="520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0"/>
      <c r="KUP9" s="34"/>
      <c r="KUQ9" s="390"/>
      <c r="KUR9" s="520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0"/>
      <c r="KVF9" s="34"/>
      <c r="KVG9" s="390"/>
      <c r="KVH9" s="520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0"/>
      <c r="KVV9" s="34"/>
      <c r="KVW9" s="390"/>
      <c r="KVX9" s="520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0"/>
      <c r="KWL9" s="34"/>
      <c r="KWM9" s="390"/>
      <c r="KWN9" s="520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0"/>
      <c r="KXB9" s="34"/>
      <c r="KXC9" s="390"/>
      <c r="KXD9" s="520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0"/>
      <c r="KXR9" s="34"/>
      <c r="KXS9" s="390"/>
      <c r="KXT9" s="520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0"/>
      <c r="KYH9" s="34"/>
      <c r="KYI9" s="390"/>
      <c r="KYJ9" s="520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0"/>
      <c r="KYX9" s="34"/>
      <c r="KYY9" s="390"/>
      <c r="KYZ9" s="520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0"/>
      <c r="KZN9" s="34"/>
      <c r="KZO9" s="390"/>
      <c r="KZP9" s="520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0"/>
      <c r="LAD9" s="34"/>
      <c r="LAE9" s="390"/>
      <c r="LAF9" s="520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0"/>
      <c r="LAT9" s="34"/>
      <c r="LAU9" s="390"/>
      <c r="LAV9" s="520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0"/>
      <c r="LBJ9" s="34"/>
      <c r="LBK9" s="390"/>
      <c r="LBL9" s="520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0"/>
      <c r="LBZ9" s="34"/>
      <c r="LCA9" s="390"/>
      <c r="LCB9" s="520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0"/>
      <c r="LCP9" s="34"/>
      <c r="LCQ9" s="390"/>
      <c r="LCR9" s="520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0"/>
      <c r="LDF9" s="34"/>
      <c r="LDG9" s="390"/>
      <c r="LDH9" s="520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0"/>
      <c r="LDV9" s="34"/>
      <c r="LDW9" s="390"/>
      <c r="LDX9" s="520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0"/>
      <c r="LEL9" s="34"/>
      <c r="LEM9" s="390"/>
      <c r="LEN9" s="520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0"/>
      <c r="LFB9" s="34"/>
      <c r="LFC9" s="390"/>
      <c r="LFD9" s="520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0"/>
      <c r="LFR9" s="34"/>
      <c r="LFS9" s="390"/>
      <c r="LFT9" s="520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0"/>
      <c r="LGH9" s="34"/>
      <c r="LGI9" s="390"/>
      <c r="LGJ9" s="520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0"/>
      <c r="LGX9" s="34"/>
      <c r="LGY9" s="390"/>
      <c r="LGZ9" s="520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0"/>
      <c r="LHN9" s="34"/>
      <c r="LHO9" s="390"/>
      <c r="LHP9" s="520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0"/>
      <c r="LID9" s="34"/>
      <c r="LIE9" s="390"/>
      <c r="LIF9" s="520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0"/>
      <c r="LIT9" s="34"/>
      <c r="LIU9" s="390"/>
      <c r="LIV9" s="520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0"/>
      <c r="LJJ9" s="34"/>
      <c r="LJK9" s="390"/>
      <c r="LJL9" s="520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0"/>
      <c r="LJZ9" s="34"/>
      <c r="LKA9" s="390"/>
      <c r="LKB9" s="520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0"/>
      <c r="LKP9" s="34"/>
      <c r="LKQ9" s="390"/>
      <c r="LKR9" s="520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0"/>
      <c r="LLF9" s="34"/>
      <c r="LLG9" s="390"/>
      <c r="LLH9" s="520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0"/>
      <c r="LLV9" s="34"/>
      <c r="LLW9" s="390"/>
      <c r="LLX9" s="520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0"/>
      <c r="LML9" s="34"/>
      <c r="LMM9" s="390"/>
      <c r="LMN9" s="520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0"/>
      <c r="LNB9" s="34"/>
      <c r="LNC9" s="390"/>
      <c r="LND9" s="520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0"/>
      <c r="LNR9" s="34"/>
      <c r="LNS9" s="390"/>
      <c r="LNT9" s="520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0"/>
      <c r="LOH9" s="34"/>
      <c r="LOI9" s="390"/>
      <c r="LOJ9" s="520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0"/>
      <c r="LOX9" s="34"/>
      <c r="LOY9" s="390"/>
      <c r="LOZ9" s="520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0"/>
      <c r="LPN9" s="34"/>
      <c r="LPO9" s="390"/>
      <c r="LPP9" s="520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0"/>
      <c r="LQD9" s="34"/>
      <c r="LQE9" s="390"/>
      <c r="LQF9" s="520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0"/>
      <c r="LQT9" s="34"/>
      <c r="LQU9" s="390"/>
      <c r="LQV9" s="520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0"/>
      <c r="LRJ9" s="34"/>
      <c r="LRK9" s="390"/>
      <c r="LRL9" s="520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0"/>
      <c r="LRZ9" s="34"/>
      <c r="LSA9" s="390"/>
      <c r="LSB9" s="520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0"/>
      <c r="LSP9" s="34"/>
      <c r="LSQ9" s="390"/>
      <c r="LSR9" s="520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0"/>
      <c r="LTF9" s="34"/>
      <c r="LTG9" s="390"/>
      <c r="LTH9" s="520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0"/>
      <c r="LTV9" s="34"/>
      <c r="LTW9" s="390"/>
      <c r="LTX9" s="520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0"/>
      <c r="LUL9" s="34"/>
      <c r="LUM9" s="390"/>
      <c r="LUN9" s="520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0"/>
      <c r="LVB9" s="34"/>
      <c r="LVC9" s="390"/>
      <c r="LVD9" s="520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0"/>
      <c r="LVR9" s="34"/>
      <c r="LVS9" s="390"/>
      <c r="LVT9" s="520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0"/>
      <c r="LWH9" s="34"/>
      <c r="LWI9" s="390"/>
      <c r="LWJ9" s="520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0"/>
      <c r="LWX9" s="34"/>
      <c r="LWY9" s="390"/>
      <c r="LWZ9" s="520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0"/>
      <c r="LXN9" s="34"/>
      <c r="LXO9" s="390"/>
      <c r="LXP9" s="520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0"/>
      <c r="LYD9" s="34"/>
      <c r="LYE9" s="390"/>
      <c r="LYF9" s="520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0"/>
      <c r="LYT9" s="34"/>
      <c r="LYU9" s="390"/>
      <c r="LYV9" s="520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0"/>
      <c r="LZJ9" s="34"/>
      <c r="LZK9" s="390"/>
      <c r="LZL9" s="520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0"/>
      <c r="LZZ9" s="34"/>
      <c r="MAA9" s="390"/>
      <c r="MAB9" s="520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0"/>
      <c r="MAP9" s="34"/>
      <c r="MAQ9" s="390"/>
      <c r="MAR9" s="520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0"/>
      <c r="MBF9" s="34"/>
      <c r="MBG9" s="390"/>
      <c r="MBH9" s="520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0"/>
      <c r="MBV9" s="34"/>
      <c r="MBW9" s="390"/>
      <c r="MBX9" s="520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0"/>
      <c r="MCL9" s="34"/>
      <c r="MCM9" s="390"/>
      <c r="MCN9" s="520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0"/>
      <c r="MDB9" s="34"/>
      <c r="MDC9" s="390"/>
      <c r="MDD9" s="520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0"/>
      <c r="MDR9" s="34"/>
      <c r="MDS9" s="390"/>
      <c r="MDT9" s="520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0"/>
      <c r="MEH9" s="34"/>
      <c r="MEI9" s="390"/>
      <c r="MEJ9" s="520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0"/>
      <c r="MEX9" s="34"/>
      <c r="MEY9" s="390"/>
      <c r="MEZ9" s="520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0"/>
      <c r="MFN9" s="34"/>
      <c r="MFO9" s="390"/>
      <c r="MFP9" s="520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0"/>
      <c r="MGD9" s="34"/>
      <c r="MGE9" s="390"/>
      <c r="MGF9" s="520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0"/>
      <c r="MGT9" s="34"/>
      <c r="MGU9" s="390"/>
      <c r="MGV9" s="520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0"/>
      <c r="MHJ9" s="34"/>
      <c r="MHK9" s="390"/>
      <c r="MHL9" s="520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0"/>
      <c r="MHZ9" s="34"/>
      <c r="MIA9" s="390"/>
      <c r="MIB9" s="520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0"/>
      <c r="MIP9" s="34"/>
      <c r="MIQ9" s="390"/>
      <c r="MIR9" s="520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0"/>
      <c r="MJF9" s="34"/>
      <c r="MJG9" s="390"/>
      <c r="MJH9" s="520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0"/>
      <c r="MJV9" s="34"/>
      <c r="MJW9" s="390"/>
      <c r="MJX9" s="520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0"/>
      <c r="MKL9" s="34"/>
      <c r="MKM9" s="390"/>
      <c r="MKN9" s="520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0"/>
      <c r="MLB9" s="34"/>
      <c r="MLC9" s="390"/>
      <c r="MLD9" s="520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0"/>
      <c r="MLR9" s="34"/>
      <c r="MLS9" s="390"/>
      <c r="MLT9" s="520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0"/>
      <c r="MMH9" s="34"/>
      <c r="MMI9" s="390"/>
      <c r="MMJ9" s="520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0"/>
      <c r="MMX9" s="34"/>
      <c r="MMY9" s="390"/>
      <c r="MMZ9" s="520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0"/>
      <c r="MNN9" s="34"/>
      <c r="MNO9" s="390"/>
      <c r="MNP9" s="520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0"/>
      <c r="MOD9" s="34"/>
      <c r="MOE9" s="390"/>
      <c r="MOF9" s="520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0"/>
      <c r="MOT9" s="34"/>
      <c r="MOU9" s="390"/>
      <c r="MOV9" s="520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0"/>
      <c r="MPJ9" s="34"/>
      <c r="MPK9" s="390"/>
      <c r="MPL9" s="520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0"/>
      <c r="MPZ9" s="34"/>
      <c r="MQA9" s="390"/>
      <c r="MQB9" s="520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0"/>
      <c r="MQP9" s="34"/>
      <c r="MQQ9" s="390"/>
      <c r="MQR9" s="520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0"/>
      <c r="MRF9" s="34"/>
      <c r="MRG9" s="390"/>
      <c r="MRH9" s="520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0"/>
      <c r="MRV9" s="34"/>
      <c r="MRW9" s="390"/>
      <c r="MRX9" s="520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0"/>
      <c r="MSL9" s="34"/>
      <c r="MSM9" s="390"/>
      <c r="MSN9" s="520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0"/>
      <c r="MTB9" s="34"/>
      <c r="MTC9" s="390"/>
      <c r="MTD9" s="520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0"/>
      <c r="MTR9" s="34"/>
      <c r="MTS9" s="390"/>
      <c r="MTT9" s="520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0"/>
      <c r="MUH9" s="34"/>
      <c r="MUI9" s="390"/>
      <c r="MUJ9" s="520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0"/>
      <c r="MUX9" s="34"/>
      <c r="MUY9" s="390"/>
      <c r="MUZ9" s="520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0"/>
      <c r="MVN9" s="34"/>
      <c r="MVO9" s="390"/>
      <c r="MVP9" s="520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0"/>
      <c r="MWD9" s="34"/>
      <c r="MWE9" s="390"/>
      <c r="MWF9" s="520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0"/>
      <c r="MWT9" s="34"/>
      <c r="MWU9" s="390"/>
      <c r="MWV9" s="520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0"/>
      <c r="MXJ9" s="34"/>
      <c r="MXK9" s="390"/>
      <c r="MXL9" s="520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0"/>
      <c r="MXZ9" s="34"/>
      <c r="MYA9" s="390"/>
      <c r="MYB9" s="520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0"/>
      <c r="MYP9" s="34"/>
      <c r="MYQ9" s="390"/>
      <c r="MYR9" s="520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0"/>
      <c r="MZF9" s="34"/>
      <c r="MZG9" s="390"/>
      <c r="MZH9" s="520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0"/>
      <c r="MZV9" s="34"/>
      <c r="MZW9" s="390"/>
      <c r="MZX9" s="520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0"/>
      <c r="NAL9" s="34"/>
      <c r="NAM9" s="390"/>
      <c r="NAN9" s="520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0"/>
      <c r="NBB9" s="34"/>
      <c r="NBC9" s="390"/>
      <c r="NBD9" s="520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0"/>
      <c r="NBR9" s="34"/>
      <c r="NBS9" s="390"/>
      <c r="NBT9" s="520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0"/>
      <c r="NCH9" s="34"/>
      <c r="NCI9" s="390"/>
      <c r="NCJ9" s="520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0"/>
      <c r="NCX9" s="34"/>
      <c r="NCY9" s="390"/>
      <c r="NCZ9" s="520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0"/>
      <c r="NDN9" s="34"/>
      <c r="NDO9" s="390"/>
      <c r="NDP9" s="520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0"/>
      <c r="NED9" s="34"/>
      <c r="NEE9" s="390"/>
      <c r="NEF9" s="520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0"/>
      <c r="NET9" s="34"/>
      <c r="NEU9" s="390"/>
      <c r="NEV9" s="520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0"/>
      <c r="NFJ9" s="34"/>
      <c r="NFK9" s="390"/>
      <c r="NFL9" s="520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0"/>
      <c r="NFZ9" s="34"/>
      <c r="NGA9" s="390"/>
      <c r="NGB9" s="520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0"/>
      <c r="NGP9" s="34"/>
      <c r="NGQ9" s="390"/>
      <c r="NGR9" s="520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0"/>
      <c r="NHF9" s="34"/>
      <c r="NHG9" s="390"/>
      <c r="NHH9" s="520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0"/>
      <c r="NHV9" s="34"/>
      <c r="NHW9" s="390"/>
      <c r="NHX9" s="520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0"/>
      <c r="NIL9" s="34"/>
      <c r="NIM9" s="390"/>
      <c r="NIN9" s="520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0"/>
      <c r="NJB9" s="34"/>
      <c r="NJC9" s="390"/>
      <c r="NJD9" s="520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0"/>
      <c r="NJR9" s="34"/>
      <c r="NJS9" s="390"/>
      <c r="NJT9" s="520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0"/>
      <c r="NKH9" s="34"/>
      <c r="NKI9" s="390"/>
      <c r="NKJ9" s="520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0"/>
      <c r="NKX9" s="34"/>
      <c r="NKY9" s="390"/>
      <c r="NKZ9" s="520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0"/>
      <c r="NLN9" s="34"/>
      <c r="NLO9" s="390"/>
      <c r="NLP9" s="520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0"/>
      <c r="NMD9" s="34"/>
      <c r="NME9" s="390"/>
      <c r="NMF9" s="520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0"/>
      <c r="NMT9" s="34"/>
      <c r="NMU9" s="390"/>
      <c r="NMV9" s="520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0"/>
      <c r="NNJ9" s="34"/>
      <c r="NNK9" s="390"/>
      <c r="NNL9" s="520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0"/>
      <c r="NNZ9" s="34"/>
      <c r="NOA9" s="390"/>
      <c r="NOB9" s="520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0"/>
      <c r="NOP9" s="34"/>
      <c r="NOQ9" s="390"/>
      <c r="NOR9" s="520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0"/>
      <c r="NPF9" s="34"/>
      <c r="NPG9" s="390"/>
      <c r="NPH9" s="520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0"/>
      <c r="NPV9" s="34"/>
      <c r="NPW9" s="390"/>
      <c r="NPX9" s="520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0"/>
      <c r="NQL9" s="34"/>
      <c r="NQM9" s="390"/>
      <c r="NQN9" s="520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0"/>
      <c r="NRB9" s="34"/>
      <c r="NRC9" s="390"/>
      <c r="NRD9" s="520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0"/>
      <c r="NRR9" s="34"/>
      <c r="NRS9" s="390"/>
      <c r="NRT9" s="520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0"/>
      <c r="NSH9" s="34"/>
      <c r="NSI9" s="390"/>
      <c r="NSJ9" s="520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0"/>
      <c r="NSX9" s="34"/>
      <c r="NSY9" s="390"/>
      <c r="NSZ9" s="520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0"/>
      <c r="NTN9" s="34"/>
      <c r="NTO9" s="390"/>
      <c r="NTP9" s="520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0"/>
      <c r="NUD9" s="34"/>
      <c r="NUE9" s="390"/>
      <c r="NUF9" s="520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0"/>
      <c r="NUT9" s="34"/>
      <c r="NUU9" s="390"/>
      <c r="NUV9" s="520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0"/>
      <c r="NVJ9" s="34"/>
      <c r="NVK9" s="390"/>
      <c r="NVL9" s="520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0"/>
      <c r="NVZ9" s="34"/>
      <c r="NWA9" s="390"/>
      <c r="NWB9" s="520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0"/>
      <c r="NWP9" s="34"/>
      <c r="NWQ9" s="390"/>
      <c r="NWR9" s="520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0"/>
      <c r="NXF9" s="34"/>
      <c r="NXG9" s="390"/>
      <c r="NXH9" s="520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0"/>
      <c r="NXV9" s="34"/>
      <c r="NXW9" s="390"/>
      <c r="NXX9" s="520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0"/>
      <c r="NYL9" s="34"/>
      <c r="NYM9" s="390"/>
      <c r="NYN9" s="520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0"/>
      <c r="NZB9" s="34"/>
      <c r="NZC9" s="390"/>
      <c r="NZD9" s="520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0"/>
      <c r="NZR9" s="34"/>
      <c r="NZS9" s="390"/>
      <c r="NZT9" s="520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0"/>
      <c r="OAH9" s="34"/>
      <c r="OAI9" s="390"/>
      <c r="OAJ9" s="520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0"/>
      <c r="OAX9" s="34"/>
      <c r="OAY9" s="390"/>
      <c r="OAZ9" s="520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0"/>
      <c r="OBN9" s="34"/>
      <c r="OBO9" s="390"/>
      <c r="OBP9" s="520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0"/>
      <c r="OCD9" s="34"/>
      <c r="OCE9" s="390"/>
      <c r="OCF9" s="520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0"/>
      <c r="OCT9" s="34"/>
      <c r="OCU9" s="390"/>
      <c r="OCV9" s="520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0"/>
      <c r="ODJ9" s="34"/>
      <c r="ODK9" s="390"/>
      <c r="ODL9" s="520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0"/>
      <c r="ODZ9" s="34"/>
      <c r="OEA9" s="390"/>
      <c r="OEB9" s="520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0"/>
      <c r="OEP9" s="34"/>
      <c r="OEQ9" s="390"/>
      <c r="OER9" s="520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0"/>
      <c r="OFF9" s="34"/>
      <c r="OFG9" s="390"/>
      <c r="OFH9" s="520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0"/>
      <c r="OFV9" s="34"/>
      <c r="OFW9" s="390"/>
      <c r="OFX9" s="520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0"/>
      <c r="OGL9" s="34"/>
      <c r="OGM9" s="390"/>
      <c r="OGN9" s="520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0"/>
      <c r="OHB9" s="34"/>
      <c r="OHC9" s="390"/>
      <c r="OHD9" s="520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0"/>
      <c r="OHR9" s="34"/>
      <c r="OHS9" s="390"/>
      <c r="OHT9" s="520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0"/>
      <c r="OIH9" s="34"/>
      <c r="OII9" s="390"/>
      <c r="OIJ9" s="520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0"/>
      <c r="OIX9" s="34"/>
      <c r="OIY9" s="390"/>
      <c r="OIZ9" s="520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0"/>
      <c r="OJN9" s="34"/>
      <c r="OJO9" s="390"/>
      <c r="OJP9" s="520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0"/>
      <c r="OKD9" s="34"/>
      <c r="OKE9" s="390"/>
      <c r="OKF9" s="520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0"/>
      <c r="OKT9" s="34"/>
      <c r="OKU9" s="390"/>
      <c r="OKV9" s="520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0"/>
      <c r="OLJ9" s="34"/>
      <c r="OLK9" s="390"/>
      <c r="OLL9" s="520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0"/>
      <c r="OLZ9" s="34"/>
      <c r="OMA9" s="390"/>
      <c r="OMB9" s="520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0"/>
      <c r="OMP9" s="34"/>
      <c r="OMQ9" s="390"/>
      <c r="OMR9" s="520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0"/>
      <c r="ONF9" s="34"/>
      <c r="ONG9" s="390"/>
      <c r="ONH9" s="520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0"/>
      <c r="ONV9" s="34"/>
      <c r="ONW9" s="390"/>
      <c r="ONX9" s="520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0"/>
      <c r="OOL9" s="34"/>
      <c r="OOM9" s="390"/>
      <c r="OON9" s="520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0"/>
      <c r="OPB9" s="34"/>
      <c r="OPC9" s="390"/>
      <c r="OPD9" s="520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0"/>
      <c r="OPR9" s="34"/>
      <c r="OPS9" s="390"/>
      <c r="OPT9" s="520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0"/>
      <c r="OQH9" s="34"/>
      <c r="OQI9" s="390"/>
      <c r="OQJ9" s="520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0"/>
      <c r="OQX9" s="34"/>
      <c r="OQY9" s="390"/>
      <c r="OQZ9" s="520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0"/>
      <c r="ORN9" s="34"/>
      <c r="ORO9" s="390"/>
      <c r="ORP9" s="520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0"/>
      <c r="OSD9" s="34"/>
      <c r="OSE9" s="390"/>
      <c r="OSF9" s="520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0"/>
      <c r="OST9" s="34"/>
      <c r="OSU9" s="390"/>
      <c r="OSV9" s="520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0"/>
      <c r="OTJ9" s="34"/>
      <c r="OTK9" s="390"/>
      <c r="OTL9" s="520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0"/>
      <c r="OTZ9" s="34"/>
      <c r="OUA9" s="390"/>
      <c r="OUB9" s="520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0"/>
      <c r="OUP9" s="34"/>
      <c r="OUQ9" s="390"/>
      <c r="OUR9" s="520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0"/>
      <c r="OVF9" s="34"/>
      <c r="OVG9" s="390"/>
      <c r="OVH9" s="520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0"/>
      <c r="OVV9" s="34"/>
      <c r="OVW9" s="390"/>
      <c r="OVX9" s="520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0"/>
      <c r="OWL9" s="34"/>
      <c r="OWM9" s="390"/>
      <c r="OWN9" s="520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0"/>
      <c r="OXB9" s="34"/>
      <c r="OXC9" s="390"/>
      <c r="OXD9" s="520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0"/>
      <c r="OXR9" s="34"/>
      <c r="OXS9" s="390"/>
      <c r="OXT9" s="520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0"/>
      <c r="OYH9" s="34"/>
      <c r="OYI9" s="390"/>
      <c r="OYJ9" s="520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0"/>
      <c r="OYX9" s="34"/>
      <c r="OYY9" s="390"/>
      <c r="OYZ9" s="520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0"/>
      <c r="OZN9" s="34"/>
      <c r="OZO9" s="390"/>
      <c r="OZP9" s="520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0"/>
      <c r="PAD9" s="34"/>
      <c r="PAE9" s="390"/>
      <c r="PAF9" s="520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0"/>
      <c r="PAT9" s="34"/>
      <c r="PAU9" s="390"/>
      <c r="PAV9" s="520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0"/>
      <c r="PBJ9" s="34"/>
      <c r="PBK9" s="390"/>
      <c r="PBL9" s="520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0"/>
      <c r="PBZ9" s="34"/>
      <c r="PCA9" s="390"/>
      <c r="PCB9" s="520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0"/>
      <c r="PCP9" s="34"/>
      <c r="PCQ9" s="390"/>
      <c r="PCR9" s="520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0"/>
      <c r="PDF9" s="34"/>
      <c r="PDG9" s="390"/>
      <c r="PDH9" s="520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0"/>
      <c r="PDV9" s="34"/>
      <c r="PDW9" s="390"/>
      <c r="PDX9" s="520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0"/>
      <c r="PEL9" s="34"/>
      <c r="PEM9" s="390"/>
      <c r="PEN9" s="520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0"/>
      <c r="PFB9" s="34"/>
      <c r="PFC9" s="390"/>
      <c r="PFD9" s="520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0"/>
      <c r="PFR9" s="34"/>
      <c r="PFS9" s="390"/>
      <c r="PFT9" s="520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0"/>
      <c r="PGH9" s="34"/>
      <c r="PGI9" s="390"/>
      <c r="PGJ9" s="520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0"/>
      <c r="PGX9" s="34"/>
      <c r="PGY9" s="390"/>
      <c r="PGZ9" s="520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0"/>
      <c r="PHN9" s="34"/>
      <c r="PHO9" s="390"/>
      <c r="PHP9" s="520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0"/>
      <c r="PID9" s="34"/>
      <c r="PIE9" s="390"/>
      <c r="PIF9" s="520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0"/>
      <c r="PIT9" s="34"/>
      <c r="PIU9" s="390"/>
      <c r="PIV9" s="520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0"/>
      <c r="PJJ9" s="34"/>
      <c r="PJK9" s="390"/>
      <c r="PJL9" s="520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0"/>
      <c r="PJZ9" s="34"/>
      <c r="PKA9" s="390"/>
      <c r="PKB9" s="520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0"/>
      <c r="PKP9" s="34"/>
      <c r="PKQ9" s="390"/>
      <c r="PKR9" s="520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0"/>
      <c r="PLF9" s="34"/>
      <c r="PLG9" s="390"/>
      <c r="PLH9" s="520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0"/>
      <c r="PLV9" s="34"/>
      <c r="PLW9" s="390"/>
      <c r="PLX9" s="520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0"/>
      <c r="PML9" s="34"/>
      <c r="PMM9" s="390"/>
      <c r="PMN9" s="520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0"/>
      <c r="PNB9" s="34"/>
      <c r="PNC9" s="390"/>
      <c r="PND9" s="520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0"/>
      <c r="PNR9" s="34"/>
      <c r="PNS9" s="390"/>
      <c r="PNT9" s="520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0"/>
      <c r="POH9" s="34"/>
      <c r="POI9" s="390"/>
      <c r="POJ9" s="520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0"/>
      <c r="POX9" s="34"/>
      <c r="POY9" s="390"/>
      <c r="POZ9" s="520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0"/>
      <c r="PPN9" s="34"/>
      <c r="PPO9" s="390"/>
      <c r="PPP9" s="520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0"/>
      <c r="PQD9" s="34"/>
      <c r="PQE9" s="390"/>
      <c r="PQF9" s="520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0"/>
      <c r="PQT9" s="34"/>
      <c r="PQU9" s="390"/>
      <c r="PQV9" s="520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0"/>
      <c r="PRJ9" s="34"/>
      <c r="PRK9" s="390"/>
      <c r="PRL9" s="520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0"/>
      <c r="PRZ9" s="34"/>
      <c r="PSA9" s="390"/>
      <c r="PSB9" s="520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0"/>
      <c r="PSP9" s="34"/>
      <c r="PSQ9" s="390"/>
      <c r="PSR9" s="520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0"/>
      <c r="PTF9" s="34"/>
      <c r="PTG9" s="390"/>
      <c r="PTH9" s="520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0"/>
      <c r="PTV9" s="34"/>
      <c r="PTW9" s="390"/>
      <c r="PTX9" s="520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0"/>
      <c r="PUL9" s="34"/>
      <c r="PUM9" s="390"/>
      <c r="PUN9" s="520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0"/>
      <c r="PVB9" s="34"/>
      <c r="PVC9" s="390"/>
      <c r="PVD9" s="520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0"/>
      <c r="PVR9" s="34"/>
      <c r="PVS9" s="390"/>
      <c r="PVT9" s="520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0"/>
      <c r="PWH9" s="34"/>
      <c r="PWI9" s="390"/>
      <c r="PWJ9" s="520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0"/>
      <c r="PWX9" s="34"/>
      <c r="PWY9" s="390"/>
      <c r="PWZ9" s="520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0"/>
      <c r="PXN9" s="34"/>
      <c r="PXO9" s="390"/>
      <c r="PXP9" s="520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0"/>
      <c r="PYD9" s="34"/>
      <c r="PYE9" s="390"/>
      <c r="PYF9" s="520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0"/>
      <c r="PYT9" s="34"/>
      <c r="PYU9" s="390"/>
      <c r="PYV9" s="520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0"/>
      <c r="PZJ9" s="34"/>
      <c r="PZK9" s="390"/>
      <c r="PZL9" s="520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0"/>
      <c r="PZZ9" s="34"/>
      <c r="QAA9" s="390"/>
      <c r="QAB9" s="520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0"/>
      <c r="QAP9" s="34"/>
      <c r="QAQ9" s="390"/>
      <c r="QAR9" s="520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0"/>
      <c r="QBF9" s="34"/>
      <c r="QBG9" s="390"/>
      <c r="QBH9" s="520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0"/>
      <c r="QBV9" s="34"/>
      <c r="QBW9" s="390"/>
      <c r="QBX9" s="520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0"/>
      <c r="QCL9" s="34"/>
      <c r="QCM9" s="390"/>
      <c r="QCN9" s="520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0"/>
      <c r="QDB9" s="34"/>
      <c r="QDC9" s="390"/>
      <c r="QDD9" s="520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0"/>
      <c r="QDR9" s="34"/>
      <c r="QDS9" s="390"/>
      <c r="QDT9" s="520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0"/>
      <c r="QEH9" s="34"/>
      <c r="QEI9" s="390"/>
      <c r="QEJ9" s="520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0"/>
      <c r="QEX9" s="34"/>
      <c r="QEY9" s="390"/>
      <c r="QEZ9" s="520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0"/>
      <c r="QFN9" s="34"/>
      <c r="QFO9" s="390"/>
      <c r="QFP9" s="520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0"/>
      <c r="QGD9" s="34"/>
      <c r="QGE9" s="390"/>
      <c r="QGF9" s="520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0"/>
      <c r="QGT9" s="34"/>
      <c r="QGU9" s="390"/>
      <c r="QGV9" s="520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0"/>
      <c r="QHJ9" s="34"/>
      <c r="QHK9" s="390"/>
      <c r="QHL9" s="520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0"/>
      <c r="QHZ9" s="34"/>
      <c r="QIA9" s="390"/>
      <c r="QIB9" s="520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0"/>
      <c r="QIP9" s="34"/>
      <c r="QIQ9" s="390"/>
      <c r="QIR9" s="520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0"/>
      <c r="QJF9" s="34"/>
      <c r="QJG9" s="390"/>
      <c r="QJH9" s="520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0"/>
      <c r="QJV9" s="34"/>
      <c r="QJW9" s="390"/>
      <c r="QJX9" s="520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0"/>
      <c r="QKL9" s="34"/>
      <c r="QKM9" s="390"/>
      <c r="QKN9" s="520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0"/>
      <c r="QLB9" s="34"/>
      <c r="QLC9" s="390"/>
      <c r="QLD9" s="520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0"/>
      <c r="QLR9" s="34"/>
      <c r="QLS9" s="390"/>
      <c r="QLT9" s="520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0"/>
      <c r="QMH9" s="34"/>
      <c r="QMI9" s="390"/>
      <c r="QMJ9" s="520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0"/>
      <c r="QMX9" s="34"/>
      <c r="QMY9" s="390"/>
      <c r="QMZ9" s="520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0"/>
      <c r="QNN9" s="34"/>
      <c r="QNO9" s="390"/>
      <c r="QNP9" s="520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0"/>
      <c r="QOD9" s="34"/>
      <c r="QOE9" s="390"/>
      <c r="QOF9" s="520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0"/>
      <c r="QOT9" s="34"/>
      <c r="QOU9" s="390"/>
      <c r="QOV9" s="520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0"/>
      <c r="QPJ9" s="34"/>
      <c r="QPK9" s="390"/>
      <c r="QPL9" s="520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0"/>
      <c r="QPZ9" s="34"/>
      <c r="QQA9" s="390"/>
      <c r="QQB9" s="520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0"/>
      <c r="QQP9" s="34"/>
      <c r="QQQ9" s="390"/>
      <c r="QQR9" s="520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0"/>
      <c r="QRF9" s="34"/>
      <c r="QRG9" s="390"/>
      <c r="QRH9" s="520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0"/>
      <c r="QRV9" s="34"/>
      <c r="QRW9" s="390"/>
      <c r="QRX9" s="520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0"/>
      <c r="QSL9" s="34"/>
      <c r="QSM9" s="390"/>
      <c r="QSN9" s="520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0"/>
      <c r="QTB9" s="34"/>
      <c r="QTC9" s="390"/>
      <c r="QTD9" s="520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0"/>
      <c r="QTR9" s="34"/>
      <c r="QTS9" s="390"/>
      <c r="QTT9" s="520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0"/>
      <c r="QUH9" s="34"/>
      <c r="QUI9" s="390"/>
      <c r="QUJ9" s="520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0"/>
      <c r="QUX9" s="34"/>
      <c r="QUY9" s="390"/>
      <c r="QUZ9" s="520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0"/>
      <c r="QVN9" s="34"/>
      <c r="QVO9" s="390"/>
      <c r="QVP9" s="520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0"/>
      <c r="QWD9" s="34"/>
      <c r="QWE9" s="390"/>
      <c r="QWF9" s="520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0"/>
      <c r="QWT9" s="34"/>
      <c r="QWU9" s="390"/>
      <c r="QWV9" s="520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0"/>
      <c r="QXJ9" s="34"/>
      <c r="QXK9" s="390"/>
      <c r="QXL9" s="520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0"/>
      <c r="QXZ9" s="34"/>
      <c r="QYA9" s="390"/>
      <c r="QYB9" s="520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0"/>
      <c r="QYP9" s="34"/>
      <c r="QYQ9" s="390"/>
      <c r="QYR9" s="520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0"/>
      <c r="QZF9" s="34"/>
      <c r="QZG9" s="390"/>
      <c r="QZH9" s="520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0"/>
      <c r="QZV9" s="34"/>
      <c r="QZW9" s="390"/>
      <c r="QZX9" s="520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0"/>
      <c r="RAL9" s="34"/>
      <c r="RAM9" s="390"/>
      <c r="RAN9" s="520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0"/>
      <c r="RBB9" s="34"/>
      <c r="RBC9" s="390"/>
      <c r="RBD9" s="520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0"/>
      <c r="RBR9" s="34"/>
      <c r="RBS9" s="390"/>
      <c r="RBT9" s="520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0"/>
      <c r="RCH9" s="34"/>
      <c r="RCI9" s="390"/>
      <c r="RCJ9" s="520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0"/>
      <c r="RCX9" s="34"/>
      <c r="RCY9" s="390"/>
      <c r="RCZ9" s="520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0"/>
      <c r="RDN9" s="34"/>
      <c r="RDO9" s="390"/>
      <c r="RDP9" s="520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0"/>
      <c r="RED9" s="34"/>
      <c r="REE9" s="390"/>
      <c r="REF9" s="520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0"/>
      <c r="RET9" s="34"/>
      <c r="REU9" s="390"/>
      <c r="REV9" s="520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0"/>
      <c r="RFJ9" s="34"/>
      <c r="RFK9" s="390"/>
      <c r="RFL9" s="520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0"/>
      <c r="RFZ9" s="34"/>
      <c r="RGA9" s="390"/>
      <c r="RGB9" s="520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0"/>
      <c r="RGP9" s="34"/>
      <c r="RGQ9" s="390"/>
      <c r="RGR9" s="520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0"/>
      <c r="RHF9" s="34"/>
      <c r="RHG9" s="390"/>
      <c r="RHH9" s="520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0"/>
      <c r="RHV9" s="34"/>
      <c r="RHW9" s="390"/>
      <c r="RHX9" s="520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0"/>
      <c r="RIL9" s="34"/>
      <c r="RIM9" s="390"/>
      <c r="RIN9" s="520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0"/>
      <c r="RJB9" s="34"/>
      <c r="RJC9" s="390"/>
      <c r="RJD9" s="520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0"/>
      <c r="RJR9" s="34"/>
      <c r="RJS9" s="390"/>
      <c r="RJT9" s="520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0"/>
      <c r="RKH9" s="34"/>
      <c r="RKI9" s="390"/>
      <c r="RKJ9" s="520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0"/>
      <c r="RKX9" s="34"/>
      <c r="RKY9" s="390"/>
      <c r="RKZ9" s="520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0"/>
      <c r="RLN9" s="34"/>
      <c r="RLO9" s="390"/>
      <c r="RLP9" s="520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0"/>
      <c r="RMD9" s="34"/>
      <c r="RME9" s="390"/>
      <c r="RMF9" s="520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0"/>
      <c r="RMT9" s="34"/>
      <c r="RMU9" s="390"/>
      <c r="RMV9" s="520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0"/>
      <c r="RNJ9" s="34"/>
      <c r="RNK9" s="390"/>
      <c r="RNL9" s="520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0"/>
      <c r="RNZ9" s="34"/>
      <c r="ROA9" s="390"/>
      <c r="ROB9" s="520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0"/>
      <c r="ROP9" s="34"/>
      <c r="ROQ9" s="390"/>
      <c r="ROR9" s="520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0"/>
      <c r="RPF9" s="34"/>
      <c r="RPG9" s="390"/>
      <c r="RPH9" s="520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0"/>
      <c r="RPV9" s="34"/>
      <c r="RPW9" s="390"/>
      <c r="RPX9" s="520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0"/>
      <c r="RQL9" s="34"/>
      <c r="RQM9" s="390"/>
      <c r="RQN9" s="520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0"/>
      <c r="RRB9" s="34"/>
      <c r="RRC9" s="390"/>
      <c r="RRD9" s="520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0"/>
      <c r="RRR9" s="34"/>
      <c r="RRS9" s="390"/>
      <c r="RRT9" s="520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0"/>
      <c r="RSH9" s="34"/>
      <c r="RSI9" s="390"/>
      <c r="RSJ9" s="520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0"/>
      <c r="RSX9" s="34"/>
      <c r="RSY9" s="390"/>
      <c r="RSZ9" s="520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0"/>
      <c r="RTN9" s="34"/>
      <c r="RTO9" s="390"/>
      <c r="RTP9" s="520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0"/>
      <c r="RUD9" s="34"/>
      <c r="RUE9" s="390"/>
      <c r="RUF9" s="520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0"/>
      <c r="RUT9" s="34"/>
      <c r="RUU9" s="390"/>
      <c r="RUV9" s="520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0"/>
      <c r="RVJ9" s="34"/>
      <c r="RVK9" s="390"/>
      <c r="RVL9" s="520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0"/>
      <c r="RVZ9" s="34"/>
      <c r="RWA9" s="390"/>
      <c r="RWB9" s="520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0"/>
      <c r="RWP9" s="34"/>
      <c r="RWQ9" s="390"/>
      <c r="RWR9" s="520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0"/>
      <c r="RXF9" s="34"/>
      <c r="RXG9" s="390"/>
      <c r="RXH9" s="520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0"/>
      <c r="RXV9" s="34"/>
      <c r="RXW9" s="390"/>
      <c r="RXX9" s="520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0"/>
      <c r="RYL9" s="34"/>
      <c r="RYM9" s="390"/>
      <c r="RYN9" s="520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0"/>
      <c r="RZB9" s="34"/>
      <c r="RZC9" s="390"/>
      <c r="RZD9" s="520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0"/>
      <c r="RZR9" s="34"/>
      <c r="RZS9" s="390"/>
      <c r="RZT9" s="520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0"/>
      <c r="SAH9" s="34"/>
      <c r="SAI9" s="390"/>
      <c r="SAJ9" s="520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0"/>
      <c r="SAX9" s="34"/>
      <c r="SAY9" s="390"/>
      <c r="SAZ9" s="520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0"/>
      <c r="SBN9" s="34"/>
      <c r="SBO9" s="390"/>
      <c r="SBP9" s="520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0"/>
      <c r="SCD9" s="34"/>
      <c r="SCE9" s="390"/>
      <c r="SCF9" s="520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0"/>
      <c r="SCT9" s="34"/>
      <c r="SCU9" s="390"/>
      <c r="SCV9" s="520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0"/>
      <c r="SDJ9" s="34"/>
      <c r="SDK9" s="390"/>
      <c r="SDL9" s="520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0"/>
      <c r="SDZ9" s="34"/>
      <c r="SEA9" s="390"/>
      <c r="SEB9" s="520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0"/>
      <c r="SEP9" s="34"/>
      <c r="SEQ9" s="390"/>
      <c r="SER9" s="520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0"/>
      <c r="SFF9" s="34"/>
      <c r="SFG9" s="390"/>
      <c r="SFH9" s="520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0"/>
      <c r="SFV9" s="34"/>
      <c r="SFW9" s="390"/>
      <c r="SFX9" s="520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0"/>
      <c r="SGL9" s="34"/>
      <c r="SGM9" s="390"/>
      <c r="SGN9" s="520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0"/>
      <c r="SHB9" s="34"/>
      <c r="SHC9" s="390"/>
      <c r="SHD9" s="520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0"/>
      <c r="SHR9" s="34"/>
      <c r="SHS9" s="390"/>
      <c r="SHT9" s="520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0"/>
      <c r="SIH9" s="34"/>
      <c r="SII9" s="390"/>
      <c r="SIJ9" s="520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0"/>
      <c r="SIX9" s="34"/>
      <c r="SIY9" s="390"/>
      <c r="SIZ9" s="520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0"/>
      <c r="SJN9" s="34"/>
      <c r="SJO9" s="390"/>
      <c r="SJP9" s="520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0"/>
      <c r="SKD9" s="34"/>
      <c r="SKE9" s="390"/>
      <c r="SKF9" s="520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0"/>
      <c r="SKT9" s="34"/>
      <c r="SKU9" s="390"/>
      <c r="SKV9" s="520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0"/>
      <c r="SLJ9" s="34"/>
      <c r="SLK9" s="390"/>
      <c r="SLL9" s="520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0"/>
      <c r="SLZ9" s="34"/>
      <c r="SMA9" s="390"/>
      <c r="SMB9" s="520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0"/>
      <c r="SMP9" s="34"/>
      <c r="SMQ9" s="390"/>
      <c r="SMR9" s="520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0"/>
      <c r="SNF9" s="34"/>
      <c r="SNG9" s="390"/>
      <c r="SNH9" s="520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0"/>
      <c r="SNV9" s="34"/>
      <c r="SNW9" s="390"/>
      <c r="SNX9" s="520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0"/>
      <c r="SOL9" s="34"/>
      <c r="SOM9" s="390"/>
      <c r="SON9" s="520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0"/>
      <c r="SPB9" s="34"/>
      <c r="SPC9" s="390"/>
      <c r="SPD9" s="520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0"/>
      <c r="SPR9" s="34"/>
      <c r="SPS9" s="390"/>
      <c r="SPT9" s="520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0"/>
      <c r="SQH9" s="34"/>
      <c r="SQI9" s="390"/>
      <c r="SQJ9" s="520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0"/>
      <c r="SQX9" s="34"/>
      <c r="SQY9" s="390"/>
      <c r="SQZ9" s="520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0"/>
      <c r="SRN9" s="34"/>
      <c r="SRO9" s="390"/>
      <c r="SRP9" s="520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0"/>
      <c r="SSD9" s="34"/>
      <c r="SSE9" s="390"/>
      <c r="SSF9" s="520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0"/>
      <c r="SST9" s="34"/>
      <c r="SSU9" s="390"/>
      <c r="SSV9" s="520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0"/>
      <c r="STJ9" s="34"/>
      <c r="STK9" s="390"/>
      <c r="STL9" s="520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0"/>
      <c r="STZ9" s="34"/>
      <c r="SUA9" s="390"/>
      <c r="SUB9" s="520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0"/>
      <c r="SUP9" s="34"/>
      <c r="SUQ9" s="390"/>
      <c r="SUR9" s="520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0"/>
      <c r="SVF9" s="34"/>
      <c r="SVG9" s="390"/>
      <c r="SVH9" s="520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0"/>
      <c r="SVV9" s="34"/>
      <c r="SVW9" s="390"/>
      <c r="SVX9" s="520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0"/>
      <c r="SWL9" s="34"/>
      <c r="SWM9" s="390"/>
      <c r="SWN9" s="520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0"/>
      <c r="SXB9" s="34"/>
      <c r="SXC9" s="390"/>
      <c r="SXD9" s="520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0"/>
      <c r="SXR9" s="34"/>
      <c r="SXS9" s="390"/>
      <c r="SXT9" s="520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0"/>
      <c r="SYH9" s="34"/>
      <c r="SYI9" s="390"/>
      <c r="SYJ9" s="520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0"/>
      <c r="SYX9" s="34"/>
      <c r="SYY9" s="390"/>
      <c r="SYZ9" s="520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0"/>
      <c r="SZN9" s="34"/>
      <c r="SZO9" s="390"/>
      <c r="SZP9" s="520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0"/>
      <c r="TAD9" s="34"/>
      <c r="TAE9" s="390"/>
      <c r="TAF9" s="520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0"/>
      <c r="TAT9" s="34"/>
      <c r="TAU9" s="390"/>
      <c r="TAV9" s="520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0"/>
      <c r="TBJ9" s="34"/>
      <c r="TBK9" s="390"/>
      <c r="TBL9" s="520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0"/>
      <c r="TBZ9" s="34"/>
      <c r="TCA9" s="390"/>
      <c r="TCB9" s="520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0"/>
      <c r="TCP9" s="34"/>
      <c r="TCQ9" s="390"/>
      <c r="TCR9" s="520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0"/>
      <c r="TDF9" s="34"/>
      <c r="TDG9" s="390"/>
      <c r="TDH9" s="520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0"/>
      <c r="TDV9" s="34"/>
      <c r="TDW9" s="390"/>
      <c r="TDX9" s="520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0"/>
      <c r="TEL9" s="34"/>
      <c r="TEM9" s="390"/>
      <c r="TEN9" s="520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0"/>
      <c r="TFB9" s="34"/>
      <c r="TFC9" s="390"/>
      <c r="TFD9" s="520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0"/>
      <c r="TFR9" s="34"/>
      <c r="TFS9" s="390"/>
      <c r="TFT9" s="520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0"/>
      <c r="TGH9" s="34"/>
      <c r="TGI9" s="390"/>
      <c r="TGJ9" s="520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0"/>
      <c r="TGX9" s="34"/>
      <c r="TGY9" s="390"/>
      <c r="TGZ9" s="520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0"/>
      <c r="THN9" s="34"/>
      <c r="THO9" s="390"/>
      <c r="THP9" s="520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0"/>
      <c r="TID9" s="34"/>
      <c r="TIE9" s="390"/>
      <c r="TIF9" s="520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0"/>
      <c r="TIT9" s="34"/>
      <c r="TIU9" s="390"/>
      <c r="TIV9" s="520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0"/>
      <c r="TJJ9" s="34"/>
      <c r="TJK9" s="390"/>
      <c r="TJL9" s="520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0"/>
      <c r="TJZ9" s="34"/>
      <c r="TKA9" s="390"/>
      <c r="TKB9" s="520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0"/>
      <c r="TKP9" s="34"/>
      <c r="TKQ9" s="390"/>
      <c r="TKR9" s="520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0"/>
      <c r="TLF9" s="34"/>
      <c r="TLG9" s="390"/>
      <c r="TLH9" s="520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0"/>
      <c r="TLV9" s="34"/>
      <c r="TLW9" s="390"/>
      <c r="TLX9" s="520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0"/>
      <c r="TML9" s="34"/>
      <c r="TMM9" s="390"/>
      <c r="TMN9" s="520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0"/>
      <c r="TNB9" s="34"/>
      <c r="TNC9" s="390"/>
      <c r="TND9" s="520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0"/>
      <c r="TNR9" s="34"/>
      <c r="TNS9" s="390"/>
      <c r="TNT9" s="520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0"/>
      <c r="TOH9" s="34"/>
      <c r="TOI9" s="390"/>
      <c r="TOJ9" s="520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0"/>
      <c r="TOX9" s="34"/>
      <c r="TOY9" s="390"/>
      <c r="TOZ9" s="520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0"/>
      <c r="TPN9" s="34"/>
      <c r="TPO9" s="390"/>
      <c r="TPP9" s="520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0"/>
      <c r="TQD9" s="34"/>
      <c r="TQE9" s="390"/>
      <c r="TQF9" s="520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0"/>
      <c r="TQT9" s="34"/>
      <c r="TQU9" s="390"/>
      <c r="TQV9" s="520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0"/>
      <c r="TRJ9" s="34"/>
      <c r="TRK9" s="390"/>
      <c r="TRL9" s="520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0"/>
      <c r="TRZ9" s="34"/>
      <c r="TSA9" s="390"/>
      <c r="TSB9" s="520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0"/>
      <c r="TSP9" s="34"/>
      <c r="TSQ9" s="390"/>
      <c r="TSR9" s="520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0"/>
      <c r="TTF9" s="34"/>
      <c r="TTG9" s="390"/>
      <c r="TTH9" s="520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0"/>
      <c r="TTV9" s="34"/>
      <c r="TTW9" s="390"/>
      <c r="TTX9" s="520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0"/>
      <c r="TUL9" s="34"/>
      <c r="TUM9" s="390"/>
      <c r="TUN9" s="520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0"/>
      <c r="TVB9" s="34"/>
      <c r="TVC9" s="390"/>
      <c r="TVD9" s="520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0"/>
      <c r="TVR9" s="34"/>
      <c r="TVS9" s="390"/>
      <c r="TVT9" s="520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0"/>
      <c r="TWH9" s="34"/>
      <c r="TWI9" s="390"/>
      <c r="TWJ9" s="520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0"/>
      <c r="TWX9" s="34"/>
      <c r="TWY9" s="390"/>
      <c r="TWZ9" s="520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0"/>
      <c r="TXN9" s="34"/>
      <c r="TXO9" s="390"/>
      <c r="TXP9" s="520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0"/>
      <c r="TYD9" s="34"/>
      <c r="TYE9" s="390"/>
      <c r="TYF9" s="520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0"/>
      <c r="TYT9" s="34"/>
      <c r="TYU9" s="390"/>
      <c r="TYV9" s="520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0"/>
      <c r="TZJ9" s="34"/>
      <c r="TZK9" s="390"/>
      <c r="TZL9" s="520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0"/>
      <c r="TZZ9" s="34"/>
      <c r="UAA9" s="390"/>
      <c r="UAB9" s="520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0"/>
      <c r="UAP9" s="34"/>
      <c r="UAQ9" s="390"/>
      <c r="UAR9" s="520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0"/>
      <c r="UBF9" s="34"/>
      <c r="UBG9" s="390"/>
      <c r="UBH9" s="520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0"/>
      <c r="UBV9" s="34"/>
      <c r="UBW9" s="390"/>
      <c r="UBX9" s="520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0"/>
      <c r="UCL9" s="34"/>
      <c r="UCM9" s="390"/>
      <c r="UCN9" s="520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0"/>
      <c r="UDB9" s="34"/>
      <c r="UDC9" s="390"/>
      <c r="UDD9" s="520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0"/>
      <c r="UDR9" s="34"/>
      <c r="UDS9" s="390"/>
      <c r="UDT9" s="520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0"/>
      <c r="UEH9" s="34"/>
      <c r="UEI9" s="390"/>
      <c r="UEJ9" s="520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0"/>
      <c r="UEX9" s="34"/>
      <c r="UEY9" s="390"/>
      <c r="UEZ9" s="520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0"/>
      <c r="UFN9" s="34"/>
      <c r="UFO9" s="390"/>
      <c r="UFP9" s="520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0"/>
      <c r="UGD9" s="34"/>
      <c r="UGE9" s="390"/>
      <c r="UGF9" s="520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0"/>
      <c r="UGT9" s="34"/>
      <c r="UGU9" s="390"/>
      <c r="UGV9" s="520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0"/>
      <c r="UHJ9" s="34"/>
      <c r="UHK9" s="390"/>
      <c r="UHL9" s="520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0"/>
      <c r="UHZ9" s="34"/>
      <c r="UIA9" s="390"/>
      <c r="UIB9" s="520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0"/>
      <c r="UIP9" s="34"/>
      <c r="UIQ9" s="390"/>
      <c r="UIR9" s="520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0"/>
      <c r="UJF9" s="34"/>
      <c r="UJG9" s="390"/>
      <c r="UJH9" s="520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0"/>
      <c r="UJV9" s="34"/>
      <c r="UJW9" s="390"/>
      <c r="UJX9" s="520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0"/>
      <c r="UKL9" s="34"/>
      <c r="UKM9" s="390"/>
      <c r="UKN9" s="520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0"/>
      <c r="ULB9" s="34"/>
      <c r="ULC9" s="390"/>
      <c r="ULD9" s="520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0"/>
      <c r="ULR9" s="34"/>
      <c r="ULS9" s="390"/>
      <c r="ULT9" s="520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0"/>
      <c r="UMH9" s="34"/>
      <c r="UMI9" s="390"/>
      <c r="UMJ9" s="520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0"/>
      <c r="UMX9" s="34"/>
      <c r="UMY9" s="390"/>
      <c r="UMZ9" s="520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0"/>
      <c r="UNN9" s="34"/>
      <c r="UNO9" s="390"/>
      <c r="UNP9" s="520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0"/>
      <c r="UOD9" s="34"/>
      <c r="UOE9" s="390"/>
      <c r="UOF9" s="520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0"/>
      <c r="UOT9" s="34"/>
      <c r="UOU9" s="390"/>
      <c r="UOV9" s="520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0"/>
      <c r="UPJ9" s="34"/>
      <c r="UPK9" s="390"/>
      <c r="UPL9" s="520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0"/>
      <c r="UPZ9" s="34"/>
      <c r="UQA9" s="390"/>
      <c r="UQB9" s="520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0"/>
      <c r="UQP9" s="34"/>
      <c r="UQQ9" s="390"/>
      <c r="UQR9" s="520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0"/>
      <c r="URF9" s="34"/>
      <c r="URG9" s="390"/>
      <c r="URH9" s="520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0"/>
      <c r="URV9" s="34"/>
      <c r="URW9" s="390"/>
      <c r="URX9" s="520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0"/>
      <c r="USL9" s="34"/>
      <c r="USM9" s="390"/>
      <c r="USN9" s="520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0"/>
      <c r="UTB9" s="34"/>
      <c r="UTC9" s="390"/>
      <c r="UTD9" s="520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0"/>
      <c r="UTR9" s="34"/>
      <c r="UTS9" s="390"/>
      <c r="UTT9" s="520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0"/>
      <c r="UUH9" s="34"/>
      <c r="UUI9" s="390"/>
      <c r="UUJ9" s="520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0"/>
      <c r="UUX9" s="34"/>
      <c r="UUY9" s="390"/>
      <c r="UUZ9" s="520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0"/>
      <c r="UVN9" s="34"/>
      <c r="UVO9" s="390"/>
      <c r="UVP9" s="520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0"/>
      <c r="UWD9" s="34"/>
      <c r="UWE9" s="390"/>
      <c r="UWF9" s="520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0"/>
      <c r="UWT9" s="34"/>
      <c r="UWU9" s="390"/>
      <c r="UWV9" s="520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0"/>
      <c r="UXJ9" s="34"/>
      <c r="UXK9" s="390"/>
      <c r="UXL9" s="520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0"/>
      <c r="UXZ9" s="34"/>
      <c r="UYA9" s="390"/>
      <c r="UYB9" s="520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0"/>
      <c r="UYP9" s="34"/>
      <c r="UYQ9" s="390"/>
      <c r="UYR9" s="520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0"/>
      <c r="UZF9" s="34"/>
      <c r="UZG9" s="390"/>
      <c r="UZH9" s="520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0"/>
      <c r="UZV9" s="34"/>
      <c r="UZW9" s="390"/>
      <c r="UZX9" s="520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0"/>
      <c r="VAL9" s="34"/>
      <c r="VAM9" s="390"/>
      <c r="VAN9" s="520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0"/>
      <c r="VBB9" s="34"/>
      <c r="VBC9" s="390"/>
      <c r="VBD9" s="520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0"/>
      <c r="VBR9" s="34"/>
      <c r="VBS9" s="390"/>
      <c r="VBT9" s="520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0"/>
      <c r="VCH9" s="34"/>
      <c r="VCI9" s="390"/>
      <c r="VCJ9" s="520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0"/>
      <c r="VCX9" s="34"/>
      <c r="VCY9" s="390"/>
      <c r="VCZ9" s="520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0"/>
      <c r="VDN9" s="34"/>
      <c r="VDO9" s="390"/>
      <c r="VDP9" s="520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0"/>
      <c r="VED9" s="34"/>
      <c r="VEE9" s="390"/>
      <c r="VEF9" s="520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0"/>
      <c r="VET9" s="34"/>
      <c r="VEU9" s="390"/>
      <c r="VEV9" s="520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0"/>
      <c r="VFJ9" s="34"/>
      <c r="VFK9" s="390"/>
      <c r="VFL9" s="520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0"/>
      <c r="VFZ9" s="34"/>
      <c r="VGA9" s="390"/>
      <c r="VGB9" s="520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0"/>
      <c r="VGP9" s="34"/>
      <c r="VGQ9" s="390"/>
      <c r="VGR9" s="520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0"/>
      <c r="VHF9" s="34"/>
      <c r="VHG9" s="390"/>
      <c r="VHH9" s="520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0"/>
      <c r="VHV9" s="34"/>
      <c r="VHW9" s="390"/>
      <c r="VHX9" s="520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0"/>
      <c r="VIL9" s="34"/>
      <c r="VIM9" s="390"/>
      <c r="VIN9" s="520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0"/>
      <c r="VJB9" s="34"/>
      <c r="VJC9" s="390"/>
      <c r="VJD9" s="520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0"/>
      <c r="VJR9" s="34"/>
      <c r="VJS9" s="390"/>
      <c r="VJT9" s="520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0"/>
      <c r="VKH9" s="34"/>
      <c r="VKI9" s="390"/>
      <c r="VKJ9" s="520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0"/>
      <c r="VKX9" s="34"/>
      <c r="VKY9" s="390"/>
      <c r="VKZ9" s="520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0"/>
      <c r="VLN9" s="34"/>
      <c r="VLO9" s="390"/>
      <c r="VLP9" s="520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0"/>
      <c r="VMD9" s="34"/>
      <c r="VME9" s="390"/>
      <c r="VMF9" s="520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0"/>
      <c r="VMT9" s="34"/>
      <c r="VMU9" s="390"/>
      <c r="VMV9" s="520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0"/>
      <c r="VNJ9" s="34"/>
      <c r="VNK9" s="390"/>
      <c r="VNL9" s="520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0"/>
      <c r="VNZ9" s="34"/>
      <c r="VOA9" s="390"/>
      <c r="VOB9" s="520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0"/>
      <c r="VOP9" s="34"/>
      <c r="VOQ9" s="390"/>
      <c r="VOR9" s="520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0"/>
      <c r="VPF9" s="34"/>
      <c r="VPG9" s="390"/>
      <c r="VPH9" s="520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0"/>
      <c r="VPV9" s="34"/>
      <c r="VPW9" s="390"/>
      <c r="VPX9" s="520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0"/>
      <c r="VQL9" s="34"/>
      <c r="VQM9" s="390"/>
      <c r="VQN9" s="520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0"/>
      <c r="VRB9" s="34"/>
      <c r="VRC9" s="390"/>
      <c r="VRD9" s="520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0"/>
      <c r="VRR9" s="34"/>
      <c r="VRS9" s="390"/>
      <c r="VRT9" s="520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0"/>
      <c r="VSH9" s="34"/>
      <c r="VSI9" s="390"/>
      <c r="VSJ9" s="520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0"/>
      <c r="VSX9" s="34"/>
      <c r="VSY9" s="390"/>
      <c r="VSZ9" s="520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0"/>
      <c r="VTN9" s="34"/>
      <c r="VTO9" s="390"/>
      <c r="VTP9" s="520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0"/>
      <c r="VUD9" s="34"/>
      <c r="VUE9" s="390"/>
      <c r="VUF9" s="520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0"/>
      <c r="VUT9" s="34"/>
      <c r="VUU9" s="390"/>
      <c r="VUV9" s="520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0"/>
      <c r="VVJ9" s="34"/>
      <c r="VVK9" s="390"/>
      <c r="VVL9" s="520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0"/>
      <c r="VVZ9" s="34"/>
      <c r="VWA9" s="390"/>
      <c r="VWB9" s="520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0"/>
      <c r="VWP9" s="34"/>
      <c r="VWQ9" s="390"/>
      <c r="VWR9" s="520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0"/>
      <c r="VXF9" s="34"/>
      <c r="VXG9" s="390"/>
      <c r="VXH9" s="520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0"/>
      <c r="VXV9" s="34"/>
      <c r="VXW9" s="390"/>
      <c r="VXX9" s="520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0"/>
      <c r="VYL9" s="34"/>
      <c r="VYM9" s="390"/>
      <c r="VYN9" s="520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0"/>
      <c r="VZB9" s="34"/>
      <c r="VZC9" s="390"/>
      <c r="VZD9" s="520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0"/>
      <c r="VZR9" s="34"/>
      <c r="VZS9" s="390"/>
      <c r="VZT9" s="520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0"/>
      <c r="WAH9" s="34"/>
      <c r="WAI9" s="390"/>
      <c r="WAJ9" s="520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0"/>
      <c r="WAX9" s="34"/>
      <c r="WAY9" s="390"/>
      <c r="WAZ9" s="520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0"/>
      <c r="WBN9" s="34"/>
      <c r="WBO9" s="390"/>
      <c r="WBP9" s="520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0"/>
      <c r="WCD9" s="34"/>
      <c r="WCE9" s="390"/>
      <c r="WCF9" s="520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0"/>
      <c r="WCT9" s="34"/>
      <c r="WCU9" s="390"/>
      <c r="WCV9" s="520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0"/>
      <c r="WDJ9" s="34"/>
      <c r="WDK9" s="390"/>
      <c r="WDL9" s="520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0"/>
      <c r="WDZ9" s="34"/>
      <c r="WEA9" s="390"/>
      <c r="WEB9" s="520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0"/>
      <c r="WEP9" s="34"/>
      <c r="WEQ9" s="390"/>
      <c r="WER9" s="520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0"/>
      <c r="WFF9" s="34"/>
      <c r="WFG9" s="390"/>
      <c r="WFH9" s="520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0"/>
      <c r="WFV9" s="34"/>
      <c r="WFW9" s="390"/>
      <c r="WFX9" s="520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0"/>
      <c r="WGL9" s="34"/>
      <c r="WGM9" s="390"/>
      <c r="WGN9" s="520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0"/>
      <c r="WHB9" s="34"/>
      <c r="WHC9" s="390"/>
      <c r="WHD9" s="520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0"/>
      <c r="WHR9" s="34"/>
      <c r="WHS9" s="390"/>
      <c r="WHT9" s="520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0"/>
      <c r="WIH9" s="34"/>
      <c r="WII9" s="390"/>
      <c r="WIJ9" s="520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0"/>
      <c r="WIX9" s="34"/>
      <c r="WIY9" s="390"/>
      <c r="WIZ9" s="520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0"/>
      <c r="WJN9" s="34"/>
      <c r="WJO9" s="390"/>
      <c r="WJP9" s="520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0"/>
      <c r="WKD9" s="34"/>
      <c r="WKE9" s="390"/>
      <c r="WKF9" s="520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0"/>
      <c r="WKT9" s="34"/>
      <c r="WKU9" s="390"/>
      <c r="WKV9" s="520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0"/>
      <c r="WLJ9" s="34"/>
      <c r="WLK9" s="390"/>
      <c r="WLL9" s="520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0"/>
      <c r="WLZ9" s="34"/>
      <c r="WMA9" s="390"/>
      <c r="WMB9" s="520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0"/>
      <c r="WMP9" s="34"/>
      <c r="WMQ9" s="390"/>
      <c r="WMR9" s="520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0"/>
      <c r="WNF9" s="34"/>
      <c r="WNG9" s="390"/>
      <c r="WNH9" s="520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0"/>
      <c r="WNV9" s="34"/>
      <c r="WNW9" s="390"/>
      <c r="WNX9" s="520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0"/>
      <c r="WOL9" s="34"/>
      <c r="WOM9" s="390"/>
      <c r="WON9" s="520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0"/>
      <c r="WPB9" s="34"/>
      <c r="WPC9" s="390"/>
      <c r="WPD9" s="520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0"/>
      <c r="WPR9" s="34"/>
      <c r="WPS9" s="390"/>
      <c r="WPT9" s="520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0"/>
      <c r="WQH9" s="34"/>
      <c r="WQI9" s="390"/>
      <c r="WQJ9" s="520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0"/>
      <c r="WQX9" s="34"/>
      <c r="WQY9" s="390"/>
      <c r="WQZ9" s="520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0"/>
      <c r="WRN9" s="34"/>
      <c r="WRO9" s="390"/>
      <c r="WRP9" s="520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0"/>
      <c r="WSD9" s="34"/>
      <c r="WSE9" s="390"/>
      <c r="WSF9" s="520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0"/>
      <c r="WST9" s="34"/>
      <c r="WSU9" s="390"/>
      <c r="WSV9" s="520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0"/>
      <c r="WTJ9" s="34"/>
      <c r="WTK9" s="390"/>
      <c r="WTL9" s="520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0"/>
      <c r="WTZ9" s="34"/>
      <c r="WUA9" s="390"/>
      <c r="WUB9" s="520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0"/>
      <c r="WUP9" s="34"/>
      <c r="WUQ9" s="390"/>
      <c r="WUR9" s="520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0"/>
      <c r="WVF9" s="34"/>
      <c r="WVG9" s="390"/>
      <c r="WVH9" s="520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0"/>
      <c r="WVV9" s="34"/>
      <c r="WVW9" s="390"/>
      <c r="WVX9" s="520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0"/>
      <c r="WWL9" s="34"/>
      <c r="WWM9" s="390"/>
      <c r="WWN9" s="520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0"/>
      <c r="WXB9" s="34"/>
      <c r="WXC9" s="390"/>
      <c r="WXD9" s="520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0"/>
      <c r="WXR9" s="34"/>
      <c r="WXS9" s="390"/>
      <c r="WXT9" s="520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0"/>
      <c r="WYH9" s="34"/>
      <c r="WYI9" s="390"/>
      <c r="WYJ9" s="520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0"/>
      <c r="WYX9" s="34"/>
      <c r="WYY9" s="390"/>
      <c r="WYZ9" s="520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0"/>
      <c r="WZN9" s="34"/>
      <c r="WZO9" s="390"/>
      <c r="WZP9" s="520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0"/>
      <c r="XAD9" s="34"/>
      <c r="XAE9" s="390"/>
      <c r="XAF9" s="520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0"/>
      <c r="XAT9" s="34"/>
      <c r="XAU9" s="390"/>
      <c r="XAV9" s="520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0"/>
      <c r="XBJ9" s="34"/>
      <c r="XBK9" s="390"/>
      <c r="XBL9" s="520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0"/>
      <c r="XBZ9" s="34"/>
      <c r="XCA9" s="390"/>
      <c r="XCB9" s="520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0"/>
      <c r="XCP9" s="34"/>
      <c r="XCQ9" s="390"/>
      <c r="XCR9" s="520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0"/>
      <c r="XDF9" s="34"/>
      <c r="XDG9" s="390"/>
      <c r="XDH9" s="520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0"/>
      <c r="XDV9" s="34"/>
      <c r="XDW9" s="390"/>
      <c r="XDX9" s="520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0"/>
      <c r="XEL9" s="34"/>
      <c r="XEM9" s="390"/>
      <c r="XEN9" s="520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0"/>
      <c r="XFB9" s="34"/>
      <c r="XFC9" s="390"/>
      <c r="XFD9" s="520"/>
    </row>
    <row r="10" spans="1:16384" ht="15" customHeight="1" x14ac:dyDescent="0.2">
      <c r="A10" s="9"/>
      <c r="B10" s="518" t="s">
        <v>4</v>
      </c>
      <c r="C10" s="515">
        <f>SUM(C5:C9)</f>
        <v>1823270872.8800001</v>
      </c>
      <c r="D10" s="152">
        <f>SUM(D5:D9)</f>
        <v>1835330081.7299998</v>
      </c>
      <c r="E10" s="84">
        <f>SUM(E5:E9)</f>
        <v>1235479195.4200001</v>
      </c>
      <c r="F10" s="90">
        <f t="shared" si="0"/>
        <v>0.67316457552715836</v>
      </c>
      <c r="G10" s="84">
        <f>SUM(G5:G9)</f>
        <v>1189329941.6500001</v>
      </c>
      <c r="H10" s="90">
        <f t="shared" si="1"/>
        <v>0.64801964152896474</v>
      </c>
      <c r="I10" s="84">
        <f>SUM(I5:I9)</f>
        <v>315928600.26999998</v>
      </c>
      <c r="J10" s="170">
        <f t="shared" si="2"/>
        <v>0.17213721031162016</v>
      </c>
      <c r="K10" s="152">
        <f>SUM(K5:K9)</f>
        <v>1111937368.5799999</v>
      </c>
      <c r="L10" s="90">
        <v>0.65039999999999998</v>
      </c>
      <c r="M10" s="213">
        <f t="shared" ref="M10" si="3">+G10/K10-1</f>
        <v>6.9601557836692196E-2</v>
      </c>
      <c r="N10" s="701">
        <f>SUM(N5:N9)</f>
        <v>342114280.08000004</v>
      </c>
      <c r="O10" s="90">
        <f>N10/(312923551.5+437579154.07+34707752.2+916236263.56+6477736.89)</f>
        <v>0.20030996010008065</v>
      </c>
      <c r="P10" s="213">
        <f>+I10/N10-1</f>
        <v>-7.6540738971424438E-2</v>
      </c>
    </row>
    <row r="11" spans="1:16384" ht="15" customHeight="1" x14ac:dyDescent="0.2">
      <c r="A11" s="21">
        <v>6</v>
      </c>
      <c r="B11" s="21" t="s">
        <v>5</v>
      </c>
      <c r="C11" s="159">
        <v>404680722.88999999</v>
      </c>
      <c r="D11" s="516">
        <v>385901298.77999997</v>
      </c>
      <c r="E11" s="180">
        <v>142882628.44</v>
      </c>
      <c r="F11" s="48">
        <f t="shared" si="0"/>
        <v>0.3702569255188139</v>
      </c>
      <c r="G11" s="56">
        <v>137922651.72999999</v>
      </c>
      <c r="H11" s="48">
        <f t="shared" si="1"/>
        <v>0.35740395838529909</v>
      </c>
      <c r="I11" s="30">
        <v>45313671.210000001</v>
      </c>
      <c r="J11" s="153">
        <f t="shared" si="2"/>
        <v>0.11742295595598151</v>
      </c>
      <c r="K11" s="150">
        <v>87380686.980000004</v>
      </c>
      <c r="L11" s="48">
        <v>0.33410000000000001</v>
      </c>
      <c r="M11" s="210">
        <f>+G11/K11-1</f>
        <v>0.5784111626584969</v>
      </c>
      <c r="N11" s="690">
        <v>47247351.039999999</v>
      </c>
      <c r="O11" s="48">
        <v>0.18060000000000001</v>
      </c>
      <c r="P11" s="210">
        <f>+I11/N11-1</f>
        <v>-4.0926735307613926E-2</v>
      </c>
    </row>
    <row r="12" spans="1:16384" ht="15" customHeight="1" x14ac:dyDescent="0.2">
      <c r="A12" s="24">
        <v>7</v>
      </c>
      <c r="B12" s="24" t="s">
        <v>6</v>
      </c>
      <c r="C12" s="161">
        <v>17224944.199999999</v>
      </c>
      <c r="D12" s="206">
        <v>30558277.530000001</v>
      </c>
      <c r="E12" s="34">
        <v>2304606.75</v>
      </c>
      <c r="F12" s="48">
        <f t="shared" si="0"/>
        <v>7.5416775298853045E-2</v>
      </c>
      <c r="G12" s="137">
        <v>2154606.75</v>
      </c>
      <c r="H12" s="48">
        <f t="shared" si="1"/>
        <v>7.0508121666371937E-2</v>
      </c>
      <c r="I12" s="137">
        <v>62894.25</v>
      </c>
      <c r="J12" s="153">
        <f t="shared" si="2"/>
        <v>2.0581739248311617E-3</v>
      </c>
      <c r="K12" s="137">
        <v>5710100.4900000002</v>
      </c>
      <c r="L12" s="390">
        <v>0.36099999999999999</v>
      </c>
      <c r="M12" s="210">
        <f>+G12/K12-1</f>
        <v>-0.62266745501706577</v>
      </c>
      <c r="N12" s="137">
        <v>56316.62</v>
      </c>
      <c r="O12" s="390">
        <v>3.5999999999999999E-3</v>
      </c>
      <c r="P12" s="210">
        <f>+I12/N12-1</f>
        <v>0.1167973148956738</v>
      </c>
    </row>
    <row r="13" spans="1:16384" ht="15" customHeight="1" x14ac:dyDescent="0.2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416459576.30999994</v>
      </c>
      <c r="E13" s="84">
        <f t="shared" si="4"/>
        <v>145187235.19</v>
      </c>
      <c r="F13" s="90">
        <f t="shared" si="0"/>
        <v>0.34862263578236702</v>
      </c>
      <c r="G13" s="84">
        <f t="shared" si="4"/>
        <v>140077258.47999999</v>
      </c>
      <c r="H13" s="90">
        <f t="shared" si="1"/>
        <v>0.33635259326040978</v>
      </c>
      <c r="I13" s="84">
        <f t="shared" si="4"/>
        <v>45376565.460000001</v>
      </c>
      <c r="J13" s="170">
        <f t="shared" si="2"/>
        <v>0.10895791102237268</v>
      </c>
      <c r="K13" s="84">
        <f t="shared" ref="K13" si="5">SUM(K11:K12)</f>
        <v>93090787.469999999</v>
      </c>
      <c r="L13" s="90">
        <f>K13/(259484296.94+15552538.55)</f>
        <v>0.33846661776831222</v>
      </c>
      <c r="M13" s="213">
        <f t="shared" ref="M13:M16" si="6">+G13/K13-1</f>
        <v>0.50473814098029979</v>
      </c>
      <c r="N13" s="84">
        <f t="shared" ref="N13" si="7">SUM(N11:N12)</f>
        <v>47303667.659999996</v>
      </c>
      <c r="O13" s="90">
        <f>N13/(259484296.94+15552538.55)</f>
        <v>0.17199029932017923</v>
      </c>
      <c r="P13" s="213">
        <f>+I13/N13-1</f>
        <v>-4.0738959478813341E-2</v>
      </c>
    </row>
    <row r="14" spans="1:16384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21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10900399.48</v>
      </c>
      <c r="J14" s="153">
        <f t="shared" ref="J14:J15" si="10">I14/D14</f>
        <v>0.38992557370198577</v>
      </c>
      <c r="K14" s="30">
        <v>10043728.939999999</v>
      </c>
      <c r="L14" s="262">
        <v>0.42480000000000001</v>
      </c>
      <c r="M14" s="210">
        <f t="shared" si="6"/>
        <v>1.2855134031524353</v>
      </c>
      <c r="N14" s="30">
        <v>10043728.939999999</v>
      </c>
      <c r="O14" s="262">
        <v>0.42480000000000001</v>
      </c>
      <c r="P14" s="210">
        <f t="shared" ref="P14:P15" si="11">+I14/N14-1</f>
        <v>8.5294072064035609E-2</v>
      </c>
    </row>
    <row r="15" spans="1:16384" ht="15" customHeight="1" x14ac:dyDescent="0.2">
      <c r="A15" s="24">
        <v>9</v>
      </c>
      <c r="B15" s="24" t="s">
        <v>9</v>
      </c>
      <c r="C15" s="161">
        <v>127725000</v>
      </c>
      <c r="D15" s="206">
        <v>127725000</v>
      </c>
      <c r="E15" s="34">
        <v>35452871.409999996</v>
      </c>
      <c r="F15" s="722">
        <f t="shared" si="8"/>
        <v>0.27757190377764729</v>
      </c>
      <c r="G15" s="34">
        <v>35452871.409999996</v>
      </c>
      <c r="H15" s="48">
        <f t="shared" si="9"/>
        <v>0.27757190377764729</v>
      </c>
      <c r="I15" s="34">
        <v>35452871.409999996</v>
      </c>
      <c r="J15" s="153">
        <f t="shared" si="10"/>
        <v>0.27757190377764729</v>
      </c>
      <c r="K15" s="34">
        <v>125560633.83</v>
      </c>
      <c r="L15" s="264">
        <v>0.79620000000000002</v>
      </c>
      <c r="M15" s="210">
        <f t="shared" si="6"/>
        <v>-0.71764341793622499</v>
      </c>
      <c r="N15" s="34">
        <v>125560633.83</v>
      </c>
      <c r="O15" s="264">
        <v>0.79620000000000002</v>
      </c>
      <c r="P15" s="210">
        <f t="shared" si="11"/>
        <v>-0.71764341793622499</v>
      </c>
    </row>
    <row r="16" spans="1:16384" ht="15" customHeight="1" thickBot="1" x14ac:dyDescent="0.25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58407948.519999996</v>
      </c>
      <c r="F16" s="723">
        <f t="shared" si="8"/>
        <v>0.37517933960637917</v>
      </c>
      <c r="G16" s="84">
        <f t="shared" si="12"/>
        <v>58407948.519999996</v>
      </c>
      <c r="H16" s="90">
        <f>G16/D16</f>
        <v>0.37517933960637917</v>
      </c>
      <c r="I16" s="84">
        <f t="shared" si="12"/>
        <v>46353270.890000001</v>
      </c>
      <c r="J16" s="170">
        <f>I16/D16</f>
        <v>0.29774696769483117</v>
      </c>
      <c r="K16" s="84">
        <f t="shared" ref="K16" si="13">SUM(K14:K15)</f>
        <v>135604362.77000001</v>
      </c>
      <c r="L16" s="263">
        <f>K16/(21421544.14+157708736.82)</f>
        <v>0.75701529659455313</v>
      </c>
      <c r="M16" s="213">
        <f t="shared" si="6"/>
        <v>-0.56927677453072556</v>
      </c>
      <c r="N16" s="84">
        <f t="shared" ref="N16" si="14">SUM(N14:N15)</f>
        <v>135604362.77000001</v>
      </c>
      <c r="O16" s="263">
        <f>N16/(21421544.14+157708736.82)</f>
        <v>0.75701529659455313</v>
      </c>
      <c r="P16" s="213">
        <f>+I16/N16-1</f>
        <v>-0.65817271698978985</v>
      </c>
    </row>
    <row r="17" spans="1:16" s="6" customFormat="1" ht="13.5" thickBot="1" x14ac:dyDescent="0.25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2407469735.1500001</v>
      </c>
      <c r="E17" s="155">
        <f t="shared" si="15"/>
        <v>1439074379.1300001</v>
      </c>
      <c r="F17" s="181">
        <f>E17/D17</f>
        <v>0.59775388164550991</v>
      </c>
      <c r="G17" s="155">
        <f t="shared" si="15"/>
        <v>1387815148.6500001</v>
      </c>
      <c r="H17" s="181">
        <f>G17/D17</f>
        <v>0.57646213715061745</v>
      </c>
      <c r="I17" s="155">
        <f t="shared" si="15"/>
        <v>407658436.61999995</v>
      </c>
      <c r="J17" s="173">
        <f>I17/D17</f>
        <v>0.16933065893540727</v>
      </c>
      <c r="K17" s="155">
        <f t="shared" ref="K17" si="16">+K10+K13+K16</f>
        <v>1340632518.8199999</v>
      </c>
      <c r="L17" s="181">
        <f>K17/2162091574.67</f>
        <v>0.62006278296728512</v>
      </c>
      <c r="M17" s="607">
        <f>+G17/K17-1</f>
        <v>3.5194305052013375E-2</v>
      </c>
      <c r="N17" s="155">
        <f t="shared" ref="N17" si="17">+N10+N13+N16</f>
        <v>525022310.50999999</v>
      </c>
      <c r="O17" s="181">
        <f>N17/2162091574.67</f>
        <v>0.24283074623707099</v>
      </c>
      <c r="P17" s="607">
        <f>+I17/N17-1</f>
        <v>-0.22354073634698357</v>
      </c>
    </row>
    <row r="137" spans="12:12" x14ac:dyDescent="0.2">
      <c r="L137" s="687"/>
    </row>
    <row r="138" spans="12:12" x14ac:dyDescent="0.2">
      <c r="L138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headerFooter>
    <oddHeader>&amp;LAjuntament de Barcelona&amp;CPressupost 2017
Execució Pressupostària a Març&amp;RDirecció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"/>
  <sheetViews>
    <sheetView topLeftCell="A11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2" bestFit="1" customWidth="1"/>
    <col min="13" max="13" width="9" style="97" bestFit="1" customWidth="1"/>
  </cols>
  <sheetData>
    <row r="1" spans="1:13" ht="15" x14ac:dyDescent="0.25">
      <c r="A1" s="7" t="s">
        <v>778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Març&amp;RDirecció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P137"/>
  <sheetViews>
    <sheetView topLeftCell="C1" zoomScaleNormal="100" workbookViewId="0">
      <selection activeCell="O19" sqref="O19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7109375" style="46" customWidth="1"/>
    <col min="15" max="15" width="6.28515625" style="97" customWidth="1"/>
    <col min="16" max="16" width="8" style="97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634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42508052.450000003</v>
      </c>
      <c r="D5" s="204">
        <v>43302813.060000002</v>
      </c>
      <c r="E5" s="30">
        <v>9865900.4399999995</v>
      </c>
      <c r="F5" s="48">
        <f>+E5/D5</f>
        <v>0.22783509298414154</v>
      </c>
      <c r="G5" s="30">
        <v>9769861.5099999998</v>
      </c>
      <c r="H5" s="48">
        <f>G5/D5</f>
        <v>0.22561724792481644</v>
      </c>
      <c r="I5" s="30">
        <v>9380395.8300000001</v>
      </c>
      <c r="J5" s="153">
        <f>I5/D5</f>
        <v>0.21662324378332198</v>
      </c>
      <c r="K5" s="578">
        <v>9494291.6699999999</v>
      </c>
      <c r="L5" s="48">
        <v>0.23657247015059446</v>
      </c>
      <c r="M5" s="210">
        <f>+G5/K5-1</f>
        <v>2.9024791904249447E-2</v>
      </c>
      <c r="N5" s="578">
        <v>9447095.5899999999</v>
      </c>
      <c r="O5" s="48">
        <v>0.2353964694951369</v>
      </c>
      <c r="P5" s="210">
        <f>+I5/N5-1</f>
        <v>-7.0603456231144168E-3</v>
      </c>
    </row>
    <row r="6" spans="1:16" ht="15" customHeight="1" x14ac:dyDescent="0.2">
      <c r="A6" s="23">
        <v>2</v>
      </c>
      <c r="B6" s="23" t="s">
        <v>1</v>
      </c>
      <c r="C6" s="160">
        <v>48845879.590000004</v>
      </c>
      <c r="D6" s="205">
        <v>49814693.32</v>
      </c>
      <c r="E6" s="32">
        <v>24531802.969999999</v>
      </c>
      <c r="F6" s="48">
        <f>+E6/D6</f>
        <v>0.49246118634942543</v>
      </c>
      <c r="G6" s="32">
        <v>17130727.57</v>
      </c>
      <c r="H6" s="48">
        <f>G6/D6</f>
        <v>0.34388905016348298</v>
      </c>
      <c r="I6" s="32">
        <v>3350383.69</v>
      </c>
      <c r="J6" s="153">
        <f>I6/D6</f>
        <v>6.7256936994026642E-2</v>
      </c>
      <c r="K6" s="579">
        <v>30222717.379999999</v>
      </c>
      <c r="L6" s="48">
        <v>0.53121177794187668</v>
      </c>
      <c r="M6" s="211">
        <f>+G6/K6-1</f>
        <v>-0.43318374206363308</v>
      </c>
      <c r="N6" s="579">
        <v>4573515.74</v>
      </c>
      <c r="O6" s="48">
        <v>8.0386730191848749E-2</v>
      </c>
      <c r="P6" s="211">
        <f>+I6/N6-1</f>
        <v>-0.26743803225655893</v>
      </c>
    </row>
    <row r="7" spans="1:16" ht="15" customHeight="1" x14ac:dyDescent="0.2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9"/>
      <c r="L7" s="48" t="s">
        <v>129</v>
      </c>
      <c r="M7" s="212" t="s">
        <v>129</v>
      </c>
      <c r="N7" s="579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56033357.700000003</v>
      </c>
      <c r="D8" s="206">
        <v>58778222.880000003</v>
      </c>
      <c r="E8" s="34">
        <v>53828871.210000001</v>
      </c>
      <c r="F8" s="78">
        <f t="shared" ref="F8" si="0">+E8/D8</f>
        <v>0.91579616688812693</v>
      </c>
      <c r="G8" s="34">
        <v>53828871.210000001</v>
      </c>
      <c r="H8" s="78">
        <f>G8/D8</f>
        <v>0.91579616688812693</v>
      </c>
      <c r="I8" s="34">
        <v>13458727.99</v>
      </c>
      <c r="J8" s="172">
        <f>I8/D8</f>
        <v>0.22897473469854587</v>
      </c>
      <c r="K8" s="580">
        <v>42999277.289999999</v>
      </c>
      <c r="L8" s="78">
        <v>0.91184499018104348</v>
      </c>
      <c r="M8" s="520">
        <f>+G8/K8-1</f>
        <v>0.2518552543793231</v>
      </c>
      <c r="N8" s="580">
        <v>15673425.68</v>
      </c>
      <c r="O8" s="78">
        <v>0.33237150915107661</v>
      </c>
      <c r="P8" s="520">
        <f>+I8/N8-1</f>
        <v>-0.14130272061876392</v>
      </c>
    </row>
    <row r="9" spans="1:16" ht="15" customHeight="1" x14ac:dyDescent="0.2">
      <c r="A9" s="9"/>
      <c r="B9" s="2" t="s">
        <v>4</v>
      </c>
      <c r="C9" s="162">
        <f>SUM(C5:C8)</f>
        <v>147387289.74000001</v>
      </c>
      <c r="D9" s="152">
        <f>SUM(D5:D8)</f>
        <v>151895729.25999999</v>
      </c>
      <c r="E9" s="84">
        <f>SUM(E5:E8)</f>
        <v>88226574.620000005</v>
      </c>
      <c r="F9" s="90">
        <f>+E9/D9</f>
        <v>0.58083643990399847</v>
      </c>
      <c r="G9" s="84">
        <f t="shared" ref="G9" si="1">SUM(G5:G8)</f>
        <v>80729460.289999992</v>
      </c>
      <c r="H9" s="90">
        <f>G9/D9</f>
        <v>0.53147946083339404</v>
      </c>
      <c r="I9" s="84">
        <f>SUM(I5:I8)</f>
        <v>26189507.509999998</v>
      </c>
      <c r="J9" s="170">
        <f>I9/D9</f>
        <v>0.17241766860456889</v>
      </c>
      <c r="K9" s="568">
        <f t="shared" ref="K9" si="2">SUM(K5:K8)</f>
        <v>82716286.340000004</v>
      </c>
      <c r="L9" s="90">
        <v>0.573689756725967</v>
      </c>
      <c r="M9" s="213">
        <f t="shared" ref="M9" si="3">+G9/K9-1</f>
        <v>-2.4019768511285511E-2</v>
      </c>
      <c r="N9" s="568">
        <f>SUM(N5:N8)</f>
        <v>29694037.009999998</v>
      </c>
      <c r="O9" s="90">
        <v>0.2059469255964515</v>
      </c>
      <c r="P9" s="213">
        <f>+I9/N9-1</f>
        <v>-0.11802132188424863</v>
      </c>
    </row>
    <row r="10" spans="1:16" ht="15" customHeight="1" x14ac:dyDescent="0.2">
      <c r="A10" s="81">
        <v>6</v>
      </c>
      <c r="B10" s="81" t="s">
        <v>5</v>
      </c>
      <c r="C10" s="159">
        <v>3134951.33</v>
      </c>
      <c r="D10" s="204">
        <v>4106701.33</v>
      </c>
      <c r="E10" s="30">
        <v>1383538.53</v>
      </c>
      <c r="F10" s="242">
        <f>+E10/D10</f>
        <v>0.33689777240265001</v>
      </c>
      <c r="G10" s="82">
        <v>874505.24</v>
      </c>
      <c r="H10" s="353">
        <f t="shared" ref="H10" si="4">G10/D10</f>
        <v>0.21294590712298037</v>
      </c>
      <c r="I10" s="82">
        <v>47941.32</v>
      </c>
      <c r="J10" s="431">
        <f t="shared" ref="J10" si="5">I10/D10</f>
        <v>1.1673924190635017E-2</v>
      </c>
      <c r="K10" s="578">
        <v>589071.52</v>
      </c>
      <c r="L10" s="48">
        <v>0.31667612198369083</v>
      </c>
      <c r="M10" s="48">
        <f>+G10/K10-1</f>
        <v>0.48454849760857566</v>
      </c>
      <c r="N10" s="578">
        <v>4391.03</v>
      </c>
      <c r="O10" s="48">
        <v>2.3605526743408775E-3</v>
      </c>
      <c r="P10" s="245">
        <f>+I10/N10-1</f>
        <v>9.9180124025570322</v>
      </c>
    </row>
    <row r="11" spans="1:16" ht="15" customHeight="1" x14ac:dyDescent="0.2">
      <c r="A11" s="55">
        <v>7</v>
      </c>
      <c r="B11" s="55" t="s">
        <v>6</v>
      </c>
      <c r="C11" s="161"/>
      <c r="D11" s="206"/>
      <c r="E11" s="34"/>
      <c r="F11" s="523" t="s">
        <v>129</v>
      </c>
      <c r="G11" s="56"/>
      <c r="H11" s="513" t="s">
        <v>129</v>
      </c>
      <c r="I11" s="56"/>
      <c r="J11" s="512" t="s">
        <v>129</v>
      </c>
      <c r="K11" s="580"/>
      <c r="L11" s="390" t="s">
        <v>129</v>
      </c>
      <c r="M11" s="48" t="s">
        <v>129</v>
      </c>
      <c r="N11" s="580"/>
      <c r="O11" s="390" t="s">
        <v>129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3134951.33</v>
      </c>
      <c r="D12" s="152">
        <f t="shared" ref="D12:I12" si="6">SUM(D10:D11)</f>
        <v>4106701.33</v>
      </c>
      <c r="E12" s="84">
        <f t="shared" si="6"/>
        <v>1383538.53</v>
      </c>
      <c r="F12" s="90">
        <f>+E12/D12</f>
        <v>0.33689777240265001</v>
      </c>
      <c r="G12" s="84">
        <f t="shared" si="6"/>
        <v>874505.24</v>
      </c>
      <c r="H12" s="90">
        <f>G12/D12</f>
        <v>0.21294590712298037</v>
      </c>
      <c r="I12" s="84">
        <f t="shared" si="6"/>
        <v>47941.32</v>
      </c>
      <c r="J12" s="170">
        <f>I12/D12</f>
        <v>1.1673924190635017E-2</v>
      </c>
      <c r="K12" s="568">
        <f t="shared" ref="K12" si="7">SUM(K10:K11)</f>
        <v>589071.52</v>
      </c>
      <c r="L12" s="90">
        <v>0.31667612198369083</v>
      </c>
      <c r="M12" s="724">
        <f t="shared" ref="M12" si="8">+G12/K12-1</f>
        <v>0.48454849760857566</v>
      </c>
      <c r="N12" s="568">
        <f t="shared" ref="N12" si="9">SUM(N10:N11)</f>
        <v>4391.03</v>
      </c>
      <c r="O12" s="90">
        <v>2.3605526743408775E-3</v>
      </c>
      <c r="P12" s="213">
        <f>+I12/N12-1</f>
        <v>9.9180124025570322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2"/>
      <c r="L13" s="27" t="s">
        <v>129</v>
      </c>
      <c r="M13" s="214" t="s">
        <v>129</v>
      </c>
      <c r="N13" s="632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3"/>
      <c r="L14" s="28" t="s">
        <v>129</v>
      </c>
      <c r="M14" s="215" t="s">
        <v>129</v>
      </c>
      <c r="N14" s="633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10">SUM(D13:D14)</f>
        <v>0</v>
      </c>
      <c r="E15" s="84">
        <f t="shared" si="10"/>
        <v>0</v>
      </c>
      <c r="F15" s="58" t="s">
        <v>129</v>
      </c>
      <c r="G15" s="84">
        <f t="shared" si="10"/>
        <v>0</v>
      </c>
      <c r="H15" s="58" t="s">
        <v>129</v>
      </c>
      <c r="I15" s="84">
        <f t="shared" si="10"/>
        <v>0</v>
      </c>
      <c r="J15" s="223" t="s">
        <v>129</v>
      </c>
      <c r="K15" s="568">
        <f t="shared" ref="K15" si="11">SUM(K13:K14)</f>
        <v>0</v>
      </c>
      <c r="L15" s="58" t="s">
        <v>129</v>
      </c>
      <c r="M15" s="216" t="s">
        <v>129</v>
      </c>
      <c r="N15" s="568">
        <f t="shared" ref="N15" si="12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150522241.07000002</v>
      </c>
      <c r="D16" s="154">
        <f>+D9+D12+D15</f>
        <v>156002430.59</v>
      </c>
      <c r="E16" s="155">
        <f t="shared" ref="E16:I16" si="13">+E9+E12+E15</f>
        <v>89610113.150000006</v>
      </c>
      <c r="F16" s="181">
        <f>+E16/D16</f>
        <v>0.57441485245515245</v>
      </c>
      <c r="G16" s="155">
        <f t="shared" si="13"/>
        <v>81603965.529999986</v>
      </c>
      <c r="H16" s="181">
        <f>G16/D16</f>
        <v>0.52309419296465065</v>
      </c>
      <c r="I16" s="155">
        <f t="shared" si="13"/>
        <v>26237448.829999998</v>
      </c>
      <c r="J16" s="173">
        <f>I16/D16</f>
        <v>0.16818615409240847</v>
      </c>
      <c r="K16" s="576">
        <f t="shared" ref="K16" si="14">+K9+K12+K15</f>
        <v>83305357.859999999</v>
      </c>
      <c r="L16" s="181">
        <v>0.57041614065946478</v>
      </c>
      <c r="M16" s="607">
        <f>+G16/K16-1</f>
        <v>-2.0423564266530247E-2</v>
      </c>
      <c r="N16" s="576">
        <f t="shared" ref="N16" si="15">+N9+N12+N15</f>
        <v>29698428.039999999</v>
      </c>
      <c r="O16" s="181">
        <v>0.20335381950701381</v>
      </c>
      <c r="P16" s="607">
        <f>+I16/N16-1</f>
        <v>-0.11653745462010656</v>
      </c>
    </row>
    <row r="17" spans="4:13" x14ac:dyDescent="0.2">
      <c r="F17" s="441"/>
      <c r="H17" s="441"/>
      <c r="J17" s="441"/>
      <c r="K17" s="441"/>
      <c r="L17" s="441"/>
      <c r="M17" s="441"/>
    </row>
    <row r="18" spans="4:13" x14ac:dyDescent="0.2">
      <c r="F18" s="441"/>
      <c r="H18" s="441"/>
    </row>
    <row r="22" spans="4:13" x14ac:dyDescent="0.2">
      <c r="D22" s="180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  <pageSetUpPr fitToPage="1"/>
  </sheetPr>
  <dimension ref="A1:O137"/>
  <sheetViews>
    <sheetView topLeftCell="C1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2.28515625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3" t="s">
        <v>767</v>
      </c>
      <c r="D2" s="256"/>
      <c r="E2" s="732" t="s">
        <v>781</v>
      </c>
      <c r="F2" s="733"/>
      <c r="G2" s="734"/>
      <c r="H2" s="734"/>
      <c r="I2" s="734"/>
      <c r="J2" s="734"/>
      <c r="K2" s="735"/>
      <c r="L2" s="730" t="s">
        <v>782</v>
      </c>
      <c r="M2" s="731"/>
      <c r="N2" s="138"/>
    </row>
    <row r="3" spans="1:14" x14ac:dyDescent="0.2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766</v>
      </c>
    </row>
    <row r="5" spans="1:14" ht="15" customHeight="1" x14ac:dyDescent="0.2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0.37797691557687191</v>
      </c>
      <c r="G5" s="30">
        <v>360419212.11000001</v>
      </c>
      <c r="H5" s="262">
        <f>G5/$G$18</f>
        <v>0.53113635537495341</v>
      </c>
      <c r="I5" s="134">
        <f>G5/E5</f>
        <v>0.3466232468245527</v>
      </c>
      <c r="J5" s="30">
        <v>253250911.12</v>
      </c>
      <c r="K5" s="153">
        <f>J5/G5</f>
        <v>0.70265652498765185</v>
      </c>
      <c r="L5" s="136">
        <v>338709340</v>
      </c>
      <c r="M5" s="48">
        <v>0.35889072743057049</v>
      </c>
      <c r="N5" s="141">
        <f>+G5/L5-1</f>
        <v>6.4095876747892522E-2</v>
      </c>
    </row>
    <row r="6" spans="1:14" ht="15" customHeight="1" x14ac:dyDescent="0.2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2.2148426515523609E-2</v>
      </c>
      <c r="G6" s="30">
        <v>17415556.329999998</v>
      </c>
      <c r="H6" s="262">
        <f t="shared" ref="H6:H9" si="2">G6/$G$18</f>
        <v>2.5664656059234396E-2</v>
      </c>
      <c r="I6" s="134">
        <f t="shared" ref="I6:I9" si="3">G6/E6</f>
        <v>0.28583111526583266</v>
      </c>
      <c r="J6" s="30">
        <v>13657876.09</v>
      </c>
      <c r="K6" s="153">
        <f t="shared" ref="K6:K9" si="4">J6/G6</f>
        <v>0.78423426913287708</v>
      </c>
      <c r="L6" s="133">
        <v>15569019</v>
      </c>
      <c r="M6" s="48">
        <v>0.27926596674175813</v>
      </c>
      <c r="N6" s="142">
        <f t="shared" ref="N6:N18" si="5">+G6/L6-1</f>
        <v>0.11860331919435629</v>
      </c>
    </row>
    <row r="7" spans="1:14" ht="15" customHeight="1" x14ac:dyDescent="0.2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0.10182488054044549</v>
      </c>
      <c r="G7" s="30">
        <v>40886582.420000002</v>
      </c>
      <c r="H7" s="262">
        <f t="shared" si="2"/>
        <v>6.0253032137666987E-2</v>
      </c>
      <c r="I7" s="134">
        <f t="shared" si="3"/>
        <v>0.1459627144424783</v>
      </c>
      <c r="J7" s="30">
        <v>21866952.41</v>
      </c>
      <c r="K7" s="153">
        <f t="shared" si="4"/>
        <v>0.53481976520746333</v>
      </c>
      <c r="L7" s="133">
        <v>53310727</v>
      </c>
      <c r="M7" s="48">
        <v>0.20497813867945885</v>
      </c>
      <c r="N7" s="142">
        <f t="shared" si="5"/>
        <v>-0.23305149412049841</v>
      </c>
    </row>
    <row r="8" spans="1:14" ht="15" customHeight="1" x14ac:dyDescent="0.2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1083507328.8199999</v>
      </c>
      <c r="F8" s="262">
        <f t="shared" si="1"/>
        <v>0.39386454031318574</v>
      </c>
      <c r="G8" s="30">
        <v>252065138.80000001</v>
      </c>
      <c r="H8" s="262">
        <f t="shared" si="2"/>
        <v>0.37145899730354348</v>
      </c>
      <c r="I8" s="134">
        <f t="shared" si="3"/>
        <v>0.23263814844197966</v>
      </c>
      <c r="J8" s="30">
        <v>168297936.75</v>
      </c>
      <c r="K8" s="153">
        <f t="shared" si="4"/>
        <v>0.66767636949405873</v>
      </c>
      <c r="L8" s="133">
        <v>250776614</v>
      </c>
      <c r="M8" s="414">
        <v>0.2384795250909687</v>
      </c>
      <c r="N8" s="142">
        <f>+G8/L8-1</f>
        <v>5.138137800999365E-3</v>
      </c>
    </row>
    <row r="9" spans="1:14" ht="15" customHeight="1" x14ac:dyDescent="0.2">
      <c r="A9" s="24">
        <v>5</v>
      </c>
      <c r="B9" s="24" t="s">
        <v>42</v>
      </c>
      <c r="C9" s="530">
        <v>42097110</v>
      </c>
      <c r="D9" s="257">
        <f t="shared" si="0"/>
        <v>1.5385337874130016E-2</v>
      </c>
      <c r="E9" s="206">
        <v>42097110</v>
      </c>
      <c r="F9" s="264">
        <f t="shared" si="1"/>
        <v>1.5302673491577367E-2</v>
      </c>
      <c r="G9" s="34">
        <v>5291616.9000000004</v>
      </c>
      <c r="H9" s="264">
        <f t="shared" si="2"/>
        <v>7.7980585381467486E-3</v>
      </c>
      <c r="I9" s="135">
        <f t="shared" si="3"/>
        <v>0.12570024165554358</v>
      </c>
      <c r="J9" s="34">
        <v>3022651.61</v>
      </c>
      <c r="K9" s="392">
        <f t="shared" si="4"/>
        <v>0.57121512519169704</v>
      </c>
      <c r="L9" s="137">
        <v>7194301</v>
      </c>
      <c r="M9" s="78">
        <v>0.17074151189246517</v>
      </c>
      <c r="N9" s="143">
        <f t="shared" si="5"/>
        <v>-0.26447101671169992</v>
      </c>
    </row>
    <row r="10" spans="1:14" ht="15" customHeight="1" x14ac:dyDescent="0.2">
      <c r="A10" s="9"/>
      <c r="B10" s="2" t="s">
        <v>4</v>
      </c>
      <c r="C10" s="162">
        <f>SUM(C5:C9)</f>
        <v>2506271621.5099998</v>
      </c>
      <c r="D10" s="548">
        <f t="shared" si="0"/>
        <v>0.91597346471705654</v>
      </c>
      <c r="E10" s="152">
        <f>SUM(E5:E9)</f>
        <v>2506451631.8499994</v>
      </c>
      <c r="F10" s="263">
        <f>E10/E18</f>
        <v>0.9111174364376039</v>
      </c>
      <c r="G10" s="84">
        <f>SUM(G5:G9)</f>
        <v>676078106.56000006</v>
      </c>
      <c r="H10" s="263">
        <f>G10/G18</f>
        <v>0.99631109941354512</v>
      </c>
      <c r="I10" s="85">
        <f t="shared" ref="I10:I18" si="6">+G10/E10</f>
        <v>0.26973514987041269</v>
      </c>
      <c r="J10" s="84">
        <f>SUM(J5:J9)</f>
        <v>460096327.98000002</v>
      </c>
      <c r="K10" s="170">
        <f t="shared" ref="K10:K18" si="7">+J10/G10</f>
        <v>0.68053723899010443</v>
      </c>
      <c r="L10" s="84">
        <f>SUM(L5:L9)</f>
        <v>665560001</v>
      </c>
      <c r="M10" s="43">
        <v>0.28299999999999997</v>
      </c>
      <c r="N10" s="144">
        <f t="shared" si="5"/>
        <v>1.5803391946926926E-2</v>
      </c>
    </row>
    <row r="11" spans="1:14" ht="15" customHeight="1" x14ac:dyDescent="0.2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1.461819353247399E-3</v>
      </c>
      <c r="G11" s="30">
        <v>498668.61</v>
      </c>
      <c r="H11" s="262">
        <f>G11/G18</f>
        <v>7.3486933869235137E-4</v>
      </c>
      <c r="I11" s="134">
        <f>+G11/E11</f>
        <v>0.12400333166476558</v>
      </c>
      <c r="J11" s="30">
        <v>334332.84000000003</v>
      </c>
      <c r="K11" s="153">
        <f>+J11/G11</f>
        <v>0.67045094336296807</v>
      </c>
      <c r="L11" s="136">
        <v>70528</v>
      </c>
      <c r="M11" s="52">
        <v>0.70471622701838532</v>
      </c>
      <c r="N11" s="141">
        <f t="shared" si="5"/>
        <v>6.0705054730036299</v>
      </c>
    </row>
    <row r="12" spans="1:14" ht="15" customHeight="1" x14ac:dyDescent="0.2">
      <c r="A12" s="24">
        <v>7</v>
      </c>
      <c r="B12" s="24" t="s">
        <v>6</v>
      </c>
      <c r="C12" s="530">
        <v>15057423.99</v>
      </c>
      <c r="D12" s="257">
        <f t="shared" si="0"/>
        <v>5.5030750471987489E-3</v>
      </c>
      <c r="E12" s="516">
        <v>16041795.24</v>
      </c>
      <c r="F12" s="264">
        <f>E12/E18</f>
        <v>5.8313350910896254E-3</v>
      </c>
      <c r="G12" s="180">
        <v>1093220.83</v>
      </c>
      <c r="H12" s="264">
        <f>G12/G18</f>
        <v>1.611038778612521E-3</v>
      </c>
      <c r="I12" s="135">
        <f t="shared" si="6"/>
        <v>6.8148284755191774E-2</v>
      </c>
      <c r="J12" s="180">
        <v>1093220.83</v>
      </c>
      <c r="K12" s="153">
        <f>+J12/G12</f>
        <v>1</v>
      </c>
      <c r="L12" s="137">
        <v>0</v>
      </c>
      <c r="M12" s="329">
        <v>0</v>
      </c>
      <c r="N12" s="143" t="s">
        <v>129</v>
      </c>
    </row>
    <row r="13" spans="1:14" ht="15" customHeight="1" x14ac:dyDescent="0.2">
      <c r="A13" s="9"/>
      <c r="B13" s="2" t="s">
        <v>7</v>
      </c>
      <c r="C13" s="162">
        <f>SUM(C11:C12)</f>
        <v>19078836.990000002</v>
      </c>
      <c r="D13" s="548">
        <f t="shared" si="0"/>
        <v>6.9727910855780775E-3</v>
      </c>
      <c r="E13" s="152">
        <f>SUM(E11:E12)</f>
        <v>20063208.240000002</v>
      </c>
      <c r="F13" s="263">
        <f>E13/E18</f>
        <v>7.2931544443370251E-3</v>
      </c>
      <c r="G13" s="84">
        <f>SUM(G11:G12)</f>
        <v>1591889.44</v>
      </c>
      <c r="H13" s="263">
        <f>G13/G18</f>
        <v>2.3459081173048723E-3</v>
      </c>
      <c r="I13" s="85">
        <f t="shared" si="6"/>
        <v>7.9343713176751623E-2</v>
      </c>
      <c r="J13" s="84">
        <f>SUM(J11:J12)</f>
        <v>1427553.6700000002</v>
      </c>
      <c r="K13" s="170">
        <f t="shared" si="7"/>
        <v>0.89676684456176814</v>
      </c>
      <c r="L13" s="84">
        <f>SUM(L11:L12)</f>
        <v>70528</v>
      </c>
      <c r="M13" s="43">
        <v>3.6909385372917965E-3</v>
      </c>
      <c r="N13" s="144">
        <f t="shared" si="5"/>
        <v>21.571027676950997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49">
        <f t="shared" si="0"/>
        <v>1.8273627185013432E-3</v>
      </c>
      <c r="E14" s="204">
        <f>18616364.56-E17</f>
        <v>5000000</v>
      </c>
      <c r="F14" s="262">
        <f>E14/$E$18</f>
        <v>1.8175444218828047E-3</v>
      </c>
      <c r="G14" s="30">
        <v>0</v>
      </c>
      <c r="H14" s="266">
        <f>G14/G18</f>
        <v>0</v>
      </c>
      <c r="I14" s="134">
        <f t="shared" si="6"/>
        <v>0</v>
      </c>
      <c r="J14" s="30">
        <v>0</v>
      </c>
      <c r="K14" s="153" t="s">
        <v>129</v>
      </c>
      <c r="L14" s="136">
        <v>49493</v>
      </c>
      <c r="M14" s="57">
        <v>9.8986000000000005E-3</v>
      </c>
      <c r="N14" s="145">
        <f t="shared" si="5"/>
        <v>-1</v>
      </c>
    </row>
    <row r="15" spans="1:14" ht="15" customHeight="1" x14ac:dyDescent="0.2">
      <c r="A15" s="24">
        <v>9</v>
      </c>
      <c r="B15" s="24" t="s">
        <v>9</v>
      </c>
      <c r="C15" s="530">
        <v>205833195.34</v>
      </c>
      <c r="D15" s="257">
        <f t="shared" si="0"/>
        <v>7.5226381478864082E-2</v>
      </c>
      <c r="E15" s="516">
        <v>205833195.34</v>
      </c>
      <c r="F15" s="264">
        <f>E15/$E$18</f>
        <v>7.4822195205706141E-2</v>
      </c>
      <c r="G15" s="180">
        <v>911329.61</v>
      </c>
      <c r="H15" s="264">
        <f>G15/G18</f>
        <v>1.3429924691499202E-3</v>
      </c>
      <c r="I15" s="135">
        <f t="shared" si="6"/>
        <v>4.4275152435672236E-3</v>
      </c>
      <c r="J15" s="34">
        <v>911329.61</v>
      </c>
      <c r="K15" s="392">
        <f t="shared" si="7"/>
        <v>1</v>
      </c>
      <c r="L15" s="137">
        <v>576276</v>
      </c>
      <c r="M15" s="264">
        <v>3.654052474326324E-3</v>
      </c>
      <c r="N15" s="143">
        <f t="shared" si="5"/>
        <v>0.58141170203166537</v>
      </c>
    </row>
    <row r="16" spans="1:14" ht="15" customHeight="1" x14ac:dyDescent="0.2">
      <c r="A16" s="9"/>
      <c r="B16" s="2" t="s">
        <v>10</v>
      </c>
      <c r="C16" s="162">
        <f>SUM(C14:C15)</f>
        <v>210833195.34</v>
      </c>
      <c r="D16" s="548">
        <f t="shared" si="0"/>
        <v>7.7053744197365423E-2</v>
      </c>
      <c r="E16" s="152">
        <f>SUM(E14:E15)</f>
        <v>210833195.34</v>
      </c>
      <c r="F16" s="263">
        <f>E16/E18</f>
        <v>7.6639739627588951E-2</v>
      </c>
      <c r="G16" s="84">
        <f>SUM(G14:G15)</f>
        <v>911329.61</v>
      </c>
      <c r="H16" s="263">
        <f>G16/G18</f>
        <v>1.3429924691499202E-3</v>
      </c>
      <c r="I16" s="85">
        <f t="shared" si="6"/>
        <v>4.3225148133354662E-3</v>
      </c>
      <c r="J16" s="84">
        <f>SUM(J14:J15)</f>
        <v>911329.61</v>
      </c>
      <c r="K16" s="170">
        <f t="shared" si="7"/>
        <v>1</v>
      </c>
      <c r="L16" s="84">
        <f>SUM(L14:L15)</f>
        <v>625769</v>
      </c>
      <c r="M16" s="43">
        <v>3.8459459045046261E-3</v>
      </c>
      <c r="N16" s="144">
        <f t="shared" si="5"/>
        <v>0.45633550079981577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f>IDetallCapital!D26+IDetallCapital!D27</f>
        <v>13616364.559999999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2750964399.9899993</v>
      </c>
      <c r="F18" s="265" t="s">
        <v>129</v>
      </c>
      <c r="G18" s="155">
        <f t="shared" ref="G18" si="8">+G10+G13+G16+G17</f>
        <v>678581325.61000013</v>
      </c>
      <c r="H18" s="265" t="s">
        <v>129</v>
      </c>
      <c r="I18" s="156">
        <f t="shared" si="6"/>
        <v>0.24667034063125898</v>
      </c>
      <c r="J18" s="155">
        <f>+J10+J13+J16+J17</f>
        <v>462435211.26000005</v>
      </c>
      <c r="K18" s="173">
        <f t="shared" si="7"/>
        <v>0.68147352985922671</v>
      </c>
      <c r="L18" s="147">
        <f>+L10+L13+L16+L17</f>
        <v>666256298</v>
      </c>
      <c r="M18" s="183">
        <v>0.26246787410490491</v>
      </c>
      <c r="N18" s="146">
        <f t="shared" si="5"/>
        <v>1.8498928485926491E-2</v>
      </c>
    </row>
    <row r="19" spans="1:14" x14ac:dyDescent="0.2">
      <c r="A19" s="247" t="s">
        <v>466</v>
      </c>
      <c r="B19" s="247"/>
    </row>
    <row r="21" spans="1:14" s="451" customFormat="1" x14ac:dyDescent="0.2">
      <c r="A21" s="449"/>
      <c r="B21" s="448"/>
      <c r="C21" s="457"/>
      <c r="D21" s="450"/>
      <c r="K21" s="452"/>
      <c r="M21" s="452"/>
    </row>
    <row r="22" spans="1:14" s="451" customFormat="1" x14ac:dyDescent="0.2">
      <c r="A22" s="449"/>
      <c r="B22" s="448"/>
      <c r="C22" s="457"/>
      <c r="D22" s="450"/>
      <c r="E22" s="451" t="s">
        <v>531</v>
      </c>
      <c r="G22" s="55"/>
      <c r="H22" s="78"/>
      <c r="K22" s="452"/>
      <c r="M22" s="452"/>
    </row>
    <row r="23" spans="1:14" s="451" customFormat="1" x14ac:dyDescent="0.2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">
      <c r="G28" s="55"/>
      <c r="H28" s="78"/>
    </row>
    <row r="136" spans="12:15" x14ac:dyDescent="0.2">
      <c r="L136" s="689"/>
      <c r="O136" s="689"/>
    </row>
    <row r="137" spans="12:15" x14ac:dyDescent="0.2">
      <c r="L137" s="689"/>
      <c r="N137" s="100"/>
      <c r="O137" s="689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zoomScaleNormal="100" workbookViewId="0">
      <selection activeCell="I27" sqref="I2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46" customWidth="1"/>
    <col min="12" max="12" width="6.28515625" style="97" customWidth="1"/>
    <col min="13" max="13" width="8" style="97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1"/>
      <c r="H17" s="441"/>
      <c r="J17" s="441"/>
    </row>
    <row r="18" spans="4:10" x14ac:dyDescent="0.2">
      <c r="F18" s="441"/>
      <c r="H18" s="441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P137"/>
  <sheetViews>
    <sheetView zoomScaleNormal="100" workbookViewId="0">
      <selection activeCell="A13" sqref="A1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522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15000854.75</v>
      </c>
      <c r="D5" s="204">
        <v>15720739.49</v>
      </c>
      <c r="E5" s="30">
        <v>2819000.79</v>
      </c>
      <c r="F5" s="48">
        <f>E5/D5</f>
        <v>0.17931731467169043</v>
      </c>
      <c r="G5" s="30">
        <v>2819000.79</v>
      </c>
      <c r="H5" s="48">
        <f>G5/D5</f>
        <v>0.17931731467169043</v>
      </c>
      <c r="I5" s="30">
        <v>2819000.79</v>
      </c>
      <c r="J5" s="153">
        <f>I5/D5</f>
        <v>0.17931731467169043</v>
      </c>
      <c r="K5" s="578">
        <v>2943491.51</v>
      </c>
      <c r="L5" s="48">
        <v>0.2347960251090373</v>
      </c>
      <c r="M5" s="210">
        <f>+G5/K5-1</f>
        <v>-4.229355497614451E-2</v>
      </c>
      <c r="N5" s="578">
        <v>2943491.51</v>
      </c>
      <c r="O5" s="48">
        <v>0.2347960251090373</v>
      </c>
      <c r="P5" s="210">
        <f>+I5/N5-1</f>
        <v>-4.229355497614451E-2</v>
      </c>
    </row>
    <row r="6" spans="1:16" ht="15" customHeight="1" x14ac:dyDescent="0.2">
      <c r="A6" s="23">
        <v>2</v>
      </c>
      <c r="B6" s="23" t="s">
        <v>1</v>
      </c>
      <c r="C6" s="160">
        <v>81944181.75</v>
      </c>
      <c r="D6" s="205">
        <v>84310363.549999997</v>
      </c>
      <c r="E6" s="32">
        <v>67240669.060000002</v>
      </c>
      <c r="F6" s="48">
        <f>E6/D6</f>
        <v>0.79753741092722408</v>
      </c>
      <c r="G6" s="32">
        <v>62640097.490000002</v>
      </c>
      <c r="H6" s="48">
        <f>G6/D6</f>
        <v>0.74297031648845269</v>
      </c>
      <c r="I6" s="32">
        <v>8464781.6899999995</v>
      </c>
      <c r="J6" s="153">
        <f>I6/D6</f>
        <v>0.10040025132829593</v>
      </c>
      <c r="K6" s="578">
        <v>57808116.229999997</v>
      </c>
      <c r="L6" s="48">
        <v>0.77290736168389162</v>
      </c>
      <c r="M6" s="210">
        <f t="shared" ref="M6:M17" si="0">+G6/K6-1</f>
        <v>8.3586554538035873E-2</v>
      </c>
      <c r="N6" s="578">
        <v>9574218.4000000004</v>
      </c>
      <c r="O6" s="48">
        <v>0.12800942785070529</v>
      </c>
      <c r="P6" s="210">
        <f>+I6/N6-1</f>
        <v>-0.11587752270200991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2"/>
      <c r="L7" s="48" t="s">
        <v>129</v>
      </c>
      <c r="M7" s="212" t="s">
        <v>129</v>
      </c>
      <c r="N7" s="632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447" t="s">
        <v>3</v>
      </c>
      <c r="C8" s="160">
        <v>250143469.58000001</v>
      </c>
      <c r="D8" s="397">
        <v>249649478.00999999</v>
      </c>
      <c r="E8" s="398">
        <v>229787485.09</v>
      </c>
      <c r="F8" s="48">
        <f t="shared" ref="F8" si="1">E8/D8</f>
        <v>0.92044047887332492</v>
      </c>
      <c r="G8" s="398">
        <v>224537685.09</v>
      </c>
      <c r="H8" s="412">
        <f>G8/D8</f>
        <v>0.89941179480858313</v>
      </c>
      <c r="I8" s="398">
        <v>68254186.519999996</v>
      </c>
      <c r="J8" s="153">
        <f t="shared" ref="J8" si="2">I8/D8</f>
        <v>0.27340007703627561</v>
      </c>
      <c r="K8" s="635">
        <v>187432261.86000001</v>
      </c>
      <c r="L8" s="412">
        <v>0.93743780930042298</v>
      </c>
      <c r="M8" s="443">
        <f t="shared" si="0"/>
        <v>0.19796711015372259</v>
      </c>
      <c r="N8" s="635">
        <v>71167684.060000002</v>
      </c>
      <c r="O8" s="412">
        <v>0.35594340684008341</v>
      </c>
      <c r="P8" s="443">
        <f>+I8/N8-1</f>
        <v>-4.0938490249924353E-2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21" t="s">
        <v>129</v>
      </c>
      <c r="G9" s="180">
        <v>0</v>
      </c>
      <c r="H9" s="513" t="s">
        <v>129</v>
      </c>
      <c r="I9" s="180">
        <v>0</v>
      </c>
      <c r="J9" s="517" t="s">
        <v>129</v>
      </c>
      <c r="K9" s="567">
        <v>0</v>
      </c>
      <c r="L9" s="268">
        <v>0</v>
      </c>
      <c r="M9" s="637" t="s">
        <v>129</v>
      </c>
      <c r="N9" s="567">
        <v>0</v>
      </c>
      <c r="O9" s="268">
        <v>0</v>
      </c>
      <c r="P9" s="637" t="s">
        <v>129</v>
      </c>
    </row>
    <row r="10" spans="1:16" ht="15" customHeight="1" x14ac:dyDescent="0.2">
      <c r="A10" s="9"/>
      <c r="B10" s="2" t="s">
        <v>4</v>
      </c>
      <c r="C10" s="162">
        <f>SUM(C5:C9)</f>
        <v>347088506.08000004</v>
      </c>
      <c r="D10" s="152">
        <f>SUM(D5:D9)</f>
        <v>349680581.04999995</v>
      </c>
      <c r="E10" s="84">
        <f>SUM(E5:E9)</f>
        <v>299847154.94</v>
      </c>
      <c r="F10" s="90">
        <f>E10/D10</f>
        <v>0.85748872310734803</v>
      </c>
      <c r="G10" s="84">
        <f>SUM(G5:G9)</f>
        <v>289996783.37</v>
      </c>
      <c r="H10" s="90">
        <f>G10/D10</f>
        <v>0.82931909601389642</v>
      </c>
      <c r="I10" s="84">
        <f>SUM(I5:I9)</f>
        <v>79537969</v>
      </c>
      <c r="J10" s="170">
        <f>I10/D10</f>
        <v>0.22745892483125069</v>
      </c>
      <c r="K10" s="568">
        <f>SUM(K5:K9)</f>
        <v>248183869.60000002</v>
      </c>
      <c r="L10" s="636">
        <v>0.85499999999999998</v>
      </c>
      <c r="M10" s="213">
        <f t="shared" si="0"/>
        <v>0.16847554934730535</v>
      </c>
      <c r="N10" s="568">
        <f>SUM(N5:N9)</f>
        <v>83685393.969999999</v>
      </c>
      <c r="O10" s="90">
        <v>0.28799999999999998</v>
      </c>
      <c r="P10" s="213">
        <f>+I10/N10-1</f>
        <v>-4.9559723307113668E-2</v>
      </c>
    </row>
    <row r="11" spans="1:16" ht="15" customHeight="1" x14ac:dyDescent="0.2">
      <c r="A11" s="21">
        <v>6</v>
      </c>
      <c r="B11" s="21" t="s">
        <v>5</v>
      </c>
      <c r="C11" s="159">
        <v>2029383.63</v>
      </c>
      <c r="D11" s="696">
        <v>2472703.61</v>
      </c>
      <c r="E11" s="472">
        <v>72140.56</v>
      </c>
      <c r="F11" s="48">
        <f>E11/D11</f>
        <v>2.9174770364006546E-2</v>
      </c>
      <c r="G11" s="30">
        <v>72140.56</v>
      </c>
      <c r="H11" s="48">
        <f>G11/D11</f>
        <v>2.9174770364006546E-2</v>
      </c>
      <c r="I11" s="30">
        <v>0</v>
      </c>
      <c r="J11" s="153" t="s">
        <v>129</v>
      </c>
      <c r="K11" s="565"/>
      <c r="L11" s="412"/>
      <c r="M11" s="210" t="s">
        <v>129</v>
      </c>
      <c r="N11" s="565"/>
      <c r="O11" s="414"/>
      <c r="P11" s="210" t="s">
        <v>129</v>
      </c>
    </row>
    <row r="12" spans="1:16" ht="15" customHeight="1" x14ac:dyDescent="0.2">
      <c r="A12" s="24">
        <v>7</v>
      </c>
      <c r="B12" s="24" t="s">
        <v>6</v>
      </c>
      <c r="C12" s="161">
        <v>100000</v>
      </c>
      <c r="D12" s="563">
        <v>0</v>
      </c>
      <c r="E12" s="398">
        <v>0</v>
      </c>
      <c r="F12" s="48" t="s">
        <v>129</v>
      </c>
      <c r="G12" s="137">
        <v>0</v>
      </c>
      <c r="H12" s="390">
        <f>G12/D10</f>
        <v>0</v>
      </c>
      <c r="I12" s="137">
        <v>0</v>
      </c>
      <c r="J12" s="392" t="s">
        <v>129</v>
      </c>
      <c r="K12" s="569"/>
      <c r="L12" s="390" t="s">
        <v>129</v>
      </c>
      <c r="M12" s="496" t="s">
        <v>129</v>
      </c>
      <c r="N12" s="569"/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2129383.63</v>
      </c>
      <c r="D13" s="152">
        <f>SUM(D11:D12)</f>
        <v>2472703.61</v>
      </c>
      <c r="E13" s="84">
        <f>SUM(E11:E12)</f>
        <v>72140.56</v>
      </c>
      <c r="F13" s="90">
        <f>E13/D13</f>
        <v>2.9174770364006546E-2</v>
      </c>
      <c r="G13" s="84">
        <f>SUM(G11:G12)</f>
        <v>72140.56</v>
      </c>
      <c r="H13" s="90">
        <f>G13/D13</f>
        <v>2.9174770364006546E-2</v>
      </c>
      <c r="I13" s="84">
        <f>SUM(I11:I12)</f>
        <v>0</v>
      </c>
      <c r="J13" s="170">
        <f>I13/D13</f>
        <v>0</v>
      </c>
      <c r="K13" s="568">
        <f t="shared" ref="K13" si="3">SUM(K11:K12)</f>
        <v>0</v>
      </c>
      <c r="L13" s="90"/>
      <c r="M13" s="225" t="s">
        <v>129</v>
      </c>
      <c r="N13" s="568">
        <f t="shared" ref="N13" si="4">SUM(N11:N12)</f>
        <v>0</v>
      </c>
      <c r="O13" s="90"/>
      <c r="P13" s="225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2"/>
      <c r="L14" s="86" t="s">
        <v>129</v>
      </c>
      <c r="M14" s="214" t="s">
        <v>129</v>
      </c>
      <c r="N14" s="632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3"/>
      <c r="L15" s="49" t="s">
        <v>129</v>
      </c>
      <c r="M15" s="215" t="s">
        <v>129</v>
      </c>
      <c r="N15" s="633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58" t="s">
        <v>129</v>
      </c>
      <c r="G16" s="84">
        <f t="shared" si="5"/>
        <v>0</v>
      </c>
      <c r="H16" s="58" t="s">
        <v>129</v>
      </c>
      <c r="I16" s="84">
        <f t="shared" si="5"/>
        <v>0</v>
      </c>
      <c r="J16" s="223" t="s">
        <v>129</v>
      </c>
      <c r="K16" s="568">
        <f t="shared" ref="K16" si="6">SUM(K14:K15)</f>
        <v>0</v>
      </c>
      <c r="L16" s="58" t="s">
        <v>129</v>
      </c>
      <c r="M16" s="216" t="s">
        <v>129</v>
      </c>
      <c r="N16" s="568">
        <f t="shared" ref="N16" si="7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349217889.71000004</v>
      </c>
      <c r="D17" s="154">
        <f t="shared" ref="D17:I17" si="8">+D10+D13+D16</f>
        <v>352153284.65999997</v>
      </c>
      <c r="E17" s="155">
        <f>+E10+E13+E16</f>
        <v>299919295.5</v>
      </c>
      <c r="F17" s="181">
        <f>E17/D17</f>
        <v>0.8516725771550554</v>
      </c>
      <c r="G17" s="155">
        <f t="shared" si="8"/>
        <v>290068923.93000001</v>
      </c>
      <c r="H17" s="181">
        <f>G17/D17</f>
        <v>0.8237007478435372</v>
      </c>
      <c r="I17" s="155">
        <f t="shared" si="8"/>
        <v>79537969</v>
      </c>
      <c r="J17" s="173">
        <f>I17/D17</f>
        <v>0.22586178367409809</v>
      </c>
      <c r="K17" s="576">
        <f t="shared" ref="K17" si="9">+K10+K13+K16</f>
        <v>248183869.60000002</v>
      </c>
      <c r="L17" s="181">
        <v>0.85419383162243823</v>
      </c>
      <c r="M17" s="607">
        <f t="shared" si="0"/>
        <v>0.16876622319374124</v>
      </c>
      <c r="N17" s="576">
        <f t="shared" ref="N17" si="10">+N10+N13+N16</f>
        <v>83685393.969999999</v>
      </c>
      <c r="O17" s="181">
        <v>0.28802656450347963</v>
      </c>
      <c r="P17" s="607">
        <f>+I17/N17-1</f>
        <v>-4.9559723307113668E-2</v>
      </c>
    </row>
    <row r="22" spans="1:16" x14ac:dyDescent="0.2">
      <c r="E22" s="180"/>
    </row>
    <row r="26" spans="1:16" x14ac:dyDescent="0.2">
      <c r="J26" s="522"/>
      <c r="K26" s="522"/>
      <c r="L26" s="522"/>
      <c r="M26" s="522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5"/>
  <sheetViews>
    <sheetView zoomScaleNormal="100" workbookViewId="0">
      <selection activeCell="I27" sqref="I2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522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A8" sqref="A8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771</v>
      </c>
    </row>
    <row r="2" spans="1:16" x14ac:dyDescent="0.2">
      <c r="A2" s="8" t="s">
        <v>20</v>
      </c>
      <c r="C2" s="164" t="s">
        <v>767</v>
      </c>
      <c r="D2" s="742" t="s">
        <v>785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1367121.04</v>
      </c>
      <c r="D5" s="204">
        <v>1361339.78</v>
      </c>
      <c r="E5" s="30">
        <v>343737.46</v>
      </c>
      <c r="F5" s="48">
        <f>E5/D5</f>
        <v>0.25249938703767255</v>
      </c>
      <c r="G5" s="30">
        <v>343737.46</v>
      </c>
      <c r="H5" s="48">
        <f>G5/D5</f>
        <v>0.25249938703767255</v>
      </c>
      <c r="I5" s="30">
        <v>343737.46</v>
      </c>
      <c r="J5" s="153">
        <f>I5/D5</f>
        <v>0.25249938703767255</v>
      </c>
      <c r="K5" s="578"/>
      <c r="L5" s="48" t="s">
        <v>129</v>
      </c>
      <c r="M5" s="210" t="s">
        <v>129</v>
      </c>
      <c r="N5" s="578"/>
      <c r="O5" s="48" t="s">
        <v>129</v>
      </c>
      <c r="P5" s="210" t="s">
        <v>129</v>
      </c>
    </row>
    <row r="6" spans="1:16" ht="15" customHeight="1" x14ac:dyDescent="0.2">
      <c r="A6" s="23">
        <v>2</v>
      </c>
      <c r="B6" s="23" t="s">
        <v>1</v>
      </c>
      <c r="C6" s="160">
        <v>29400526.609999999</v>
      </c>
      <c r="D6" s="205">
        <v>29350836.609999999</v>
      </c>
      <c r="E6" s="32">
        <v>14920597.300000001</v>
      </c>
      <c r="F6" s="48">
        <f>E6/D6</f>
        <v>0.50835339033969706</v>
      </c>
      <c r="G6" s="32">
        <v>14455175.4</v>
      </c>
      <c r="H6" s="48">
        <f>G6/D6</f>
        <v>0.49249619668677652</v>
      </c>
      <c r="I6" s="32">
        <v>2530323.25</v>
      </c>
      <c r="J6" s="153">
        <f>I6/D6</f>
        <v>8.6209578405608528E-2</v>
      </c>
      <c r="K6" s="578"/>
      <c r="L6" s="48" t="s">
        <v>129</v>
      </c>
      <c r="M6" s="210" t="s">
        <v>129</v>
      </c>
      <c r="N6" s="578"/>
      <c r="O6" s="48" t="s">
        <v>129</v>
      </c>
      <c r="P6" s="210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2"/>
      <c r="L7" s="48" t="s">
        <v>129</v>
      </c>
      <c r="M7" s="212" t="s">
        <v>129</v>
      </c>
      <c r="N7" s="632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3" t="s">
        <v>3</v>
      </c>
      <c r="C8" s="160">
        <v>189398591.78</v>
      </c>
      <c r="D8" s="397">
        <v>191502566.40000001</v>
      </c>
      <c r="E8" s="398">
        <v>122589557.14</v>
      </c>
      <c r="F8" s="48">
        <f t="shared" ref="F8" si="0">E8/D8</f>
        <v>0.64014576642248067</v>
      </c>
      <c r="G8" s="398">
        <v>121729557.14</v>
      </c>
      <c r="H8" s="412">
        <f>G8/D8</f>
        <v>0.63565496498745611</v>
      </c>
      <c r="I8" s="398">
        <v>27664249.210000001</v>
      </c>
      <c r="J8" s="153">
        <f t="shared" ref="J8" si="1">I8/D8</f>
        <v>0.14445889540830717</v>
      </c>
      <c r="K8" s="635"/>
      <c r="L8" s="412" t="s">
        <v>129</v>
      </c>
      <c r="M8" s="443" t="s">
        <v>129</v>
      </c>
      <c r="N8" s="635"/>
      <c r="O8" s="412" t="s">
        <v>129</v>
      </c>
      <c r="P8" s="443" t="s">
        <v>129</v>
      </c>
    </row>
    <row r="9" spans="1:16" ht="15" customHeight="1" x14ac:dyDescent="0.2">
      <c r="A9" s="55">
        <v>5</v>
      </c>
      <c r="B9" s="55" t="s">
        <v>453</v>
      </c>
      <c r="C9" s="161"/>
      <c r="D9" s="34"/>
      <c r="E9" s="34"/>
      <c r="F9" s="521" t="s">
        <v>129</v>
      </c>
      <c r="G9" s="180"/>
      <c r="H9" s="513" t="s">
        <v>129</v>
      </c>
      <c r="I9" s="180"/>
      <c r="J9" s="517" t="s">
        <v>129</v>
      </c>
      <c r="K9" s="567"/>
      <c r="L9" s="268" t="s">
        <v>129</v>
      </c>
      <c r="M9" s="637" t="s">
        <v>129</v>
      </c>
      <c r="N9" s="567"/>
      <c r="O9" s="268" t="s">
        <v>129</v>
      </c>
      <c r="P9" s="637" t="s">
        <v>129</v>
      </c>
    </row>
    <row r="10" spans="1:16" ht="15" customHeight="1" x14ac:dyDescent="0.2">
      <c r="A10" s="9"/>
      <c r="B10" s="2" t="s">
        <v>4</v>
      </c>
      <c r="C10" s="162">
        <f>SUM(C5:C9)</f>
        <v>220166239.43000001</v>
      </c>
      <c r="D10" s="152">
        <f>SUM(D5:D9)</f>
        <v>222214742.79000002</v>
      </c>
      <c r="E10" s="84">
        <f>SUM(E5:E9)</f>
        <v>137853891.90000001</v>
      </c>
      <c r="F10" s="90">
        <f>E10/D10</f>
        <v>0.62036339339679325</v>
      </c>
      <c r="G10" s="84">
        <f>SUM(G5:G9)</f>
        <v>136528470</v>
      </c>
      <c r="H10" s="90">
        <f>G10/D10</f>
        <v>0.61439879409362019</v>
      </c>
      <c r="I10" s="84">
        <f>SUM(I5:I9)</f>
        <v>30538309.920000002</v>
      </c>
      <c r="J10" s="170">
        <f>I10/D10</f>
        <v>0.13742702008236993</v>
      </c>
      <c r="K10" s="568">
        <f>SUM(K5:K9)</f>
        <v>0</v>
      </c>
      <c r="L10" s="636" t="s">
        <v>129</v>
      </c>
      <c r="M10" s="213" t="s">
        <v>129</v>
      </c>
      <c r="N10" s="568">
        <f>SUM(N5:N9)</f>
        <v>0</v>
      </c>
      <c r="O10" s="90" t="s">
        <v>129</v>
      </c>
      <c r="P10" s="213" t="s">
        <v>129</v>
      </c>
    </row>
    <row r="11" spans="1:16" ht="15" customHeight="1" x14ac:dyDescent="0.2">
      <c r="A11" s="21">
        <v>6</v>
      </c>
      <c r="B11" s="21" t="s">
        <v>5</v>
      </c>
      <c r="C11" s="159"/>
      <c r="D11" s="696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65"/>
      <c r="L11" s="412" t="s">
        <v>129</v>
      </c>
      <c r="M11" s="210" t="s">
        <v>129</v>
      </c>
      <c r="N11" s="565"/>
      <c r="O11" s="414" t="s">
        <v>129</v>
      </c>
      <c r="P11" s="210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563"/>
      <c r="E12" s="398"/>
      <c r="F12" s="48" t="s">
        <v>129</v>
      </c>
      <c r="G12" s="137">
        <v>0</v>
      </c>
      <c r="H12" s="390" t="s">
        <v>129</v>
      </c>
      <c r="I12" s="137">
        <v>0</v>
      </c>
      <c r="J12" s="392" t="s">
        <v>129</v>
      </c>
      <c r="K12" s="569"/>
      <c r="L12" s="390" t="s">
        <v>129</v>
      </c>
      <c r="M12" s="496" t="s">
        <v>129</v>
      </c>
      <c r="N12" s="569"/>
      <c r="O12" s="390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0</v>
      </c>
      <c r="D13" s="152">
        <f>SUM(D11:D12)</f>
        <v>0</v>
      </c>
      <c r="E13" s="84">
        <f>SUM(E11:E12)</f>
        <v>0</v>
      </c>
      <c r="F13" s="90" t="s">
        <v>129</v>
      </c>
      <c r="G13" s="84">
        <f>SUM(G11:G12)</f>
        <v>0</v>
      </c>
      <c r="H13" s="90" t="s">
        <v>129</v>
      </c>
      <c r="I13" s="84">
        <f>SUM(I11:I12)</f>
        <v>0</v>
      </c>
      <c r="J13" s="170" t="s">
        <v>129</v>
      </c>
      <c r="K13" s="568">
        <f t="shared" ref="K13" si="2">SUM(K11:K12)</f>
        <v>0</v>
      </c>
      <c r="L13" s="90" t="s">
        <v>129</v>
      </c>
      <c r="M13" s="225" t="s">
        <v>129</v>
      </c>
      <c r="N13" s="568">
        <f t="shared" ref="N13" si="3">SUM(N11:N12)</f>
        <v>0</v>
      </c>
      <c r="O13" s="90" t="s">
        <v>129</v>
      </c>
      <c r="P13" s="225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2"/>
      <c r="L14" s="86" t="s">
        <v>129</v>
      </c>
      <c r="M14" s="214" t="s">
        <v>129</v>
      </c>
      <c r="N14" s="632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3"/>
      <c r="L15" s="49" t="s">
        <v>129</v>
      </c>
      <c r="M15" s="215" t="s">
        <v>129</v>
      </c>
      <c r="N15" s="633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129</v>
      </c>
      <c r="G16" s="84">
        <f t="shared" si="4"/>
        <v>0</v>
      </c>
      <c r="H16" s="58" t="s">
        <v>129</v>
      </c>
      <c r="I16" s="84">
        <f t="shared" si="4"/>
        <v>0</v>
      </c>
      <c r="J16" s="223" t="s">
        <v>129</v>
      </c>
      <c r="K16" s="568">
        <f t="shared" ref="K16" si="5">SUM(K14:K15)</f>
        <v>0</v>
      </c>
      <c r="L16" s="58" t="s">
        <v>129</v>
      </c>
      <c r="M16" s="216" t="s">
        <v>129</v>
      </c>
      <c r="N16" s="568">
        <f t="shared" ref="N16" si="6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222214742.79000002</v>
      </c>
      <c r="E17" s="155">
        <f>+E10+E13+E16</f>
        <v>137853891.90000001</v>
      </c>
      <c r="F17" s="181">
        <f>E17/D17</f>
        <v>0.62036339339679325</v>
      </c>
      <c r="G17" s="155">
        <f t="shared" si="7"/>
        <v>136528470</v>
      </c>
      <c r="H17" s="181">
        <f>G17/D17</f>
        <v>0.61439879409362019</v>
      </c>
      <c r="I17" s="155">
        <f t="shared" si="7"/>
        <v>30538309.920000002</v>
      </c>
      <c r="J17" s="173">
        <f>I17/D17</f>
        <v>0.13742702008236993</v>
      </c>
      <c r="K17" s="576">
        <f t="shared" ref="K17" si="8">+K10+K13+K16</f>
        <v>0</v>
      </c>
      <c r="L17" s="181" t="s">
        <v>129</v>
      </c>
      <c r="M17" s="607" t="s">
        <v>129</v>
      </c>
      <c r="N17" s="576">
        <f t="shared" ref="N17" si="9">+N10+N13+N16</f>
        <v>0</v>
      </c>
      <c r="O17" s="181" t="s">
        <v>129</v>
      </c>
      <c r="P17" s="607" t="s">
        <v>129</v>
      </c>
    </row>
    <row r="22" spans="1:16" x14ac:dyDescent="0.2">
      <c r="E22" s="180"/>
    </row>
    <row r="26" spans="1:16" x14ac:dyDescent="0.2">
      <c r="J26" s="522"/>
      <c r="K26" s="522"/>
      <c r="L26" s="522"/>
      <c r="M26" s="522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topLeftCell="B2" workbookViewId="0">
      <selection activeCell="I27" sqref="I2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772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Març&amp;RDirecció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P137"/>
  <sheetViews>
    <sheetView topLeftCell="D1" zoomScaleNormal="100" workbookViewId="0">
      <selection activeCell="K19" sqref="K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140625" style="97" customWidth="1"/>
  </cols>
  <sheetData>
    <row r="1" spans="1:16" ht="15.75" thickBot="1" x14ac:dyDescent="0.3">
      <c r="A1" s="7" t="s">
        <v>523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215974006.34999999</v>
      </c>
      <c r="D5" s="204">
        <v>213087703.86000001</v>
      </c>
      <c r="E5" s="30">
        <v>45725564.43</v>
      </c>
      <c r="F5" s="48">
        <f>E5/D5</f>
        <v>0.21458565464688656</v>
      </c>
      <c r="G5" s="30">
        <v>45610478.469999999</v>
      </c>
      <c r="H5" s="48">
        <f>G5/D5</f>
        <v>0.21404556735928026</v>
      </c>
      <c r="I5" s="30">
        <v>44972958.469999999</v>
      </c>
      <c r="J5" s="153">
        <f>I5/D5</f>
        <v>0.2110537476134593</v>
      </c>
      <c r="K5" s="578">
        <v>49594716.549999997</v>
      </c>
      <c r="L5" s="48">
        <v>0.22998110607120212</v>
      </c>
      <c r="M5" s="210">
        <f>+G5/K5-1</f>
        <v>-8.0335938123231365E-2</v>
      </c>
      <c r="N5" s="578">
        <v>49307844.350000001</v>
      </c>
      <c r="O5" s="48">
        <v>0.22865081949136928</v>
      </c>
      <c r="P5" s="210">
        <f>+I5/N5-1</f>
        <v>-8.7914731157781811E-2</v>
      </c>
    </row>
    <row r="6" spans="1:16" ht="15" customHeight="1" x14ac:dyDescent="0.2">
      <c r="A6" s="23">
        <v>2</v>
      </c>
      <c r="B6" s="23" t="s">
        <v>1</v>
      </c>
      <c r="C6" s="161">
        <v>21233753.199999999</v>
      </c>
      <c r="D6" s="205">
        <v>21289201.859999999</v>
      </c>
      <c r="E6" s="32">
        <v>12327768.27</v>
      </c>
      <c r="F6" s="48">
        <f>E6/D6</f>
        <v>0.57906202172672716</v>
      </c>
      <c r="G6" s="32">
        <v>10694502.83</v>
      </c>
      <c r="H6" s="48">
        <f>G6/D6</f>
        <v>0.50234400050918582</v>
      </c>
      <c r="I6" s="32">
        <v>1857841.42</v>
      </c>
      <c r="J6" s="153">
        <f>I6/D6</f>
        <v>8.7266842233793357E-2</v>
      </c>
      <c r="K6" s="579">
        <v>12780256.07</v>
      </c>
      <c r="L6" s="280">
        <v>0.72783613907499034</v>
      </c>
      <c r="M6" s="211">
        <f>+G6/K6-1</f>
        <v>-0.16320120884714007</v>
      </c>
      <c r="N6" s="579">
        <v>1624433.12</v>
      </c>
      <c r="O6" s="280">
        <v>9.2511536840148817E-2</v>
      </c>
      <c r="P6" s="211">
        <f>+I6/N6-1</f>
        <v>0.14368600167423318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6"/>
      <c r="L7" s="280" t="s">
        <v>129</v>
      </c>
      <c r="M7" s="212" t="s">
        <v>129</v>
      </c>
      <c r="N7" s="566"/>
      <c r="O7" s="280" t="s">
        <v>129</v>
      </c>
      <c r="P7" s="211" t="s">
        <v>129</v>
      </c>
    </row>
    <row r="8" spans="1:16" ht="15" customHeight="1" x14ac:dyDescent="0.2">
      <c r="A8" s="24">
        <v>4</v>
      </c>
      <c r="B8" s="24" t="s">
        <v>3</v>
      </c>
      <c r="C8" s="161">
        <v>2776443.64</v>
      </c>
      <c r="D8" s="206">
        <v>2776443.64</v>
      </c>
      <c r="E8" s="34">
        <v>36828.14</v>
      </c>
      <c r="F8" s="390">
        <f>E8/D8</f>
        <v>1.3264501201976496E-2</v>
      </c>
      <c r="G8" s="34">
        <v>36828.14</v>
      </c>
      <c r="H8" s="390">
        <f>G8/D8</f>
        <v>1.3264501201976496E-2</v>
      </c>
      <c r="I8" s="34">
        <v>20341.580000000002</v>
      </c>
      <c r="J8" s="392">
        <f>I8/D8</f>
        <v>7.3264876358160114E-3</v>
      </c>
      <c r="K8" s="580">
        <v>26120.75</v>
      </c>
      <c r="L8" s="390">
        <v>9.2017608649102491E-3</v>
      </c>
      <c r="M8" s="443">
        <f t="shared" ref="M8:M12" si="0">+G8/K8-1</f>
        <v>0.40991893418068015</v>
      </c>
      <c r="N8" s="580">
        <v>12711.65</v>
      </c>
      <c r="O8" s="390">
        <v>4.4780323497003857E-3</v>
      </c>
      <c r="P8" s="520">
        <f>+I8/N8-1</f>
        <v>0.60023128390098868</v>
      </c>
    </row>
    <row r="9" spans="1:16" ht="15" customHeight="1" x14ac:dyDescent="0.2">
      <c r="A9" s="9"/>
      <c r="B9" s="2" t="s">
        <v>4</v>
      </c>
      <c r="C9" s="162">
        <f>SUM(C5:C8)</f>
        <v>239984203.18999997</v>
      </c>
      <c r="D9" s="152">
        <f t="shared" ref="D9:I9" si="1">SUM(D5:D8)</f>
        <v>237153349.36000001</v>
      </c>
      <c r="E9" s="84">
        <f t="shared" si="1"/>
        <v>58090160.840000004</v>
      </c>
      <c r="F9" s="90">
        <f>E9/D9</f>
        <v>0.2449476720306355</v>
      </c>
      <c r="G9" s="84">
        <f t="shared" si="1"/>
        <v>56341809.439999998</v>
      </c>
      <c r="H9" s="90">
        <f>G9/D9</f>
        <v>0.23757543206557391</v>
      </c>
      <c r="I9" s="84">
        <f t="shared" si="1"/>
        <v>46851141.469999999</v>
      </c>
      <c r="J9" s="170">
        <f>I9/D9</f>
        <v>0.19755631365290027</v>
      </c>
      <c r="K9" s="568">
        <f t="shared" ref="K9" si="2">SUM(K5:K8)</f>
        <v>62401093.369999997</v>
      </c>
      <c r="L9" s="90">
        <v>0.26436118957080174</v>
      </c>
      <c r="M9" s="213">
        <f t="shared" si="0"/>
        <v>-9.7102207714088951E-2</v>
      </c>
      <c r="N9" s="568">
        <f t="shared" ref="N9" si="3">SUM(N5:N8)</f>
        <v>50944989.119999997</v>
      </c>
      <c r="O9" s="90">
        <v>0.21582759530475759</v>
      </c>
      <c r="P9" s="213">
        <f>+I9/N9-1</f>
        <v>-8.0358200496559395E-2</v>
      </c>
    </row>
    <row r="10" spans="1:16" ht="15" customHeight="1" x14ac:dyDescent="0.2">
      <c r="A10" s="21">
        <v>6</v>
      </c>
      <c r="B10" s="21" t="s">
        <v>5</v>
      </c>
      <c r="C10" s="159">
        <v>1373491.25</v>
      </c>
      <c r="D10" s="204">
        <v>1933827.34</v>
      </c>
      <c r="E10" s="30">
        <v>904624.23</v>
      </c>
      <c r="F10" s="414">
        <f>E10/D10</f>
        <v>0.46778955457316057</v>
      </c>
      <c r="G10" s="30">
        <v>804435.49</v>
      </c>
      <c r="H10" s="414">
        <f>G10/D10</f>
        <v>0.41598103065395692</v>
      </c>
      <c r="I10" s="136">
        <v>18266.32</v>
      </c>
      <c r="J10" s="431">
        <f>I10/D10</f>
        <v>9.4456829842937268E-3</v>
      </c>
      <c r="K10" s="565">
        <v>916393.12</v>
      </c>
      <c r="L10" s="48">
        <v>0.22438384966361169</v>
      </c>
      <c r="M10" s="224">
        <f t="shared" si="0"/>
        <v>-0.1221720542816821</v>
      </c>
      <c r="N10" s="565">
        <v>26092.07</v>
      </c>
      <c r="O10" s="48">
        <v>6.3887855381241105E-3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9"/>
      <c r="L11" s="49" t="s">
        <v>129</v>
      </c>
      <c r="M11" s="215" t="s">
        <v>129</v>
      </c>
      <c r="N11" s="569"/>
      <c r="O11" s="49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1373491.25</v>
      </c>
      <c r="D12" s="152">
        <f t="shared" ref="D12:I12" si="4">SUM(D10:D11)</f>
        <v>1933827.34</v>
      </c>
      <c r="E12" s="84">
        <f t="shared" si="4"/>
        <v>904624.23</v>
      </c>
      <c r="F12" s="90">
        <f>E12/D12</f>
        <v>0.46778955457316057</v>
      </c>
      <c r="G12" s="84">
        <f t="shared" si="4"/>
        <v>804435.49</v>
      </c>
      <c r="H12" s="90">
        <f>G12/D12</f>
        <v>0.41598103065395692</v>
      </c>
      <c r="I12" s="84">
        <f t="shared" si="4"/>
        <v>18266.32</v>
      </c>
      <c r="J12" s="170">
        <f>I12/D12</f>
        <v>9.4456829842937268E-3</v>
      </c>
      <c r="K12" s="568">
        <f t="shared" ref="K12" si="5">SUM(K10:K11)</f>
        <v>916393.12</v>
      </c>
      <c r="L12" s="90">
        <v>0.22438384966361169</v>
      </c>
      <c r="M12" s="213">
        <f t="shared" si="0"/>
        <v>-0.1221720542816821</v>
      </c>
      <c r="N12" s="568">
        <f t="shared" ref="N12" si="6">SUM(N10:N11)</f>
        <v>26092.07</v>
      </c>
      <c r="O12" s="90">
        <v>6.3887855381241105E-3</v>
      </c>
      <c r="P12" s="213">
        <f>+I12/N12-1</f>
        <v>-0.29992829238922014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65"/>
      <c r="L13" s="86" t="s">
        <v>129</v>
      </c>
      <c r="M13" s="214" t="s">
        <v>129</v>
      </c>
      <c r="N13" s="565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9"/>
      <c r="L14" s="49" t="s">
        <v>129</v>
      </c>
      <c r="M14" s="215" t="s">
        <v>129</v>
      </c>
      <c r="N14" s="569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8">
        <f t="shared" ref="K15" si="8">SUM(K13:K14)</f>
        <v>0</v>
      </c>
      <c r="L15" s="58" t="s">
        <v>129</v>
      </c>
      <c r="M15" s="216" t="s">
        <v>129</v>
      </c>
      <c r="N15" s="568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239087176.70000002</v>
      </c>
      <c r="E16" s="155">
        <f t="shared" si="10"/>
        <v>58994785.07</v>
      </c>
      <c r="F16" s="181">
        <f>E16/D16</f>
        <v>0.24675010129892924</v>
      </c>
      <c r="G16" s="155">
        <f t="shared" si="10"/>
        <v>57146244.93</v>
      </c>
      <c r="H16" s="181">
        <f>G16/D16</f>
        <v>0.23901844389465324</v>
      </c>
      <c r="I16" s="155">
        <f t="shared" si="10"/>
        <v>46869407.789999999</v>
      </c>
      <c r="J16" s="173">
        <f>I16/D16</f>
        <v>0.19603480386072916</v>
      </c>
      <c r="K16" s="576">
        <f t="shared" ref="K16" si="11">+K9+K12+K15</f>
        <v>63317486.489999995</v>
      </c>
      <c r="L16" s="181">
        <v>0.26368126657816882</v>
      </c>
      <c r="M16" s="607">
        <f>+G16/K16-1</f>
        <v>-9.7465043262174422E-2</v>
      </c>
      <c r="N16" s="576">
        <f t="shared" ref="N16" si="12">+N9+N12+N15</f>
        <v>50971081.189999998</v>
      </c>
      <c r="O16" s="181">
        <v>0.21226552082354896</v>
      </c>
      <c r="P16" s="607">
        <f>+I16/N16-1</f>
        <v>-8.0470598312611497E-2</v>
      </c>
    </row>
    <row r="20" spans="5:5" x14ac:dyDescent="0.2">
      <c r="E20" s="180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35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140625" style="97" bestFit="1" customWidth="1"/>
  </cols>
  <sheetData>
    <row r="2" spans="1:15" ht="15" x14ac:dyDescent="0.25">
      <c r="B2" s="7" t="s">
        <v>523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P137"/>
  <sheetViews>
    <sheetView topLeftCell="B1" zoomScaleNormal="100" workbookViewId="0">
      <selection activeCell="B18" sqref="B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customWidth="1"/>
    <col min="17" max="17" width="4.42578125" customWidth="1"/>
  </cols>
  <sheetData>
    <row r="1" spans="1:16" ht="15.75" thickBot="1" x14ac:dyDescent="0.3">
      <c r="A1" s="7" t="s">
        <v>524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2641421.9</v>
      </c>
      <c r="F5" s="48">
        <f>E5/D5</f>
        <v>0.22091237785158052</v>
      </c>
      <c r="G5" s="30">
        <v>2597621.9</v>
      </c>
      <c r="H5" s="48">
        <f>G5/D5</f>
        <v>0.21724921364827804</v>
      </c>
      <c r="I5" s="30">
        <v>2597621.9</v>
      </c>
      <c r="J5" s="153">
        <f>I5/D5</f>
        <v>0.21724921364827804</v>
      </c>
      <c r="K5" s="578">
        <v>2517838.2200000002</v>
      </c>
      <c r="L5" s="48">
        <v>0.25330677681440056</v>
      </c>
      <c r="M5" s="210">
        <f>+G5/K5-1</f>
        <v>3.1687373464368118E-2</v>
      </c>
      <c r="N5" s="30">
        <v>2517838.2200000002</v>
      </c>
      <c r="O5" s="48">
        <v>0.25330677681440056</v>
      </c>
      <c r="P5" s="210">
        <f>+I5/N5-1</f>
        <v>3.1687373464368118E-2</v>
      </c>
    </row>
    <row r="6" spans="1:16" ht="15" customHeight="1" x14ac:dyDescent="0.2">
      <c r="A6" s="23">
        <v>2</v>
      </c>
      <c r="B6" s="23" t="s">
        <v>1</v>
      </c>
      <c r="C6" s="160">
        <v>6412027.9500000002</v>
      </c>
      <c r="D6" s="205">
        <v>7327930.4299999997</v>
      </c>
      <c r="E6" s="32">
        <v>4844841.99</v>
      </c>
      <c r="F6" s="48">
        <f>E6/D6</f>
        <v>0.66114737800533407</v>
      </c>
      <c r="G6" s="32">
        <v>3606431.04</v>
      </c>
      <c r="H6" s="48">
        <f>G6/D6</f>
        <v>0.49214864612190379</v>
      </c>
      <c r="I6" s="32">
        <v>725892.6</v>
      </c>
      <c r="J6" s="153">
        <f>I6/D6</f>
        <v>9.9058336720590293E-2</v>
      </c>
      <c r="K6" s="579">
        <v>3092489.13</v>
      </c>
      <c r="L6" s="280">
        <v>0.50515722087541737</v>
      </c>
      <c r="M6" s="211">
        <f>+G6/K6-1</f>
        <v>0.16619036911537988</v>
      </c>
      <c r="N6" s="32">
        <v>529126.16</v>
      </c>
      <c r="O6" s="280">
        <v>8.6432607922564131E-2</v>
      </c>
      <c r="P6" s="211">
        <f>+I6/N6-1</f>
        <v>0.37187055729771501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6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32506022.739999998</v>
      </c>
      <c r="D8" s="206">
        <v>32262322.739999998</v>
      </c>
      <c r="E8" s="34">
        <v>20387342.559999999</v>
      </c>
      <c r="F8" s="390">
        <f>E8/D8</f>
        <v>0.63192420224359824</v>
      </c>
      <c r="G8" s="34">
        <v>19890278.59</v>
      </c>
      <c r="H8" s="390">
        <f>G8/D8</f>
        <v>0.6165172529670131</v>
      </c>
      <c r="I8" s="34">
        <v>5591066.2000000002</v>
      </c>
      <c r="J8" s="392">
        <f>I8/D8</f>
        <v>0.17330017572070203</v>
      </c>
      <c r="K8" s="580">
        <v>20228324.949999999</v>
      </c>
      <c r="L8" s="390">
        <v>0.77808340571547441</v>
      </c>
      <c r="M8" s="520">
        <f>+G8/K8-1</f>
        <v>-1.6711534980556997E-2</v>
      </c>
      <c r="N8" s="695">
        <v>3945077.24</v>
      </c>
      <c r="O8" s="390">
        <v>0.15174756893105004</v>
      </c>
      <c r="P8" s="520">
        <f>+I8/N8-1</f>
        <v>0.41722604143486941</v>
      </c>
    </row>
    <row r="9" spans="1:16" ht="15" customHeight="1" x14ac:dyDescent="0.2">
      <c r="A9" s="9"/>
      <c r="B9" s="2" t="s">
        <v>4</v>
      </c>
      <c r="C9" s="162">
        <f>SUM(C5:C8)</f>
        <v>50177184.560000002</v>
      </c>
      <c r="D9" s="152">
        <f t="shared" ref="D9:I9" si="0">SUM(D5:D8)</f>
        <v>51547129.129999995</v>
      </c>
      <c r="E9" s="84">
        <f t="shared" si="0"/>
        <v>27873606.449999999</v>
      </c>
      <c r="F9" s="90">
        <f>E9/D9</f>
        <v>0.54074022977504277</v>
      </c>
      <c r="G9" s="84">
        <f t="shared" si="0"/>
        <v>26094331.530000001</v>
      </c>
      <c r="H9" s="90">
        <f>G9/D9</f>
        <v>0.50622279010322846</v>
      </c>
      <c r="I9" s="84">
        <f t="shared" si="0"/>
        <v>8914580.6999999993</v>
      </c>
      <c r="J9" s="170">
        <f>I9/D9</f>
        <v>0.17294039164659877</v>
      </c>
      <c r="K9" s="568">
        <f t="shared" ref="K9" si="1">SUM(K5:K8)</f>
        <v>25838652.299999997</v>
      </c>
      <c r="L9" s="90">
        <v>0.61433799728481719</v>
      </c>
      <c r="M9" s="213">
        <f t="shared" ref="M9" si="2">+G9/K9-1</f>
        <v>9.8952231343738539E-3</v>
      </c>
      <c r="N9" s="84">
        <f t="shared" ref="N9" si="3">SUM(N5:N8)</f>
        <v>6992041.620000001</v>
      </c>
      <c r="O9" s="90">
        <v>0.16624229452411843</v>
      </c>
      <c r="P9" s="213">
        <f>+I9/N9-1</f>
        <v>0.27496104635601371</v>
      </c>
    </row>
    <row r="10" spans="1:16" ht="15" customHeight="1" x14ac:dyDescent="0.2">
      <c r="A10" s="21">
        <v>6</v>
      </c>
      <c r="B10" s="21" t="s">
        <v>5</v>
      </c>
      <c r="C10" s="159">
        <v>8537936.3300000001</v>
      </c>
      <c r="D10" s="204">
        <v>6877152.5099999998</v>
      </c>
      <c r="E10" s="30">
        <v>6722445.21</v>
      </c>
      <c r="F10" s="48">
        <f>E10/D10</f>
        <v>0.97750416327469236</v>
      </c>
      <c r="G10" s="30">
        <v>6722445.21</v>
      </c>
      <c r="H10" s="48">
        <f>G10/D10</f>
        <v>0.97750416327469236</v>
      </c>
      <c r="I10" s="30">
        <v>0</v>
      </c>
      <c r="J10" s="153">
        <f>I10/D10</f>
        <v>0</v>
      </c>
      <c r="K10" s="565">
        <v>1451473.09</v>
      </c>
      <c r="L10" s="48">
        <v>1</v>
      </c>
      <c r="M10" s="210">
        <f>+G10/K10-1</f>
        <v>3.6314638943805697</v>
      </c>
      <c r="N10" s="30">
        <v>1018217.82</v>
      </c>
      <c r="O10" s="48">
        <v>0.70150650881167897</v>
      </c>
      <c r="P10" s="210">
        <f>+I10/N10-1</f>
        <v>-1</v>
      </c>
    </row>
    <row r="11" spans="1:16" ht="15" customHeight="1" x14ac:dyDescent="0.2">
      <c r="A11" s="24">
        <v>7</v>
      </c>
      <c r="B11" s="24" t="s">
        <v>6</v>
      </c>
      <c r="C11" s="161">
        <v>6500000</v>
      </c>
      <c r="D11" s="206">
        <v>194447</v>
      </c>
      <c r="E11" s="34">
        <v>194447</v>
      </c>
      <c r="F11" s="78">
        <f>E11/D11</f>
        <v>1</v>
      </c>
      <c r="G11" s="56">
        <v>194447</v>
      </c>
      <c r="H11" s="78">
        <f>G11/D11</f>
        <v>1</v>
      </c>
      <c r="I11" s="56">
        <v>0</v>
      </c>
      <c r="J11" s="172">
        <f>I11/D11</f>
        <v>0</v>
      </c>
      <c r="K11" s="569">
        <v>0</v>
      </c>
      <c r="L11" s="390">
        <v>0</v>
      </c>
      <c r="M11" s="245" t="s">
        <v>129</v>
      </c>
      <c r="N11" s="56">
        <v>0</v>
      </c>
      <c r="O11" s="390">
        <v>0</v>
      </c>
      <c r="P11" s="245" t="s">
        <v>129</v>
      </c>
    </row>
    <row r="12" spans="1:16" ht="15" customHeight="1" x14ac:dyDescent="0.2">
      <c r="A12" s="9"/>
      <c r="B12" s="2" t="s">
        <v>7</v>
      </c>
      <c r="C12" s="162">
        <f>SUM(C10:C11)</f>
        <v>15037936.33</v>
      </c>
      <c r="D12" s="152">
        <f t="shared" ref="D12:I12" si="4">SUM(D10:D11)</f>
        <v>7071599.5099999998</v>
      </c>
      <c r="E12" s="84">
        <f t="shared" si="4"/>
        <v>6916892.21</v>
      </c>
      <c r="F12" s="90">
        <f>E12/D12</f>
        <v>0.97812272884214846</v>
      </c>
      <c r="G12" s="84">
        <f t="shared" si="4"/>
        <v>6916892.21</v>
      </c>
      <c r="H12" s="90">
        <f>G12/D12</f>
        <v>0.97812272884214846</v>
      </c>
      <c r="I12" s="84">
        <f t="shared" si="4"/>
        <v>0</v>
      </c>
      <c r="J12" s="170">
        <f>I12/D12</f>
        <v>0</v>
      </c>
      <c r="K12" s="568">
        <f t="shared" ref="K12" si="5">SUM(K10:K11)</f>
        <v>1451473.09</v>
      </c>
      <c r="L12" s="90">
        <v>0.16951226472235154</v>
      </c>
      <c r="M12" s="213">
        <f>+G12/K12-1</f>
        <v>3.765429175128558</v>
      </c>
      <c r="N12" s="84">
        <f t="shared" ref="N12" si="6">SUM(N10:N11)</f>
        <v>1018217.82</v>
      </c>
      <c r="O12" s="90">
        <v>0.11891395702613795</v>
      </c>
      <c r="P12" s="213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65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8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58618728.639999993</v>
      </c>
      <c r="E16" s="155">
        <f t="shared" si="10"/>
        <v>34790498.659999996</v>
      </c>
      <c r="F16" s="181">
        <f>E16/D16</f>
        <v>0.59350483142788268</v>
      </c>
      <c r="G16" s="155">
        <f t="shared" si="10"/>
        <v>33011223.740000002</v>
      </c>
      <c r="H16" s="181">
        <f>G16/D16</f>
        <v>0.56315147915838537</v>
      </c>
      <c r="I16" s="155">
        <f t="shared" si="10"/>
        <v>8914580.6999999993</v>
      </c>
      <c r="J16" s="173">
        <f>I16/D16</f>
        <v>0.1520773463844268</v>
      </c>
      <c r="K16" s="576">
        <f t="shared" ref="K16" si="11">+K9+K12+K15</f>
        <v>27290125.389999997</v>
      </c>
      <c r="L16" s="181">
        <v>0.53909629980699159</v>
      </c>
      <c r="M16" s="607">
        <f>+G16/K16-1</f>
        <v>0.20963987040148968</v>
      </c>
      <c r="N16" s="155">
        <f t="shared" ref="N16" si="12">+N9+N12+N15</f>
        <v>8010259.4400000013</v>
      </c>
      <c r="O16" s="181">
        <v>0.15823676743458251</v>
      </c>
      <c r="P16" s="607">
        <f>+I16/N16-1</f>
        <v>0.11289537708156905</v>
      </c>
    </row>
    <row r="19" spans="5:7" x14ac:dyDescent="0.2">
      <c r="G19" s="691"/>
    </row>
    <row r="20" spans="5:7" x14ac:dyDescent="0.2">
      <c r="E20" s="180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4.42578125" customWidth="1"/>
  </cols>
  <sheetData>
    <row r="1" spans="1:13" ht="15" x14ac:dyDescent="0.25">
      <c r="A1" s="7" t="s">
        <v>524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P137"/>
  <sheetViews>
    <sheetView zoomScaleNormal="100" workbookViewId="0">
      <selection activeCell="A18" sqref="A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7.85546875" style="97" bestFit="1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525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76">
        <v>1614150.9</v>
      </c>
      <c r="D5" s="204">
        <v>1517039.96</v>
      </c>
      <c r="E5" s="180">
        <v>342038.53</v>
      </c>
      <c r="F5" s="48">
        <f>E5/D5</f>
        <v>0.22546441690303268</v>
      </c>
      <c r="G5" s="180">
        <v>342038.53</v>
      </c>
      <c r="H5" s="48">
        <f>G5/D5</f>
        <v>0.22546441690303268</v>
      </c>
      <c r="I5" s="180">
        <v>342038.53</v>
      </c>
      <c r="J5" s="153">
        <f>I5/D5</f>
        <v>0.22546441690303268</v>
      </c>
      <c r="K5" s="180">
        <v>422100.46</v>
      </c>
      <c r="L5" s="48">
        <v>0.2394436101240778</v>
      </c>
      <c r="M5" s="210">
        <f>+G5/K5-1</f>
        <v>-0.18967505981869814</v>
      </c>
      <c r="N5" s="690">
        <v>422100.46</v>
      </c>
      <c r="O5" s="48">
        <v>0.2394436101240778</v>
      </c>
      <c r="P5" s="210">
        <f>+I5/N5-1</f>
        <v>-0.18967505981869814</v>
      </c>
    </row>
    <row r="6" spans="1:16" ht="15" customHeight="1" x14ac:dyDescent="0.2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207265585.44999999</v>
      </c>
      <c r="F6" s="48">
        <f>E6/D6</f>
        <v>0.93503966675387773</v>
      </c>
      <c r="G6" s="34">
        <v>206040121.28999999</v>
      </c>
      <c r="H6" s="48">
        <f>G6/D6</f>
        <v>0.92951121591483754</v>
      </c>
      <c r="I6" s="34">
        <v>15678054.449999999</v>
      </c>
      <c r="J6" s="153">
        <f>I6/D6</f>
        <v>7.0728590935389898E-2</v>
      </c>
      <c r="K6" s="34">
        <v>205271117.72999999</v>
      </c>
      <c r="L6" s="280">
        <v>0.95824166757808904</v>
      </c>
      <c r="M6" s="210">
        <f>+G6/K6-1</f>
        <v>3.7462823240992371E-3</v>
      </c>
      <c r="N6" s="34">
        <v>16795804.640000001</v>
      </c>
      <c r="O6" s="280">
        <v>7.8405769036240955E-2</v>
      </c>
      <c r="P6" s="210">
        <f t="shared" ref="P6:P8" si="0">+I6/N6-1</f>
        <v>-6.6549368366551898E-2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60102707.159999996</v>
      </c>
      <c r="F8" s="390">
        <f>E8/D8</f>
        <v>0.99274925236795042</v>
      </c>
      <c r="G8" s="80">
        <v>60022707.159999996</v>
      </c>
      <c r="H8" s="78">
        <f t="shared" ref="H8" si="1">G8/D8</f>
        <v>0.99142784865849665</v>
      </c>
      <c r="I8" s="34">
        <v>10658251.18</v>
      </c>
      <c r="J8" s="392">
        <f>I8/D8</f>
        <v>0.17604815806927165</v>
      </c>
      <c r="K8" s="34">
        <v>58574021.469999999</v>
      </c>
      <c r="L8" s="390">
        <v>0.50045136956463332</v>
      </c>
      <c r="M8" s="520">
        <f>+G8/K8-1</f>
        <v>2.4732563236109284E-2</v>
      </c>
      <c r="N8" s="34">
        <v>16419260.619999999</v>
      </c>
      <c r="O8" s="390">
        <v>0.14028474156800369</v>
      </c>
      <c r="P8" s="210">
        <f t="shared" si="0"/>
        <v>-0.35086899302777497</v>
      </c>
    </row>
    <row r="9" spans="1:16" ht="15" customHeight="1" x14ac:dyDescent="0.2">
      <c r="A9" s="9"/>
      <c r="B9" s="2" t="s">
        <v>4</v>
      </c>
      <c r="C9" s="162">
        <f>SUM(C5:C8)</f>
        <v>283222598.26999998</v>
      </c>
      <c r="D9" s="152">
        <f t="shared" ref="D9:I9" si="2">SUM(D5:D8)</f>
        <v>283723738.50999999</v>
      </c>
      <c r="E9" s="84">
        <f t="shared" si="2"/>
        <v>267710331.13999999</v>
      </c>
      <c r="F9" s="90">
        <f>E9/D9</f>
        <v>0.94355986053864993</v>
      </c>
      <c r="G9" s="84">
        <f>SUM(G5:G8)</f>
        <v>266404866.97999999</v>
      </c>
      <c r="H9" s="90">
        <f>G9/D9</f>
        <v>0.93895867994355509</v>
      </c>
      <c r="I9" s="84">
        <f t="shared" si="2"/>
        <v>26678344.159999996</v>
      </c>
      <c r="J9" s="170">
        <f>I9/D9</f>
        <v>9.4029298711851367E-2</v>
      </c>
      <c r="K9" s="84">
        <f>SUM(K5:K8)</f>
        <v>264267239.66</v>
      </c>
      <c r="L9" s="90">
        <v>0.79354369370509537</v>
      </c>
      <c r="M9" s="213">
        <f t="shared" ref="M9" si="3">+G9/K9-1</f>
        <v>8.0888850345210983E-3</v>
      </c>
      <c r="N9" s="84">
        <f t="shared" ref="N9" si="4">SUM(N5:N8)</f>
        <v>33637165.719999999</v>
      </c>
      <c r="O9" s="90">
        <v>0.1010059391605302</v>
      </c>
      <c r="P9" s="213">
        <f>+I9/N9-1</f>
        <v>-0.20687895103666309</v>
      </c>
    </row>
    <row r="10" spans="1:16" ht="15" customHeight="1" x14ac:dyDescent="0.2">
      <c r="A10" s="21">
        <v>6</v>
      </c>
      <c r="B10" s="21" t="s">
        <v>5</v>
      </c>
      <c r="C10" s="159">
        <v>3452456.25</v>
      </c>
      <c r="D10" s="204">
        <v>3196109.16</v>
      </c>
      <c r="E10" s="30">
        <v>2629518.8199999998</v>
      </c>
      <c r="F10" s="48">
        <f>E10/D10</f>
        <v>0.82272497225970831</v>
      </c>
      <c r="G10" s="136">
        <v>2236268.8199999998</v>
      </c>
      <c r="H10" s="48">
        <f>G10/D10</f>
        <v>0.69968474418439441</v>
      </c>
      <c r="I10" s="136">
        <v>0</v>
      </c>
      <c r="J10" s="153">
        <f>I10/D10</f>
        <v>0</v>
      </c>
      <c r="K10" s="136">
        <v>7786.29</v>
      </c>
      <c r="L10" s="48">
        <v>7.2238222504921554E-2</v>
      </c>
      <c r="M10" s="224">
        <f>+G10/K10-1</f>
        <v>286.20595045907612</v>
      </c>
      <c r="N10" s="136">
        <v>0</v>
      </c>
      <c r="O10" s="48">
        <v>0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/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0</v>
      </c>
      <c r="O11" s="28" t="s">
        <v>129</v>
      </c>
      <c r="P11" s="559" t="s">
        <v>129</v>
      </c>
    </row>
    <row r="12" spans="1:16" ht="15" customHeight="1" x14ac:dyDescent="0.2">
      <c r="A12" s="9"/>
      <c r="B12" s="2" t="s">
        <v>7</v>
      </c>
      <c r="C12" s="162">
        <f>SUM(C10:C11)</f>
        <v>3452456.25</v>
      </c>
      <c r="D12" s="152">
        <f t="shared" ref="D12:I12" si="5">SUM(D10:D11)</f>
        <v>3196109.16</v>
      </c>
      <c r="E12" s="84">
        <f t="shared" si="5"/>
        <v>2629518.8199999998</v>
      </c>
      <c r="F12" s="90">
        <f>E12/D12</f>
        <v>0.82272497225970831</v>
      </c>
      <c r="G12" s="84">
        <f>SUM(G10:G11)</f>
        <v>2236268.8199999998</v>
      </c>
      <c r="H12" s="90">
        <f>G12/D12</f>
        <v>0.69968474418439441</v>
      </c>
      <c r="I12" s="84">
        <f t="shared" si="5"/>
        <v>0</v>
      </c>
      <c r="J12" s="170">
        <f>I12/D12</f>
        <v>0</v>
      </c>
      <c r="K12" s="84">
        <f>SUM(K10:K11)</f>
        <v>207786.29</v>
      </c>
      <c r="L12" s="90">
        <v>0.6750992385008443</v>
      </c>
      <c r="M12" s="225">
        <f>+G12/K12-1</f>
        <v>9.7623502012572612</v>
      </c>
      <c r="N12" s="84">
        <f t="shared" ref="N12" si="6">SUM(N10:N11)</f>
        <v>0</v>
      </c>
      <c r="O12" s="90">
        <v>0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286919847.67000002</v>
      </c>
      <c r="E16" s="155">
        <f t="shared" si="10"/>
        <v>270339849.95999998</v>
      </c>
      <c r="F16" s="181">
        <f>E16/D16</f>
        <v>0.94221383482306365</v>
      </c>
      <c r="G16" s="155">
        <f t="shared" si="10"/>
        <v>268641135.80000001</v>
      </c>
      <c r="H16" s="181">
        <f>G16/D16</f>
        <v>0.93629331669301874</v>
      </c>
      <c r="I16" s="155">
        <f t="shared" si="10"/>
        <v>26678344.159999996</v>
      </c>
      <c r="J16" s="173">
        <f>I16/D16</f>
        <v>9.2981870639649897E-2</v>
      </c>
      <c r="K16" s="155">
        <f t="shared" ref="K16" si="11">+K9+K12+K15</f>
        <v>264475025.94999999</v>
      </c>
      <c r="L16" s="181">
        <v>0.79343432569204564</v>
      </c>
      <c r="M16" s="607">
        <f>+G16/K16-1</f>
        <v>1.57523752385893E-2</v>
      </c>
      <c r="N16" s="155">
        <f t="shared" ref="N16" si="12">+N9+N12+N15</f>
        <v>33637165.719999999</v>
      </c>
      <c r="O16" s="181">
        <v>0.10091267334362765</v>
      </c>
      <c r="P16" s="607">
        <f>+I16/N16-1</f>
        <v>-0.20687895103666309</v>
      </c>
    </row>
    <row r="20" spans="5:5" x14ac:dyDescent="0.2">
      <c r="E20" s="180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topLeftCell="C1" zoomScaleNormal="100" workbookViewId="0">
      <selection activeCell="M2" sqref="M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1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7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" style="97" bestFit="1" customWidth="1"/>
  </cols>
  <sheetData>
    <row r="1" spans="1:15" ht="15" x14ac:dyDescent="0.25">
      <c r="A1" s="7" t="s">
        <v>536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topLeftCell="D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42578125" style="46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526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590327.65</v>
      </c>
      <c r="D5" s="204">
        <v>601736.19999999995</v>
      </c>
      <c r="E5" s="30">
        <v>132534.94</v>
      </c>
      <c r="F5" s="48">
        <f>E5/D5</f>
        <v>0.22025422435944525</v>
      </c>
      <c r="G5" s="30">
        <v>132534.94</v>
      </c>
      <c r="H5" s="48">
        <f>G5/D5</f>
        <v>0.22025422435944525</v>
      </c>
      <c r="I5" s="30">
        <v>132534.94</v>
      </c>
      <c r="J5" s="153">
        <f>I5/D5</f>
        <v>0.22025422435944525</v>
      </c>
      <c r="K5" s="204">
        <v>163693.51</v>
      </c>
      <c r="L5" s="48">
        <v>0.1194610704066222</v>
      </c>
      <c r="M5" s="210">
        <f>G5/K5-1</f>
        <v>-0.19034700887041889</v>
      </c>
      <c r="N5" s="30">
        <v>163693.51</v>
      </c>
      <c r="O5" s="48">
        <v>0.1194610704066222</v>
      </c>
      <c r="P5" s="210">
        <f>I5/N5-1</f>
        <v>-0.19034700887041889</v>
      </c>
    </row>
    <row r="6" spans="1:16" ht="15" customHeight="1" x14ac:dyDescent="0.2">
      <c r="A6" s="23">
        <v>2</v>
      </c>
      <c r="B6" s="23" t="s">
        <v>1</v>
      </c>
      <c r="C6" s="160">
        <v>4166952.74</v>
      </c>
      <c r="D6" s="205">
        <v>4205260.74</v>
      </c>
      <c r="E6" s="32">
        <v>3190797.56</v>
      </c>
      <c r="F6" s="48">
        <f>E6/D6</f>
        <v>0.75876331035777822</v>
      </c>
      <c r="G6" s="32">
        <v>3033236.62</v>
      </c>
      <c r="H6" s="48">
        <f>G6/D6</f>
        <v>0.72129573111797107</v>
      </c>
      <c r="I6" s="32">
        <v>83977.13</v>
      </c>
      <c r="J6" s="153">
        <f>I6/D6</f>
        <v>1.9969541769721513E-2</v>
      </c>
      <c r="K6" s="32">
        <v>2948964.07</v>
      </c>
      <c r="L6" s="280">
        <v>0.73771712537837664</v>
      </c>
      <c r="M6" s="210">
        <f>G6/K6-1</f>
        <v>2.8577001278961012E-2</v>
      </c>
      <c r="N6" s="32">
        <v>293204.59000000003</v>
      </c>
      <c r="O6" s="280">
        <v>7.3348485145343104E-2</v>
      </c>
      <c r="P6" s="210">
        <f>I6/N6-1</f>
        <v>-0.71358862424357006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50</v>
      </c>
      <c r="D8" s="206">
        <v>35050</v>
      </c>
      <c r="E8" s="34">
        <v>35000</v>
      </c>
      <c r="F8" s="78">
        <f>E8/D8</f>
        <v>0.99857346647646217</v>
      </c>
      <c r="G8" s="180">
        <v>0</v>
      </c>
      <c r="H8" s="48">
        <f t="shared" ref="H8" si="0">G8/D8</f>
        <v>0</v>
      </c>
      <c r="I8" s="180">
        <v>0</v>
      </c>
      <c r="J8" s="172">
        <v>0</v>
      </c>
      <c r="K8" s="180">
        <v>0</v>
      </c>
      <c r="L8" s="390">
        <v>0</v>
      </c>
      <c r="M8" s="245" t="s">
        <v>129</v>
      </c>
      <c r="N8" s="180">
        <v>0</v>
      </c>
      <c r="O8" s="390">
        <v>0</v>
      </c>
      <c r="P8" s="245" t="s">
        <v>129</v>
      </c>
    </row>
    <row r="9" spans="1:16" ht="15" customHeight="1" x14ac:dyDescent="0.2">
      <c r="A9" s="9"/>
      <c r="B9" s="2" t="s">
        <v>4</v>
      </c>
      <c r="C9" s="162">
        <f>SUM(C5:C8)</f>
        <v>4757330.3900000006</v>
      </c>
      <c r="D9" s="152">
        <f t="shared" ref="D9:I9" si="1">SUM(D5:D8)</f>
        <v>4842046.9400000004</v>
      </c>
      <c r="E9" s="84">
        <f t="shared" si="1"/>
        <v>3358332.5</v>
      </c>
      <c r="F9" s="90">
        <f>E9/D9</f>
        <v>0.69357702261349818</v>
      </c>
      <c r="G9" s="84">
        <f t="shared" si="1"/>
        <v>3165771.56</v>
      </c>
      <c r="H9" s="90">
        <f>G9/D9</f>
        <v>0.65380852338453366</v>
      </c>
      <c r="I9" s="84">
        <f t="shared" si="1"/>
        <v>216512.07</v>
      </c>
      <c r="J9" s="170">
        <f>I9/D9</f>
        <v>4.4714987831158862E-2</v>
      </c>
      <c r="K9" s="84">
        <f t="shared" ref="K9" si="2">SUM(K5:K8)</f>
        <v>3112657.58</v>
      </c>
      <c r="L9" s="90">
        <v>0.54919381688153934</v>
      </c>
      <c r="M9" s="213">
        <f t="shared" ref="M9" si="3">G9/K9-1</f>
        <v>1.7063868618661271E-2</v>
      </c>
      <c r="N9" s="84">
        <f t="shared" ref="N9" si="4">SUM(N5:N8)</f>
        <v>456898.10000000003</v>
      </c>
      <c r="O9" s="90">
        <v>8.1000000000000003E-2</v>
      </c>
      <c r="P9" s="213">
        <f>I9/N9-1</f>
        <v>-0.52612613184427781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9" t="s">
        <v>129</v>
      </c>
      <c r="N11" s="137"/>
      <c r="O11" s="49" t="s">
        <v>129</v>
      </c>
      <c r="P11" s="559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4842046.9400000004</v>
      </c>
      <c r="E16" s="155">
        <f t="shared" si="11"/>
        <v>3358332.5</v>
      </c>
      <c r="F16" s="181">
        <f>E16/D16</f>
        <v>0.69357702261349818</v>
      </c>
      <c r="G16" s="155">
        <f t="shared" si="11"/>
        <v>3165771.56</v>
      </c>
      <c r="H16" s="181">
        <f>G16/D16</f>
        <v>0.65380852338453366</v>
      </c>
      <c r="I16" s="155">
        <f t="shared" si="11"/>
        <v>216512.07</v>
      </c>
      <c r="J16" s="173">
        <f>I16/D16</f>
        <v>4.4714987831158862E-2</v>
      </c>
      <c r="K16" s="155">
        <f t="shared" ref="K16" si="12">+K9+K12+K15</f>
        <v>3112657.58</v>
      </c>
      <c r="L16" s="181">
        <v>0.54919381688153934</v>
      </c>
      <c r="M16" s="607">
        <f t="shared" ref="M16" si="13">G16/K16-1</f>
        <v>1.7063868618661271E-2</v>
      </c>
      <c r="N16" s="155">
        <f t="shared" ref="N16" si="14">+N9+N12+N15</f>
        <v>456898.10000000003</v>
      </c>
      <c r="O16" s="181">
        <v>9.8668240948859121E-2</v>
      </c>
      <c r="P16" s="607">
        <f>I16/N16-1</f>
        <v>-0.52612613184427781</v>
      </c>
    </row>
    <row r="21" spans="5:5" x14ac:dyDescent="0.2">
      <c r="E21" s="180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M31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3" spans="1:13" ht="15" x14ac:dyDescent="0.25">
      <c r="A3" s="7" t="s">
        <v>537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I9" sqref="I9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97" customWidth="1"/>
    <col min="7" max="7" width="11" style="46" customWidth="1"/>
    <col min="8" max="8" width="6.28515625" style="97" customWidth="1"/>
    <col min="9" max="9" width="11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710937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4351164.46</v>
      </c>
      <c r="D5" s="204">
        <v>4386001.22</v>
      </c>
      <c r="E5" s="30">
        <v>882575.69</v>
      </c>
      <c r="F5" s="48">
        <f>E5/D5</f>
        <v>0.20122559154235711</v>
      </c>
      <c r="G5" s="30">
        <v>882575.69</v>
      </c>
      <c r="H5" s="48">
        <f>G5/D5</f>
        <v>0.20122559154235711</v>
      </c>
      <c r="I5" s="30">
        <v>882575.69</v>
      </c>
      <c r="J5" s="153">
        <f>I5/D5</f>
        <v>0.20122559154235711</v>
      </c>
      <c r="K5" s="707">
        <v>1011041.93</v>
      </c>
      <c r="L5" s="48">
        <v>0.23324499720380609</v>
      </c>
      <c r="M5" s="210">
        <f>G5/K5-1</f>
        <v>-0.1270632168539243</v>
      </c>
      <c r="N5" s="690">
        <v>1011041.93</v>
      </c>
      <c r="O5" s="48">
        <v>0.23324499720380609</v>
      </c>
      <c r="P5" s="210">
        <f>I5/N5-1</f>
        <v>-0.1270632168539243</v>
      </c>
    </row>
    <row r="6" spans="1:16" ht="15" customHeight="1" x14ac:dyDescent="0.2">
      <c r="A6" s="23">
        <v>2</v>
      </c>
      <c r="B6" s="23" t="s">
        <v>1</v>
      </c>
      <c r="C6" s="160">
        <v>26400686.800000001</v>
      </c>
      <c r="D6" s="205">
        <v>26335486.800000001</v>
      </c>
      <c r="E6" s="32">
        <v>20101730.210000001</v>
      </c>
      <c r="F6" s="48">
        <f>E6/D6</f>
        <v>0.76329442332541197</v>
      </c>
      <c r="G6" s="32">
        <v>19371974.23</v>
      </c>
      <c r="H6" s="48">
        <f>G6/D6</f>
        <v>0.73558443696586617</v>
      </c>
      <c r="I6" s="32">
        <v>2289452.75</v>
      </c>
      <c r="J6" s="178">
        <f>I6/D6</f>
        <v>8.6934134439466668E-2</v>
      </c>
      <c r="K6" s="707">
        <v>16214376.810000001</v>
      </c>
      <c r="L6" s="280">
        <v>0.68679596974719404</v>
      </c>
      <c r="M6" s="210">
        <f>G6/K6-1</f>
        <v>0.19474059700232171</v>
      </c>
      <c r="N6" s="32">
        <v>1374430.67</v>
      </c>
      <c r="O6" s="280">
        <v>5.8217065997304619E-2</v>
      </c>
      <c r="P6" s="210">
        <f>I6/N6-1</f>
        <v>0.66574626132287928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7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">
      <c r="A8" s="24">
        <v>4</v>
      </c>
      <c r="B8" s="24" t="s">
        <v>3</v>
      </c>
      <c r="C8" s="161">
        <v>6231730</v>
      </c>
      <c r="D8" s="206">
        <v>6283900</v>
      </c>
      <c r="E8" s="34">
        <v>6088542.0499999998</v>
      </c>
      <c r="F8" s="390">
        <f t="shared" ref="F8" si="0">E8/D8</f>
        <v>0.9689113528222919</v>
      </c>
      <c r="G8" s="34">
        <v>6088542.0499999998</v>
      </c>
      <c r="H8" s="78">
        <f t="shared" ref="H8" si="1">G8/D8</f>
        <v>0.9689113528222919</v>
      </c>
      <c r="I8" s="34">
        <v>0</v>
      </c>
      <c r="J8" s="172">
        <f>I8/D8</f>
        <v>0</v>
      </c>
      <c r="K8" s="707">
        <v>5979026</v>
      </c>
      <c r="L8" s="390">
        <v>0.96851019190964627</v>
      </c>
      <c r="M8" s="520">
        <f t="shared" ref="M8:M11" si="2">G8/K8-1</f>
        <v>1.8316704091937419E-2</v>
      </c>
      <c r="N8" s="32">
        <v>60500</v>
      </c>
      <c r="O8" s="390">
        <v>9.8000688758559679E-3</v>
      </c>
      <c r="P8" s="210" t="s">
        <v>129</v>
      </c>
    </row>
    <row r="9" spans="1:16" ht="15" customHeight="1" x14ac:dyDescent="0.2">
      <c r="A9" s="9"/>
      <c r="B9" s="2" t="s">
        <v>4</v>
      </c>
      <c r="C9" s="162">
        <f>SUM(C5:C8)</f>
        <v>36983581.260000005</v>
      </c>
      <c r="D9" s="152">
        <f>SUM(D5:D8)</f>
        <v>37005388.019999996</v>
      </c>
      <c r="E9" s="84">
        <f>SUM(E5:E8)</f>
        <v>27072847.950000003</v>
      </c>
      <c r="F9" s="90">
        <f>E9/D9</f>
        <v>0.73159205722604947</v>
      </c>
      <c r="G9" s="84">
        <f>SUM(G5:G8)</f>
        <v>26343091.970000003</v>
      </c>
      <c r="H9" s="90">
        <f>G9/D9</f>
        <v>0.7118717943387749</v>
      </c>
      <c r="I9" s="84">
        <f>SUM(I5:I8)</f>
        <v>3172028.44</v>
      </c>
      <c r="J9" s="170">
        <f>I9/D9</f>
        <v>8.5718015935561595E-2</v>
      </c>
      <c r="K9" s="706">
        <f>SUM(K5:K8)</f>
        <v>23204444.740000002</v>
      </c>
      <c r="L9" s="90">
        <v>0.68014659829308155</v>
      </c>
      <c r="M9" s="213">
        <f t="shared" si="2"/>
        <v>0.13526060481807511</v>
      </c>
      <c r="N9" s="84">
        <f>SUM(N5:N8)</f>
        <v>2445972.6</v>
      </c>
      <c r="O9" s="90">
        <v>7.1694020781299855E-2</v>
      </c>
      <c r="P9" s="213">
        <f>I9/N9-1</f>
        <v>0.29683727446497143</v>
      </c>
    </row>
    <row r="10" spans="1:16" ht="15" customHeight="1" x14ac:dyDescent="0.2">
      <c r="A10" s="21">
        <v>6</v>
      </c>
      <c r="B10" s="21" t="s">
        <v>5</v>
      </c>
      <c r="C10" s="159">
        <v>23946471.93</v>
      </c>
      <c r="D10" s="204">
        <v>20237255.77</v>
      </c>
      <c r="E10" s="30">
        <v>12671864.09</v>
      </c>
      <c r="F10" s="48">
        <f>E10/D10</f>
        <v>0.62616513987953615</v>
      </c>
      <c r="G10" s="136">
        <v>8714359.4100000001</v>
      </c>
      <c r="H10" s="48">
        <f>G10/D10</f>
        <v>0.43060973824911047</v>
      </c>
      <c r="I10" s="136">
        <v>37257.72</v>
      </c>
      <c r="J10" s="153">
        <f>I10/D10</f>
        <v>1.8410460599717965E-3</v>
      </c>
      <c r="K10" s="705">
        <v>2209651.71</v>
      </c>
      <c r="L10" s="48">
        <v>0.35379530750373994</v>
      </c>
      <c r="M10" s="224">
        <f t="shared" si="2"/>
        <v>2.9437705818352704</v>
      </c>
      <c r="N10" s="136">
        <v>1068046.5</v>
      </c>
      <c r="O10" s="48">
        <v>0.17100877852636476</v>
      </c>
      <c r="P10" s="224">
        <f>I10/N10-1</f>
        <v>-0.96511601320729012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>
        <v>0</v>
      </c>
      <c r="J11" s="172" t="s">
        <v>129</v>
      </c>
      <c r="K11" s="704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9" t="s">
        <v>129</v>
      </c>
    </row>
    <row r="12" spans="1:16" ht="15" customHeight="1" x14ac:dyDescent="0.2">
      <c r="A12" s="9"/>
      <c r="B12" s="2" t="s">
        <v>7</v>
      </c>
      <c r="C12" s="162">
        <f>SUM(C10:C11)</f>
        <v>23946471.93</v>
      </c>
      <c r="D12" s="152">
        <f t="shared" ref="D12:I12" si="3">SUM(D10:D11)</f>
        <v>20237255.77</v>
      </c>
      <c r="E12" s="84">
        <f t="shared" si="3"/>
        <v>12671864.09</v>
      </c>
      <c r="F12" s="90">
        <f>E12/D12</f>
        <v>0.62616513987953615</v>
      </c>
      <c r="G12" s="84">
        <f t="shared" si="3"/>
        <v>8714359.4100000001</v>
      </c>
      <c r="H12" s="90">
        <f>G12/D12</f>
        <v>0.43060973824911047</v>
      </c>
      <c r="I12" s="84">
        <f t="shared" si="3"/>
        <v>37257.72</v>
      </c>
      <c r="J12" s="170">
        <f>I12/D12</f>
        <v>1.8410460599717965E-3</v>
      </c>
      <c r="K12" s="706">
        <f>SUM(K10:K11)</f>
        <v>2257333.71</v>
      </c>
      <c r="L12" s="90">
        <v>0.35869140175888908</v>
      </c>
      <c r="M12" s="225">
        <f t="shared" ref="M12" si="4">G12/K12-1</f>
        <v>2.8604657217474507</v>
      </c>
      <c r="N12" s="84">
        <f t="shared" ref="N12" si="5">SUM(N10:N11)</f>
        <v>1068046.5</v>
      </c>
      <c r="O12" s="90">
        <v>0.17</v>
      </c>
      <c r="P12" s="225">
        <f>I12/N12-1</f>
        <v>-0.96511601320729012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03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8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706">
        <v>0</v>
      </c>
      <c r="L15" s="58" t="s">
        <v>129</v>
      </c>
      <c r="M15" s="639" t="s">
        <v>129</v>
      </c>
      <c r="N15" s="84">
        <f t="shared" ref="N15" si="7">SUM(N13:N14)</f>
        <v>0</v>
      </c>
      <c r="O15" s="228" t="s">
        <v>129</v>
      </c>
      <c r="P15" s="639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57242643.789999992</v>
      </c>
      <c r="E16" s="155">
        <f t="shared" si="8"/>
        <v>39744712.040000007</v>
      </c>
      <c r="F16" s="181">
        <f>E16/D16</f>
        <v>0.69431999307731507</v>
      </c>
      <c r="G16" s="155">
        <f t="shared" si="8"/>
        <v>35057451.380000003</v>
      </c>
      <c r="H16" s="181">
        <f>G16/D16</f>
        <v>0.61243592292158189</v>
      </c>
      <c r="I16" s="155">
        <f t="shared" si="8"/>
        <v>3209286.16</v>
      </c>
      <c r="J16" s="173">
        <f>I16/D16</f>
        <v>5.6064604069888307E-2</v>
      </c>
      <c r="K16" s="709">
        <f>SUM(K9,K12,K15)</f>
        <v>25461778.450000003</v>
      </c>
      <c r="L16" s="181">
        <v>0.63008489891548747</v>
      </c>
      <c r="M16" s="640">
        <f>G16/K16-1</f>
        <v>0.37686577741783789</v>
      </c>
      <c r="N16" s="155">
        <f t="shared" ref="N16" si="9">+N9+N12+N15</f>
        <v>3514019.1</v>
      </c>
      <c r="O16" s="181">
        <v>8.6958983393816788E-2</v>
      </c>
      <c r="P16" s="640">
        <f>I16/N16-1</f>
        <v>-8.6719204229709468E-2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22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37"/>
  <sheetViews>
    <sheetView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2" spans="1:13" ht="15" x14ac:dyDescent="0.25">
      <c r="A2" s="7" t="s">
        <v>538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7"/>
  <sheetViews>
    <sheetView zoomScaleNormal="100" workbookViewId="0">
      <selection activeCell="I10" sqref="I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72"/>
      <c r="M2" s="772"/>
      <c r="N2" s="772"/>
      <c r="O2" s="772"/>
      <c r="P2" s="773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2470212.41</v>
      </c>
      <c r="F5" s="48">
        <f>E5/D5</f>
        <v>0.21987804600483946</v>
      </c>
      <c r="G5" s="30">
        <v>2470212.41</v>
      </c>
      <c r="H5" s="48">
        <f>G5/D5</f>
        <v>0.21987804600483946</v>
      </c>
      <c r="I5" s="30">
        <v>2470212.41</v>
      </c>
      <c r="J5" s="153">
        <f>I5/D5</f>
        <v>0.21987804600483946</v>
      </c>
      <c r="K5" s="565">
        <v>2434337.27</v>
      </c>
      <c r="L5" s="48">
        <v>0.23266481331458283</v>
      </c>
      <c r="M5" s="210">
        <f>+G5/K5-1</f>
        <v>1.4737128023349033E-2</v>
      </c>
      <c r="N5" s="565">
        <v>2434337.27</v>
      </c>
      <c r="O5" s="48">
        <v>0.23266481331458283</v>
      </c>
      <c r="P5" s="210">
        <f>+I5/N5-1</f>
        <v>1.4737128023349033E-2</v>
      </c>
    </row>
    <row r="6" spans="1:16" ht="15" customHeight="1" x14ac:dyDescent="0.2">
      <c r="A6" s="23">
        <v>2</v>
      </c>
      <c r="B6" s="23" t="s">
        <v>1</v>
      </c>
      <c r="C6" s="161">
        <v>23750405.489999998</v>
      </c>
      <c r="D6" s="205">
        <v>22651623.32</v>
      </c>
      <c r="E6" s="32">
        <v>17057121.989999998</v>
      </c>
      <c r="F6" s="48">
        <f t="shared" ref="F6:F12" si="0">E6/D6</f>
        <v>0.75301984979326408</v>
      </c>
      <c r="G6" s="32">
        <v>14954649.48</v>
      </c>
      <c r="H6" s="48">
        <f t="shared" ref="H6:H12" si="1">G6/D6</f>
        <v>0.66020210864075057</v>
      </c>
      <c r="I6" s="32">
        <v>4939143.1399999997</v>
      </c>
      <c r="J6" s="153">
        <f t="shared" ref="J6:J12" si="2">I6/D6</f>
        <v>0.21804808733681519</v>
      </c>
      <c r="K6" s="566">
        <v>16952627.989999998</v>
      </c>
      <c r="L6" s="280">
        <v>0.62055377319630234</v>
      </c>
      <c r="M6" s="210">
        <f>+G6/K6-1</f>
        <v>-0.11785656543507972</v>
      </c>
      <c r="N6" s="566">
        <v>4949325.38</v>
      </c>
      <c r="O6" s="280">
        <v>0.18117088047628557</v>
      </c>
      <c r="P6" s="210">
        <f>+I6/N6-1</f>
        <v>-2.0572985645975761E-3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6"/>
      <c r="L7" s="418" t="s">
        <v>129</v>
      </c>
      <c r="M7" s="212" t="s">
        <v>129</v>
      </c>
      <c r="N7" s="566"/>
      <c r="O7" s="41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47896502.399999999</v>
      </c>
      <c r="D8" s="206">
        <v>48537288.399999999</v>
      </c>
      <c r="E8" s="34">
        <v>38916895.280000001</v>
      </c>
      <c r="F8" s="78">
        <f t="shared" si="0"/>
        <v>0.80179376646017997</v>
      </c>
      <c r="G8" s="34">
        <v>30540650.390000001</v>
      </c>
      <c r="H8" s="78">
        <f t="shared" si="1"/>
        <v>0.62922036637712131</v>
      </c>
      <c r="I8" s="34">
        <v>8121012.8399999999</v>
      </c>
      <c r="J8" s="172">
        <f t="shared" si="2"/>
        <v>0.16731492647619764</v>
      </c>
      <c r="K8" s="569">
        <v>29136704.960000001</v>
      </c>
      <c r="L8" s="390">
        <v>0.69076699210901238</v>
      </c>
      <c r="M8" s="520">
        <f>+G8/K8-1</f>
        <v>4.8184770101059593E-2</v>
      </c>
      <c r="N8" s="569">
        <v>4581013.09</v>
      </c>
      <c r="O8" s="390">
        <v>0.1086057135608004</v>
      </c>
      <c r="P8" s="520">
        <f>+I8/N8-1</f>
        <v>0.77275477726259889</v>
      </c>
    </row>
    <row r="9" spans="1:16" ht="15" customHeight="1" x14ac:dyDescent="0.2">
      <c r="A9" s="9"/>
      <c r="B9" s="2" t="s">
        <v>4</v>
      </c>
      <c r="C9" s="162">
        <f>SUM(C5:C8)</f>
        <v>82667330.079999998</v>
      </c>
      <c r="D9" s="152">
        <f t="shared" ref="D9:I9" si="3">SUM(D5:D8)</f>
        <v>82423377.620000005</v>
      </c>
      <c r="E9" s="84">
        <f t="shared" si="3"/>
        <v>58444229.68</v>
      </c>
      <c r="F9" s="90">
        <f>E9/D9</f>
        <v>0.70907346152990613</v>
      </c>
      <c r="G9" s="84">
        <f t="shared" si="3"/>
        <v>47965512.280000001</v>
      </c>
      <c r="H9" s="90">
        <f>G9/D9</f>
        <v>0.58194062977056626</v>
      </c>
      <c r="I9" s="84">
        <f t="shared" si="3"/>
        <v>15530368.390000001</v>
      </c>
      <c r="J9" s="170">
        <f>I9/D9</f>
        <v>0.18842188755719666</v>
      </c>
      <c r="K9" s="568">
        <f>SUM(K5:K8)</f>
        <v>48523670.219999999</v>
      </c>
      <c r="L9" s="90">
        <v>0.60699999999999998</v>
      </c>
      <c r="M9" s="213">
        <f>+G9/K9-1</f>
        <v>-1.1502797242446516E-2</v>
      </c>
      <c r="N9" s="568">
        <f>SUM(N5:N8)</f>
        <v>11964675.74</v>
      </c>
      <c r="O9" s="90">
        <v>0.15</v>
      </c>
      <c r="P9" s="213">
        <f>+I9/N9-1</f>
        <v>0.29801832723968169</v>
      </c>
    </row>
    <row r="10" spans="1:16" ht="15" customHeight="1" x14ac:dyDescent="0.2">
      <c r="A10" s="21">
        <v>6</v>
      </c>
      <c r="B10" s="21" t="s">
        <v>5</v>
      </c>
      <c r="C10" s="159">
        <v>2000000</v>
      </c>
      <c r="D10" s="204">
        <v>1337637.5</v>
      </c>
      <c r="E10" s="180">
        <v>1300000</v>
      </c>
      <c r="F10" s="417">
        <f t="shared" si="0"/>
        <v>0.97186270570315203</v>
      </c>
      <c r="G10" s="136">
        <v>1300000</v>
      </c>
      <c r="H10" s="417">
        <f t="shared" si="1"/>
        <v>0.97186270570315203</v>
      </c>
      <c r="I10" s="56">
        <v>1300000</v>
      </c>
      <c r="J10" s="348">
        <f t="shared" si="2"/>
        <v>0.97186270570315203</v>
      </c>
      <c r="K10" s="565"/>
      <c r="L10" s="417" t="s">
        <v>129</v>
      </c>
      <c r="M10" s="224" t="s">
        <v>129</v>
      </c>
      <c r="N10" s="565"/>
      <c r="O10" s="417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>
        <v>118375.37</v>
      </c>
      <c r="D11" s="206">
        <v>0</v>
      </c>
      <c r="E11" s="34">
        <v>0</v>
      </c>
      <c r="F11" s="417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9"/>
      <c r="L11" s="28" t="s">
        <v>129</v>
      </c>
      <c r="M11" s="559" t="s">
        <v>129</v>
      </c>
      <c r="N11" s="569"/>
      <c r="O11" s="28" t="s">
        <v>129</v>
      </c>
      <c r="P11" s="559" t="s">
        <v>129</v>
      </c>
    </row>
    <row r="12" spans="1:16" ht="15" customHeight="1" x14ac:dyDescent="0.2">
      <c r="A12" s="9"/>
      <c r="B12" s="2" t="s">
        <v>7</v>
      </c>
      <c r="C12" s="162">
        <f>SUM(C10:C11)</f>
        <v>2118375.37</v>
      </c>
      <c r="D12" s="152">
        <f t="shared" ref="D12:I12" si="4">SUM(D10:D11)</f>
        <v>1337637.5</v>
      </c>
      <c r="E12" s="84">
        <f t="shared" si="4"/>
        <v>1300000</v>
      </c>
      <c r="F12" s="514">
        <f t="shared" si="0"/>
        <v>0.97186270570315203</v>
      </c>
      <c r="G12" s="84">
        <f t="shared" si="4"/>
        <v>1300000</v>
      </c>
      <c r="H12" s="514">
        <f t="shared" si="1"/>
        <v>0.97186270570315203</v>
      </c>
      <c r="I12" s="84">
        <f t="shared" si="4"/>
        <v>1300000</v>
      </c>
      <c r="J12" s="171">
        <f t="shared" si="2"/>
        <v>0.97186270570315203</v>
      </c>
      <c r="K12" s="568"/>
      <c r="L12" s="514" t="s">
        <v>129</v>
      </c>
      <c r="M12" s="225" t="s">
        <v>129</v>
      </c>
      <c r="N12" s="568"/>
      <c r="O12" s="514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5"/>
      <c r="L13" s="417" t="s">
        <v>129</v>
      </c>
      <c r="M13" s="224" t="s">
        <v>129</v>
      </c>
      <c r="N13" s="565"/>
      <c r="O13" s="417" t="s">
        <v>129</v>
      </c>
      <c r="P13" s="22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28" t="s">
        <v>129</v>
      </c>
      <c r="M14" s="215" t="s">
        <v>129</v>
      </c>
      <c r="N14" s="569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8"/>
      <c r="L15" s="683" t="s">
        <v>129</v>
      </c>
      <c r="M15" s="641" t="s">
        <v>129</v>
      </c>
      <c r="N15" s="568"/>
      <c r="O15" s="683" t="s">
        <v>129</v>
      </c>
      <c r="P15" s="641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83761015.120000005</v>
      </c>
      <c r="E16" s="155">
        <f t="shared" si="6"/>
        <v>59744229.68</v>
      </c>
      <c r="F16" s="181">
        <f>E16/D16</f>
        <v>0.71327012446551152</v>
      </c>
      <c r="G16" s="155">
        <f t="shared" si="6"/>
        <v>49265512.280000001</v>
      </c>
      <c r="H16" s="181">
        <f>G16/D16</f>
        <v>0.58816756470083242</v>
      </c>
      <c r="I16" s="155">
        <f t="shared" si="6"/>
        <v>16830368.390000001</v>
      </c>
      <c r="J16" s="173">
        <f>I16/D16</f>
        <v>0.20093319506560439</v>
      </c>
      <c r="K16" s="576">
        <f>SUM(K9,K12,K15)</f>
        <v>48523670.219999999</v>
      </c>
      <c r="L16" s="181">
        <v>0.6068370022644487</v>
      </c>
      <c r="M16" s="607">
        <f>+G16/K16-1</f>
        <v>1.5288251210936687E-2</v>
      </c>
      <c r="N16" s="576">
        <f>SUM(N15,N12,N9)</f>
        <v>11964675.74</v>
      </c>
      <c r="O16" s="181">
        <v>0.14963023048770061</v>
      </c>
      <c r="P16" s="607">
        <f>+I16/N16-1</f>
        <v>0.40667150165492072</v>
      </c>
    </row>
    <row r="25" spans="15:18" x14ac:dyDescent="0.2">
      <c r="R25" s="482"/>
    </row>
    <row r="26" spans="15:18" x14ac:dyDescent="0.2">
      <c r="R26" s="482"/>
    </row>
    <row r="27" spans="15:18" x14ac:dyDescent="0.2">
      <c r="O27" s="482"/>
      <c r="R27" s="482"/>
    </row>
    <row r="28" spans="15:18" x14ac:dyDescent="0.2">
      <c r="O28" s="482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Març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opLeftCell="B15" zoomScaleNormal="100" workbookViewId="0">
      <selection activeCell="F36" sqref="F3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5.5703125" customWidth="1"/>
  </cols>
  <sheetData>
    <row r="1" spans="1:13" ht="15" x14ac:dyDescent="0.25">
      <c r="A1" s="7" t="s">
        <v>528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7"/>
  <sheetViews>
    <sheetView zoomScaleNormal="100" workbookViewId="0">
      <selection activeCell="I31" sqref="I3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9" ht="15.75" thickBot="1" x14ac:dyDescent="0.3">
      <c r="A1" s="7" t="s">
        <v>529</v>
      </c>
    </row>
    <row r="2" spans="1:19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9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9" ht="15" customHeight="1" x14ac:dyDescent="0.2">
      <c r="A5" s="21">
        <v>1</v>
      </c>
      <c r="B5" s="21" t="s">
        <v>0</v>
      </c>
      <c r="C5" s="176">
        <v>481212.17</v>
      </c>
      <c r="D5" s="204">
        <v>488145.95</v>
      </c>
      <c r="E5" s="30">
        <v>107260.76</v>
      </c>
      <c r="F5" s="48">
        <f>E5/D5</f>
        <v>0.2197309226881837</v>
      </c>
      <c r="G5" s="30">
        <v>92920.76</v>
      </c>
      <c r="H5" s="48">
        <f>G5/D5</f>
        <v>0.19035446263561132</v>
      </c>
      <c r="I5" s="30">
        <v>92920.76</v>
      </c>
      <c r="J5" s="153">
        <f>I5/D5</f>
        <v>0.19035446263561132</v>
      </c>
      <c r="K5" s="565">
        <v>360364.79999999999</v>
      </c>
      <c r="L5" s="48">
        <v>0.27447701651204498</v>
      </c>
      <c r="M5" s="210">
        <f>+G5/K5-1</f>
        <v>-0.74214806773580544</v>
      </c>
      <c r="N5" s="565">
        <v>360364.79999999999</v>
      </c>
      <c r="O5" s="48">
        <v>0.27447701651204498</v>
      </c>
      <c r="P5" s="210">
        <f>+I5/N5-1</f>
        <v>-0.74214806773580544</v>
      </c>
    </row>
    <row r="6" spans="1:19" ht="15" customHeight="1" x14ac:dyDescent="0.2">
      <c r="A6" s="23">
        <v>2</v>
      </c>
      <c r="B6" s="23" t="s">
        <v>1</v>
      </c>
      <c r="C6" s="161">
        <v>387854</v>
      </c>
      <c r="D6" s="205">
        <v>1976303.68</v>
      </c>
      <c r="E6" s="32">
        <v>486439.06</v>
      </c>
      <c r="F6" s="48">
        <f t="shared" ref="F6:F8" si="0">E6/D6</f>
        <v>0.2461357861763431</v>
      </c>
      <c r="G6" s="32">
        <v>263599.18</v>
      </c>
      <c r="H6" s="48">
        <f t="shared" ref="H6:H8" si="1">G6/D6</f>
        <v>0.13337989635277106</v>
      </c>
      <c r="I6" s="32">
        <v>79671.16</v>
      </c>
      <c r="J6" s="153">
        <f t="shared" ref="J6:J8" si="2">I6/D6</f>
        <v>4.0313217450467939E-2</v>
      </c>
      <c r="K6" s="566">
        <v>41361.050000000003</v>
      </c>
      <c r="L6" s="280">
        <v>0.67077157855985625</v>
      </c>
      <c r="M6" s="210">
        <f>+G6/K6-1</f>
        <v>5.3731259240275566</v>
      </c>
      <c r="N6" s="566">
        <v>4700.05</v>
      </c>
      <c r="O6" s="280">
        <v>7.6222918852646454E-2</v>
      </c>
      <c r="P6" s="210">
        <f>+I6/N6-1</f>
        <v>15.951130307124391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6"/>
      <c r="L7" s="418" t="s">
        <v>129</v>
      </c>
      <c r="M7" s="212" t="s">
        <v>129</v>
      </c>
      <c r="N7" s="566"/>
      <c r="O7" s="418" t="s">
        <v>129</v>
      </c>
      <c r="P7" s="212" t="s">
        <v>129</v>
      </c>
    </row>
    <row r="8" spans="1:19" ht="15" customHeight="1" x14ac:dyDescent="0.2">
      <c r="A8" s="24">
        <v>4</v>
      </c>
      <c r="B8" s="24" t="s">
        <v>3</v>
      </c>
      <c r="C8" s="161">
        <v>38538634.689999998</v>
      </c>
      <c r="D8" s="206">
        <v>44108354.990000002</v>
      </c>
      <c r="E8" s="34">
        <v>13640011.869999999</v>
      </c>
      <c r="F8" s="390">
        <f t="shared" si="0"/>
        <v>0.30923873431898302</v>
      </c>
      <c r="G8" s="34">
        <v>8094720.4100000001</v>
      </c>
      <c r="H8" s="78">
        <f t="shared" si="1"/>
        <v>0.18351898210294149</v>
      </c>
      <c r="I8" s="34">
        <v>7162360</v>
      </c>
      <c r="J8" s="172">
        <f t="shared" si="2"/>
        <v>0.16238102739546306</v>
      </c>
      <c r="K8" s="569">
        <v>14314689.300000001</v>
      </c>
      <c r="L8" s="390">
        <v>0.20650011286467887</v>
      </c>
      <c r="M8" s="520">
        <f>+G8/K8-1</f>
        <v>-0.43451651374647726</v>
      </c>
      <c r="N8" s="569">
        <v>10511569.119999999</v>
      </c>
      <c r="O8" s="390">
        <v>0.15163725625989471</v>
      </c>
      <c r="P8" s="520">
        <f>+I8/N8-1</f>
        <v>-0.31862123359181216</v>
      </c>
    </row>
    <row r="9" spans="1:19" ht="15" customHeight="1" x14ac:dyDescent="0.2">
      <c r="A9" s="9"/>
      <c r="B9" s="2" t="s">
        <v>4</v>
      </c>
      <c r="C9" s="162">
        <f>SUM(C5:C8)</f>
        <v>39407700.859999999</v>
      </c>
      <c r="D9" s="84">
        <f t="shared" ref="D9:I9" si="3">SUM(D5:D8)</f>
        <v>46572804.620000005</v>
      </c>
      <c r="E9" s="84">
        <f t="shared" si="3"/>
        <v>14233711.689999999</v>
      </c>
      <c r="F9" s="90">
        <f>E9/D9</f>
        <v>0.30562281585007961</v>
      </c>
      <c r="G9" s="84">
        <f t="shared" si="3"/>
        <v>8451240.3499999996</v>
      </c>
      <c r="H9" s="90">
        <f>G9/D9</f>
        <v>0.18146298937665306</v>
      </c>
      <c r="I9" s="84">
        <f t="shared" si="3"/>
        <v>7334951.9199999999</v>
      </c>
      <c r="J9" s="170">
        <f>I9/D9</f>
        <v>0.15749431411416681</v>
      </c>
      <c r="K9" s="568">
        <f>SUM(K5:K8)</f>
        <v>14716415.15</v>
      </c>
      <c r="L9" s="90">
        <v>0.20799999999999999</v>
      </c>
      <c r="M9" s="213">
        <f t="shared" ref="M9:M10" si="4">+G9/K9-1</f>
        <v>-0.42572696788864373</v>
      </c>
      <c r="N9" s="568">
        <f>SUM(N5:N8)</f>
        <v>10876633.969999999</v>
      </c>
      <c r="O9" s="90">
        <v>0.154</v>
      </c>
      <c r="P9" s="213">
        <f>+I9/N9-1</f>
        <v>-0.32562298775234033</v>
      </c>
    </row>
    <row r="10" spans="1:19" ht="15" customHeight="1" x14ac:dyDescent="0.2">
      <c r="A10" s="21">
        <v>6</v>
      </c>
      <c r="B10" s="21" t="s">
        <v>5</v>
      </c>
      <c r="C10" s="176">
        <v>37637.5</v>
      </c>
      <c r="D10" s="204"/>
      <c r="E10" s="180">
        <v>0</v>
      </c>
      <c r="F10" s="48" t="e">
        <f>E10/D10</f>
        <v>#DIV/0!</v>
      </c>
      <c r="G10" s="136">
        <v>0</v>
      </c>
      <c r="H10" s="48" t="e">
        <f>G10/D10</f>
        <v>#DIV/0!</v>
      </c>
      <c r="I10" s="56">
        <v>0</v>
      </c>
      <c r="J10" s="153" t="e">
        <f>I10/D10</f>
        <v>#DIV/0!</v>
      </c>
      <c r="K10" s="565">
        <v>2310.89</v>
      </c>
      <c r="L10" s="48">
        <v>0.18791634681689845</v>
      </c>
      <c r="M10" s="210">
        <f t="shared" si="4"/>
        <v>-1</v>
      </c>
      <c r="N10" s="565">
        <v>2310.89</v>
      </c>
      <c r="O10" s="48">
        <v>0.18791634681689845</v>
      </c>
      <c r="P10" s="210">
        <f>+I10/N10-1</f>
        <v>-1</v>
      </c>
    </row>
    <row r="11" spans="1:19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69"/>
      <c r="L11" s="521" t="s">
        <v>129</v>
      </c>
      <c r="M11" s="559" t="s">
        <v>129</v>
      </c>
      <c r="N11" s="569"/>
      <c r="O11" s="521" t="s">
        <v>129</v>
      </c>
      <c r="P11" s="496" t="s">
        <v>129</v>
      </c>
    </row>
    <row r="12" spans="1:19" ht="15" customHeight="1" x14ac:dyDescent="0.2">
      <c r="A12" s="9"/>
      <c r="B12" s="2" t="s">
        <v>7</v>
      </c>
      <c r="C12" s="162">
        <f>SUM(C10:C11)</f>
        <v>37637.5</v>
      </c>
      <c r="D12" s="152">
        <f t="shared" ref="D12:I12" si="5">SUM(D10:D11)</f>
        <v>0</v>
      </c>
      <c r="E12" s="84">
        <f t="shared" si="5"/>
        <v>0</v>
      </c>
      <c r="F12" s="90" t="e">
        <f>E12/D12</f>
        <v>#DIV/0!</v>
      </c>
      <c r="G12" s="84">
        <f t="shared" si="5"/>
        <v>0</v>
      </c>
      <c r="H12" s="90" t="e">
        <f>G12/D12</f>
        <v>#DIV/0!</v>
      </c>
      <c r="I12" s="84">
        <f t="shared" si="5"/>
        <v>0</v>
      </c>
      <c r="J12" s="170" t="e">
        <f>I12/D12</f>
        <v>#DIV/0!</v>
      </c>
      <c r="K12" s="152">
        <f>SUM(K10:K11)</f>
        <v>2310.89</v>
      </c>
      <c r="L12" s="90">
        <v>0.18791634681689845</v>
      </c>
      <c r="M12" s="629">
        <f t="shared" ref="M12" si="6">+G12/K12-1</f>
        <v>-1</v>
      </c>
      <c r="N12" s="568">
        <f>SUM(N10:N11)</f>
        <v>2310.89</v>
      </c>
      <c r="O12" s="90">
        <v>0.18791634681689845</v>
      </c>
      <c r="P12" s="213">
        <f>+I12/N12-1</f>
        <v>-1</v>
      </c>
      <c r="S12" s="485"/>
    </row>
    <row r="13" spans="1:19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5"/>
      <c r="L13" s="417" t="s">
        <v>129</v>
      </c>
      <c r="M13" s="224" t="s">
        <v>129</v>
      </c>
      <c r="N13" s="565"/>
      <c r="O13" s="417" t="s">
        <v>129</v>
      </c>
      <c r="P13" s="224" t="s">
        <v>129</v>
      </c>
      <c r="S13" s="485"/>
    </row>
    <row r="14" spans="1:19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28" t="s">
        <v>129</v>
      </c>
      <c r="M14" s="215" t="s">
        <v>129</v>
      </c>
      <c r="N14" s="569"/>
      <c r="O14" s="28" t="s">
        <v>129</v>
      </c>
      <c r="P14" s="215" t="s">
        <v>129</v>
      </c>
      <c r="S14" s="485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8">
        <v>0</v>
      </c>
      <c r="L15" s="514" t="s">
        <v>129</v>
      </c>
      <c r="M15" s="641" t="s">
        <v>129</v>
      </c>
      <c r="N15" s="568">
        <f>SUM(N13:N14)</f>
        <v>0</v>
      </c>
      <c r="O15" s="514" t="s">
        <v>129</v>
      </c>
      <c r="P15" s="641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46572804.620000005</v>
      </c>
      <c r="E16" s="155">
        <f t="shared" si="8"/>
        <v>14233711.689999999</v>
      </c>
      <c r="F16" s="181">
        <f>E16/D16</f>
        <v>0.30562281585007961</v>
      </c>
      <c r="G16" s="155">
        <f t="shared" si="8"/>
        <v>8451240.3499999996</v>
      </c>
      <c r="H16" s="181">
        <f>G16/D16</f>
        <v>0.18146298937665306</v>
      </c>
      <c r="I16" s="155">
        <f t="shared" si="8"/>
        <v>7334951.9199999999</v>
      </c>
      <c r="J16" s="173">
        <f>I16/D16</f>
        <v>0.15749431411416681</v>
      </c>
      <c r="K16" s="576">
        <f>K9+K12+K15</f>
        <v>14718726.040000001</v>
      </c>
      <c r="L16" s="265">
        <v>0.20816397315317581</v>
      </c>
      <c r="M16" s="607">
        <f>+G16/K16-1</f>
        <v>-0.42581713070596705</v>
      </c>
      <c r="N16" s="576">
        <f>N9+N12+N15</f>
        <v>10878944.859999999</v>
      </c>
      <c r="O16" s="265">
        <v>0.154</v>
      </c>
      <c r="P16" s="607">
        <f>+I16/N16-1</f>
        <v>-0.32576623795848525</v>
      </c>
      <c r="S16" s="484"/>
    </row>
    <row r="17" spans="2:16" x14ac:dyDescent="0.2">
      <c r="P17" s="522"/>
    </row>
    <row r="25" spans="2:16" x14ac:dyDescent="0.2">
      <c r="B25" s="340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Març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A13" zoomScaleNormal="100" workbookViewId="0">
      <selection activeCell="H17" sqref="H17"/>
    </sheetView>
  </sheetViews>
  <sheetFormatPr defaultRowHeight="12.75" x14ac:dyDescent="0.2"/>
  <sheetData>
    <row r="1" spans="1:1" ht="15" x14ac:dyDescent="0.25">
      <c r="A1" s="7" t="s">
        <v>529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P137"/>
  <sheetViews>
    <sheetView topLeftCell="C1" zoomScaleNormal="100" workbookViewId="0">
      <selection activeCell="N14" sqref="N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297389.48</v>
      </c>
      <c r="F5" s="48">
        <f>E5/D5</f>
        <v>2.4120611137269102E-2</v>
      </c>
      <c r="G5" s="30">
        <v>297389.48</v>
      </c>
      <c r="H5" s="48">
        <f>G5/D5</f>
        <v>2.4120611137269102E-2</v>
      </c>
      <c r="I5" s="30">
        <v>297389.48</v>
      </c>
      <c r="J5" s="153">
        <f>I5/D5</f>
        <v>2.4120611137269102E-2</v>
      </c>
      <c r="K5" s="578">
        <v>1880376.79</v>
      </c>
      <c r="L5" s="48">
        <v>0.43456852479590236</v>
      </c>
      <c r="M5" s="210">
        <f>+G5/K5-1</f>
        <v>-0.84184580368065487</v>
      </c>
      <c r="N5" s="578">
        <v>1880376.79</v>
      </c>
      <c r="O5" s="48">
        <v>0.43456852479590236</v>
      </c>
      <c r="P5" s="210">
        <f>+I5/N5-1</f>
        <v>-0.84184580368065487</v>
      </c>
    </row>
    <row r="6" spans="1:16" ht="15" customHeight="1" x14ac:dyDescent="0.2">
      <c r="A6" s="23">
        <v>2</v>
      </c>
      <c r="B6" s="23" t="s">
        <v>1</v>
      </c>
      <c r="C6" s="159">
        <v>2915040</v>
      </c>
      <c r="D6" s="204">
        <v>2915040</v>
      </c>
      <c r="E6" s="30">
        <v>918306.16</v>
      </c>
      <c r="F6" s="48">
        <f t="shared" ref="F6:F17" si="0">E6/D6</f>
        <v>0.31502351940282125</v>
      </c>
      <c r="G6" s="30">
        <v>918306.16</v>
      </c>
      <c r="H6" s="280">
        <f t="shared" ref="H6:H17" si="1">G6/D6</f>
        <v>0.31502351940282125</v>
      </c>
      <c r="I6" s="30">
        <v>279893.69</v>
      </c>
      <c r="J6" s="178">
        <f t="shared" ref="J6:J17" si="2">I6/D6</f>
        <v>9.6017100966024477E-2</v>
      </c>
      <c r="K6" s="579">
        <v>457853.62</v>
      </c>
      <c r="L6" s="412">
        <v>0.11229565198008939</v>
      </c>
      <c r="M6" s="210">
        <f t="shared" ref="M6:M17" si="3">+G6/K6-1</f>
        <v>1.0056763120055709</v>
      </c>
      <c r="N6" s="579">
        <v>309241.8</v>
      </c>
      <c r="O6" s="412">
        <v>7.5846314266329068E-2</v>
      </c>
      <c r="P6" s="210">
        <f>+I6/N6-1</f>
        <v>-9.4903438021638697E-2</v>
      </c>
    </row>
    <row r="7" spans="1:16" ht="15" customHeight="1" x14ac:dyDescent="0.2">
      <c r="A7" s="23">
        <v>3</v>
      </c>
      <c r="B7" s="23" t="s">
        <v>2</v>
      </c>
      <c r="C7" s="159">
        <v>22100000</v>
      </c>
      <c r="D7" s="204">
        <v>22100000</v>
      </c>
      <c r="E7" s="30">
        <v>3018479.13</v>
      </c>
      <c r="F7" s="48">
        <f t="shared" si="0"/>
        <v>0.1365827660633484</v>
      </c>
      <c r="G7" s="30">
        <v>3018479.13</v>
      </c>
      <c r="H7" s="280">
        <f t="shared" si="1"/>
        <v>0.1365827660633484</v>
      </c>
      <c r="I7" s="30">
        <v>3018479.13</v>
      </c>
      <c r="J7" s="178">
        <f t="shared" si="2"/>
        <v>0.1365827660633484</v>
      </c>
      <c r="K7" s="579">
        <v>4739155.2</v>
      </c>
      <c r="L7" s="130">
        <v>0.13654457288651495</v>
      </c>
      <c r="M7" s="212">
        <f t="shared" si="3"/>
        <v>-0.36307653946424889</v>
      </c>
      <c r="N7" s="579">
        <v>4739155.2</v>
      </c>
      <c r="O7" s="130">
        <v>0.13654457288651495</v>
      </c>
      <c r="P7" s="212">
        <f t="shared" ref="P7:P17" si="4">+I7/N7-1</f>
        <v>-0.36307653946424889</v>
      </c>
    </row>
    <row r="8" spans="1:16" ht="15" customHeight="1" x14ac:dyDescent="0.2">
      <c r="A8" s="235">
        <v>4</v>
      </c>
      <c r="B8" s="560" t="s">
        <v>3</v>
      </c>
      <c r="C8" s="159">
        <v>246750409.25999999</v>
      </c>
      <c r="D8" s="204">
        <v>246960603.63999999</v>
      </c>
      <c r="E8" s="30">
        <v>201753792.16</v>
      </c>
      <c r="F8" s="48">
        <f t="shared" si="0"/>
        <v>0.81694727493499741</v>
      </c>
      <c r="G8" s="30">
        <v>201753792.16</v>
      </c>
      <c r="H8" s="48">
        <f t="shared" si="1"/>
        <v>0.81694727493499741</v>
      </c>
      <c r="I8" s="30">
        <v>58693658.18</v>
      </c>
      <c r="J8" s="178">
        <f t="shared" si="2"/>
        <v>0.23766405375959909</v>
      </c>
      <c r="K8" s="635">
        <v>195198726.21000001</v>
      </c>
      <c r="L8" s="414">
        <v>0.71163026563594955</v>
      </c>
      <c r="M8" s="443">
        <f t="shared" si="3"/>
        <v>3.3581499619766308E-2</v>
      </c>
      <c r="N8" s="635">
        <v>59234555.899999999</v>
      </c>
      <c r="O8" s="414">
        <v>0.21594968147791635</v>
      </c>
      <c r="P8" s="443">
        <f t="shared" si="4"/>
        <v>-9.1314556474964004E-3</v>
      </c>
    </row>
    <row r="9" spans="1:16" ht="15" customHeight="1" x14ac:dyDescent="0.2">
      <c r="A9" s="55">
        <v>5</v>
      </c>
      <c r="B9" s="55" t="s">
        <v>453</v>
      </c>
      <c r="C9" s="176">
        <v>13197818.9</v>
      </c>
      <c r="D9" s="516">
        <v>9966413.8300000001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7">
        <v>0</v>
      </c>
      <c r="L9" s="78">
        <v>0</v>
      </c>
      <c r="M9" s="496" t="s">
        <v>129</v>
      </c>
      <c r="N9" s="567">
        <v>0</v>
      </c>
      <c r="O9" s="78">
        <v>0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298770260.13</v>
      </c>
      <c r="D10" s="152">
        <f t="shared" ref="D10:E10" si="5">SUM(D5:D9)</f>
        <v>294271325.50999999</v>
      </c>
      <c r="E10" s="84">
        <f t="shared" si="5"/>
        <v>205987966.93000001</v>
      </c>
      <c r="F10" s="90">
        <f t="shared" si="0"/>
        <v>0.69999333633001248</v>
      </c>
      <c r="G10" s="84">
        <f>SUM(G5:G9)</f>
        <v>205987966.93000001</v>
      </c>
      <c r="H10" s="90">
        <f t="shared" si="1"/>
        <v>0.69999333633001248</v>
      </c>
      <c r="I10" s="84">
        <f>SUM(I5:I9)</f>
        <v>62289420.479999997</v>
      </c>
      <c r="J10" s="170">
        <f t="shared" si="2"/>
        <v>0.21167342884002222</v>
      </c>
      <c r="K10" s="568">
        <f>SUM(K5:K9)</f>
        <v>202276111.82000002</v>
      </c>
      <c r="L10" s="90">
        <v>0.63085622366276295</v>
      </c>
      <c r="M10" s="213">
        <f t="shared" si="3"/>
        <v>1.8350437313641166E-2</v>
      </c>
      <c r="N10" s="568">
        <f>SUM(N5:N9)</f>
        <v>66163329.689999998</v>
      </c>
      <c r="O10" s="90">
        <v>0.2063493703612943</v>
      </c>
      <c r="P10" s="213">
        <f t="shared" si="4"/>
        <v>-5.8550699128213757E-2</v>
      </c>
    </row>
    <row r="11" spans="1:16" ht="15" customHeight="1" x14ac:dyDescent="0.2">
      <c r="A11" s="21">
        <v>6</v>
      </c>
      <c r="B11" s="21" t="s">
        <v>5</v>
      </c>
      <c r="C11" s="159">
        <v>359896663.13999999</v>
      </c>
      <c r="D11" s="204">
        <v>345315101.56</v>
      </c>
      <c r="E11" s="30">
        <v>117160292.5</v>
      </c>
      <c r="F11" s="48">
        <f t="shared" si="0"/>
        <v>0.33928516873636611</v>
      </c>
      <c r="G11" s="30">
        <v>117160292.5</v>
      </c>
      <c r="H11" s="48">
        <f t="shared" si="1"/>
        <v>0.33928516873636611</v>
      </c>
      <c r="I11" s="30">
        <v>43910205.850000001</v>
      </c>
      <c r="J11" s="153">
        <f t="shared" si="2"/>
        <v>0.12715981910907076</v>
      </c>
      <c r="K11" s="565">
        <v>82204000.359999999</v>
      </c>
      <c r="L11" s="48">
        <v>0.33232745752814075</v>
      </c>
      <c r="M11" s="224">
        <f t="shared" si="3"/>
        <v>0.42523833374183972</v>
      </c>
      <c r="N11" s="565">
        <v>45128292.729999997</v>
      </c>
      <c r="O11" s="48">
        <v>0.18244088754644369</v>
      </c>
      <c r="P11" s="224">
        <f t="shared" si="4"/>
        <v>-2.6991645513552598E-2</v>
      </c>
    </row>
    <row r="12" spans="1:16" ht="15" customHeight="1" x14ac:dyDescent="0.2">
      <c r="A12" s="24">
        <v>7</v>
      </c>
      <c r="B12" s="24" t="s">
        <v>6</v>
      </c>
      <c r="C12" s="161">
        <v>6607320.6799999997</v>
      </c>
      <c r="D12" s="206">
        <v>29952640.530000001</v>
      </c>
      <c r="E12" s="34">
        <v>1848969.75</v>
      </c>
      <c r="F12" s="390">
        <f t="shared" si="0"/>
        <v>6.1729774647016733E-2</v>
      </c>
      <c r="G12" s="34">
        <v>1848969.75</v>
      </c>
      <c r="H12" s="390">
        <f t="shared" si="1"/>
        <v>6.1729774647016733E-2</v>
      </c>
      <c r="I12" s="180">
        <v>62894.25</v>
      </c>
      <c r="J12" s="392">
        <f t="shared" si="2"/>
        <v>2.099789831117103E-3</v>
      </c>
      <c r="K12" s="569">
        <v>1085625.49</v>
      </c>
      <c r="L12" s="390">
        <v>0.26602017946021339</v>
      </c>
      <c r="M12" s="224">
        <f t="shared" si="3"/>
        <v>0.70313774596431045</v>
      </c>
      <c r="N12" s="569">
        <v>56316.62</v>
      </c>
      <c r="O12" s="390">
        <v>1.379974723971583E-2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375267742.09000003</v>
      </c>
      <c r="E13" s="84">
        <f t="shared" si="6"/>
        <v>119009262.25</v>
      </c>
      <c r="F13" s="90">
        <f t="shared" si="0"/>
        <v>0.31713160738835405</v>
      </c>
      <c r="G13" s="84">
        <f t="shared" si="6"/>
        <v>119009262.25</v>
      </c>
      <c r="H13" s="90">
        <f t="shared" si="1"/>
        <v>0.31713160738835405</v>
      </c>
      <c r="I13" s="84">
        <f t="shared" si="6"/>
        <v>43973100.100000001</v>
      </c>
      <c r="J13" s="170">
        <f t="shared" si="2"/>
        <v>0.11717793769082871</v>
      </c>
      <c r="K13" s="568">
        <f t="shared" ref="K13" si="7">SUM(K11:K12)</f>
        <v>83289625.849999994</v>
      </c>
      <c r="L13" s="90">
        <v>0.3312512568196051</v>
      </c>
      <c r="M13" s="213">
        <f t="shared" si="3"/>
        <v>0.4288605697944794</v>
      </c>
      <c r="N13" s="568">
        <f t="shared" ref="N13" si="8">SUM(N11:N12)</f>
        <v>45184609.349999994</v>
      </c>
      <c r="O13" s="90">
        <v>0.17970375642034869</v>
      </c>
      <c r="P13" s="213">
        <f t="shared" si="4"/>
        <v>-2.6812431653788216E-2</v>
      </c>
    </row>
    <row r="14" spans="1:16" ht="15" customHeight="1" x14ac:dyDescent="0.2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10900399.48</v>
      </c>
      <c r="J14" s="153">
        <f t="shared" si="2"/>
        <v>0.38992557370198577</v>
      </c>
      <c r="K14" s="565">
        <v>10043728.939999999</v>
      </c>
      <c r="L14" s="48">
        <v>0.4247946237874608</v>
      </c>
      <c r="M14" s="224">
        <f t="shared" si="3"/>
        <v>1.2855134031524353</v>
      </c>
      <c r="N14" s="565">
        <v>10043728.939999999</v>
      </c>
      <c r="O14" s="48">
        <v>0.4247946237874608</v>
      </c>
      <c r="P14" s="224">
        <f t="shared" si="4"/>
        <v>8.5294072064035609E-2</v>
      </c>
    </row>
    <row r="15" spans="1:16" ht="15" customHeight="1" x14ac:dyDescent="0.2">
      <c r="A15" s="24">
        <v>9</v>
      </c>
      <c r="B15" s="24" t="s">
        <v>9</v>
      </c>
      <c r="C15" s="176">
        <v>127725000</v>
      </c>
      <c r="D15" s="206">
        <v>127725000</v>
      </c>
      <c r="E15" s="34">
        <v>35452871.409999996</v>
      </c>
      <c r="F15" s="390">
        <f t="shared" si="0"/>
        <v>0.27757190377764729</v>
      </c>
      <c r="G15" s="34">
        <v>35452871.409999996</v>
      </c>
      <c r="H15" s="390">
        <f t="shared" si="1"/>
        <v>0.27757190377764729</v>
      </c>
      <c r="I15" s="34">
        <v>35452871.409999996</v>
      </c>
      <c r="J15" s="392">
        <f t="shared" si="2"/>
        <v>0.27757190377764729</v>
      </c>
      <c r="K15" s="569">
        <v>125560633.83</v>
      </c>
      <c r="L15" s="390">
        <v>0.79615521854891236</v>
      </c>
      <c r="M15" s="520">
        <f t="shared" si="3"/>
        <v>-0.71764341793622499</v>
      </c>
      <c r="N15" s="569">
        <v>125560633.83</v>
      </c>
      <c r="O15" s="390">
        <v>0.79615521854891236</v>
      </c>
      <c r="P15" s="520">
        <f t="shared" si="4"/>
        <v>-0.71764341793622499</v>
      </c>
    </row>
    <row r="16" spans="1:16" ht="15" customHeight="1" thickBot="1" x14ac:dyDescent="0.25">
      <c r="A16" s="9"/>
      <c r="B16" s="2" t="s">
        <v>10</v>
      </c>
      <c r="C16" s="519">
        <f>SUM(C14:C15)</f>
        <v>155680077.11000001</v>
      </c>
      <c r="D16" s="152">
        <f t="shared" ref="D16:I16" si="9">SUM(D14:D15)</f>
        <v>155680077.11000001</v>
      </c>
      <c r="E16" s="84">
        <f t="shared" si="9"/>
        <v>58407948.519999996</v>
      </c>
      <c r="F16" s="90">
        <f t="shared" si="0"/>
        <v>0.37517933960637917</v>
      </c>
      <c r="G16" s="84">
        <f t="shared" si="9"/>
        <v>58407948.519999996</v>
      </c>
      <c r="H16" s="90">
        <f t="shared" si="1"/>
        <v>0.37517933960637917</v>
      </c>
      <c r="I16" s="84">
        <f t="shared" si="9"/>
        <v>46353270.890000001</v>
      </c>
      <c r="J16" s="170">
        <f t="shared" si="2"/>
        <v>0.29774696769483117</v>
      </c>
      <c r="K16" s="568">
        <f t="shared" ref="K16" si="10">SUM(K14:K15)</f>
        <v>135604362.77000001</v>
      </c>
      <c r="L16" s="90">
        <v>0.74773928328858486</v>
      </c>
      <c r="M16" s="641">
        <f t="shared" si="3"/>
        <v>-0.56927677453072556</v>
      </c>
      <c r="N16" s="568">
        <f t="shared" ref="N16" si="11">SUM(N14:N15)</f>
        <v>135604362.77000001</v>
      </c>
      <c r="O16" s="90">
        <v>0.74773928328858486</v>
      </c>
      <c r="P16" s="641">
        <f t="shared" si="4"/>
        <v>-0.65817271698978985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825219144.71000004</v>
      </c>
      <c r="E17" s="155">
        <f t="shared" si="12"/>
        <v>383405177.69999999</v>
      </c>
      <c r="F17" s="181">
        <f t="shared" si="0"/>
        <v>0.46461013435980925</v>
      </c>
      <c r="G17" s="155">
        <f t="shared" si="12"/>
        <v>383405177.69999999</v>
      </c>
      <c r="H17" s="181">
        <f t="shared" si="1"/>
        <v>0.46461013435980925</v>
      </c>
      <c r="I17" s="155">
        <f t="shared" si="12"/>
        <v>152615791.47</v>
      </c>
      <c r="J17" s="173">
        <f t="shared" si="2"/>
        <v>0.18493971261855843</v>
      </c>
      <c r="K17" s="576">
        <f t="shared" ref="K17" si="13">+K10+K13+K16</f>
        <v>421170100.44000006</v>
      </c>
      <c r="L17" s="181">
        <v>0.55900413485728861</v>
      </c>
      <c r="M17" s="607">
        <f t="shared" si="3"/>
        <v>-8.9666675532158457E-2</v>
      </c>
      <c r="N17" s="576">
        <f t="shared" ref="N17" si="14">+N10+N13+N16</f>
        <v>246952301.81</v>
      </c>
      <c r="O17" s="181">
        <v>0.32777103046986433</v>
      </c>
      <c r="P17" s="607">
        <f t="shared" si="4"/>
        <v>-0.38200296028251057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R138"/>
  <sheetViews>
    <sheetView topLeftCell="C50" zoomScaleNormal="100" workbookViewId="0">
      <selection activeCell="J67" sqref="J67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8" style="97" bestFit="1" customWidth="1"/>
    <col min="7" max="7" width="11.140625" bestFit="1" customWidth="1"/>
    <col min="8" max="8" width="7.7109375" style="97" bestFit="1" customWidth="1"/>
    <col min="9" max="9" width="11.28515625" customWidth="1"/>
    <col min="10" max="10" width="10.5703125" style="97" bestFit="1" customWidth="1"/>
    <col min="11" max="11" width="7.140625" style="97" bestFit="1" customWidth="1"/>
    <col min="12" max="12" width="24.5703125" style="60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767</v>
      </c>
      <c r="D2" s="739" t="s">
        <v>781</v>
      </c>
      <c r="E2" s="740"/>
      <c r="F2" s="740"/>
      <c r="G2" s="740"/>
      <c r="H2" s="741"/>
      <c r="I2" s="736" t="s">
        <v>782</v>
      </c>
      <c r="J2" s="737"/>
      <c r="K2" s="197"/>
    </row>
    <row r="3" spans="1:17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766</v>
      </c>
      <c r="L4" s="58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668207000</v>
      </c>
      <c r="D5" s="368">
        <v>668207000</v>
      </c>
      <c r="E5" s="284">
        <v>239648990.53999999</v>
      </c>
      <c r="F5" s="372">
        <f>+E5/D5</f>
        <v>0.35864483691430948</v>
      </c>
      <c r="G5" s="284">
        <v>184996975.72999999</v>
      </c>
      <c r="H5" s="364">
        <f>G5/E5</f>
        <v>0.77194973912949572</v>
      </c>
      <c r="I5" s="284">
        <v>235027741.80000001</v>
      </c>
      <c r="J5" s="372">
        <v>0.37700287295214757</v>
      </c>
      <c r="K5" s="285">
        <f>+E5/I5-1</f>
        <v>1.9662567085091176E-2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57140714</v>
      </c>
      <c r="D6" s="292">
        <v>57140714</v>
      </c>
      <c r="E6" s="132">
        <v>38189312.520000003</v>
      </c>
      <c r="F6" s="327">
        <f t="shared" ref="F6:F68" si="0">+E6/D6</f>
        <v>0.66833803511800716</v>
      </c>
      <c r="G6" s="132">
        <v>1479242.72</v>
      </c>
      <c r="H6" s="364">
        <f t="shared" ref="H6:H14" si="1">G6/E6</f>
        <v>3.8734468425565674E-2</v>
      </c>
      <c r="I6" s="132">
        <v>38361221.780000001</v>
      </c>
      <c r="J6" s="327">
        <v>0.65440501160013653</v>
      </c>
      <c r="K6" s="293">
        <f t="shared" ref="K6:K68" si="2">+E6/I6-1</f>
        <v>-4.4813291137046907E-3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172677000</v>
      </c>
      <c r="D7" s="292">
        <v>172677000</v>
      </c>
      <c r="E7" s="132">
        <v>66726923.450000003</v>
      </c>
      <c r="F7" s="327">
        <f t="shared" si="0"/>
        <v>0.38642623771550355</v>
      </c>
      <c r="G7" s="132">
        <v>57522378.640000001</v>
      </c>
      <c r="H7" s="364">
        <f t="shared" si="1"/>
        <v>0.86205650831635938</v>
      </c>
      <c r="I7" s="132">
        <v>45132409.369999997</v>
      </c>
      <c r="J7" s="327">
        <v>0.37356936588474843</v>
      </c>
      <c r="K7" s="293">
        <f t="shared" si="2"/>
        <v>0.47847022530895744</v>
      </c>
      <c r="L7" s="289">
        <v>116</v>
      </c>
      <c r="M7" s="339"/>
      <c r="N7" s="455"/>
      <c r="O7" s="456"/>
    </row>
    <row r="8" spans="1:17" s="287" customFormat="1" ht="15" customHeight="1" x14ac:dyDescent="0.2">
      <c r="A8" s="288"/>
      <c r="B8" s="288" t="s">
        <v>154</v>
      </c>
      <c r="C8" s="291">
        <v>90475310</v>
      </c>
      <c r="D8" s="292">
        <v>90475310</v>
      </c>
      <c r="E8" s="132">
        <v>2505254.15</v>
      </c>
      <c r="F8" s="327">
        <f t="shared" si="0"/>
        <v>2.7689920598227294E-2</v>
      </c>
      <c r="G8" s="132">
        <v>438985.85</v>
      </c>
      <c r="H8" s="364">
        <f t="shared" si="1"/>
        <v>0.17522607436854259</v>
      </c>
      <c r="I8" s="132">
        <v>6839235.9299999997</v>
      </c>
      <c r="J8" s="327">
        <v>7.6264358787622513E-2</v>
      </c>
      <c r="K8" s="293">
        <f t="shared" si="2"/>
        <v>-0.63369385474613971</v>
      </c>
      <c r="L8" s="289">
        <v>130</v>
      </c>
      <c r="M8" s="339"/>
      <c r="N8" s="455"/>
      <c r="O8" s="456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0</v>
      </c>
      <c r="F9" s="327">
        <v>0</v>
      </c>
      <c r="G9" s="132">
        <v>0</v>
      </c>
      <c r="H9" s="364" t="s">
        <v>129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">
      <c r="A10" s="290"/>
      <c r="B10" s="290" t="s">
        <v>155</v>
      </c>
      <c r="C10" s="291">
        <v>22174400.02</v>
      </c>
      <c r="D10" s="292">
        <v>22174400.02</v>
      </c>
      <c r="E10" s="294">
        <v>8281794.04</v>
      </c>
      <c r="F10" s="373">
        <f t="shared" si="0"/>
        <v>0.37348447004339735</v>
      </c>
      <c r="G10" s="294">
        <v>7715409.5099999998</v>
      </c>
      <c r="H10" s="543">
        <f t="shared" si="1"/>
        <v>0.93161088922708823</v>
      </c>
      <c r="I10" s="294">
        <v>6435256.4800000004</v>
      </c>
      <c r="J10" s="373">
        <v>0.38380488340192048</v>
      </c>
      <c r="K10" s="295">
        <f t="shared" si="2"/>
        <v>0.28694078716812843</v>
      </c>
      <c r="L10" s="289">
        <v>290</v>
      </c>
      <c r="M10" s="339"/>
      <c r="N10" s="455"/>
      <c r="O10" s="456"/>
    </row>
    <row r="11" spans="1:17" ht="15" customHeight="1" x14ac:dyDescent="0.2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355352274.69999999</v>
      </c>
      <c r="F11" s="90">
        <f>+E11/D11</f>
        <v>0.35159915274256159</v>
      </c>
      <c r="G11" s="84">
        <f>SUM(G5:G10)</f>
        <v>252152992.44999996</v>
      </c>
      <c r="H11" s="170">
        <f t="shared" si="1"/>
        <v>0.70958598101806369</v>
      </c>
      <c r="I11" s="84">
        <f>SUM(I5:I10)</f>
        <v>331795865.36000007</v>
      </c>
      <c r="J11" s="43">
        <v>0.36489552773387396</v>
      </c>
      <c r="K11" s="144">
        <f>+E11/I11-1</f>
        <v>7.0996693447162418E-2</v>
      </c>
      <c r="M11" s="339"/>
      <c r="N11" s="455"/>
      <c r="O11" s="456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90056137.610000014</v>
      </c>
      <c r="D12" s="368">
        <v>90056137.609999999</v>
      </c>
      <c r="E12" s="326">
        <v>22482493.739999998</v>
      </c>
      <c r="F12" s="656">
        <f t="shared" si="0"/>
        <v>0.24964976665292274</v>
      </c>
      <c r="G12" s="326">
        <v>14755794.76</v>
      </c>
      <c r="H12" s="355">
        <f t="shared" si="1"/>
        <v>0.6563237570815843</v>
      </c>
      <c r="I12" s="284">
        <v>22482493.739999998</v>
      </c>
      <c r="J12" s="372">
        <v>0.24917678528441792</v>
      </c>
      <c r="K12" s="285">
        <f t="shared" si="2"/>
        <v>0</v>
      </c>
      <c r="L12" s="286" t="s">
        <v>165</v>
      </c>
      <c r="M12" s="339"/>
      <c r="N12" s="455"/>
      <c r="O12" s="456"/>
    </row>
    <row r="13" spans="1:17" s="287" customFormat="1" ht="15" customHeight="1" x14ac:dyDescent="0.2">
      <c r="A13" s="290"/>
      <c r="B13" s="290" t="s">
        <v>158</v>
      </c>
      <c r="C13" s="291">
        <v>1007970486.3199999</v>
      </c>
      <c r="D13" s="292">
        <v>1007970486.3200001</v>
      </c>
      <c r="E13" s="657">
        <v>243190619.55000001</v>
      </c>
      <c r="F13" s="655">
        <f t="shared" si="0"/>
        <v>0.24126759944913145</v>
      </c>
      <c r="G13" s="657">
        <v>159772946.24000001</v>
      </c>
      <c r="H13" s="365">
        <f t="shared" si="1"/>
        <v>0.65698646821017981</v>
      </c>
      <c r="I13" s="294">
        <v>243190619.55000001</v>
      </c>
      <c r="J13" s="373">
        <v>0.25968916522354774</v>
      </c>
      <c r="K13" s="295">
        <f t="shared" si="2"/>
        <v>0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1098026623.9299998</v>
      </c>
      <c r="D14" s="152">
        <f>SUM(D12:D13)</f>
        <v>1098026623.9300001</v>
      </c>
      <c r="E14" s="84">
        <f>SUM(E12:E13)</f>
        <v>265673113.29000002</v>
      </c>
      <c r="F14" s="90">
        <f>+E14/D14</f>
        <v>0.24195507422134863</v>
      </c>
      <c r="G14" s="84">
        <f>SUM(G12:G13)</f>
        <v>174528741</v>
      </c>
      <c r="H14" s="171">
        <f t="shared" si="1"/>
        <v>0.65693038651408497</v>
      </c>
      <c r="I14" s="84">
        <f>SUM(I12:I13)</f>
        <v>265673113.29000002</v>
      </c>
      <c r="J14" s="43">
        <v>0.25900000000000001</v>
      </c>
      <c r="K14" s="144">
        <f t="shared" si="2"/>
        <v>0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9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">
      <c r="A18" s="281"/>
      <c r="B18" s="344" t="s">
        <v>162</v>
      </c>
      <c r="C18" s="486">
        <v>15107000</v>
      </c>
      <c r="D18" s="368">
        <v>15107000</v>
      </c>
      <c r="E18" s="341">
        <v>3638207.45</v>
      </c>
      <c r="F18" s="375">
        <f t="shared" si="0"/>
        <v>0.24082924803071426</v>
      </c>
      <c r="G18" s="341">
        <v>2521660.71</v>
      </c>
      <c r="H18" s="355">
        <f t="shared" ref="H18:H23" si="3">+G18/E18</f>
        <v>0.69310525709577109</v>
      </c>
      <c r="I18" s="341">
        <v>2554132.16</v>
      </c>
      <c r="J18" s="401">
        <v>0.16478272000000002</v>
      </c>
      <c r="K18" s="384">
        <f t="shared" si="2"/>
        <v>0.42443977918511466</v>
      </c>
      <c r="L18" s="289">
        <v>301</v>
      </c>
      <c r="M18" s="339"/>
      <c r="N18" s="454"/>
      <c r="O18" s="456"/>
    </row>
    <row r="19" spans="1:17" s="287" customFormat="1" ht="15" customHeight="1" x14ac:dyDescent="0.2">
      <c r="A19" s="281"/>
      <c r="B19" s="343" t="s">
        <v>167</v>
      </c>
      <c r="C19" s="291">
        <v>9977000</v>
      </c>
      <c r="D19" s="292">
        <v>9977000</v>
      </c>
      <c r="E19" s="284">
        <v>1090200.72</v>
      </c>
      <c r="F19" s="374">
        <f t="shared" si="0"/>
        <v>0.10927139621128595</v>
      </c>
      <c r="G19" s="284">
        <v>1065370.92</v>
      </c>
      <c r="H19" s="355">
        <f t="shared" si="3"/>
        <v>0.9772245609964374</v>
      </c>
      <c r="I19" s="284">
        <v>2625699.83</v>
      </c>
      <c r="J19" s="335">
        <v>0.4327125626235992</v>
      </c>
      <c r="K19" s="385">
        <f t="shared" si="2"/>
        <v>-0.58479613414150244</v>
      </c>
      <c r="L19" s="289">
        <v>321</v>
      </c>
      <c r="M19" s="339"/>
      <c r="N19" s="455"/>
      <c r="O19" s="456"/>
    </row>
    <row r="20" spans="1:17" s="287" customFormat="1" ht="15" customHeight="1" x14ac:dyDescent="0.2">
      <c r="A20" s="281"/>
      <c r="B20" s="343" t="s">
        <v>168</v>
      </c>
      <c r="C20" s="291">
        <v>15905000.01</v>
      </c>
      <c r="D20" s="292">
        <v>15905000.01</v>
      </c>
      <c r="E20" s="326">
        <v>3909342.84</v>
      </c>
      <c r="F20" s="374">
        <f t="shared" si="0"/>
        <v>0.24579332521484229</v>
      </c>
      <c r="G20" s="326">
        <v>1255003.97</v>
      </c>
      <c r="H20" s="355">
        <f t="shared" si="3"/>
        <v>0.3210268378508343</v>
      </c>
      <c r="I20" s="284">
        <v>3674111.26</v>
      </c>
      <c r="J20" s="335">
        <v>0.21925829550679818</v>
      </c>
      <c r="K20" s="385">
        <f t="shared" si="2"/>
        <v>6.4024076396641316E-2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">
      <c r="A21" s="281"/>
      <c r="B21" s="343" t="s">
        <v>169</v>
      </c>
      <c r="C21" s="291">
        <v>33625000</v>
      </c>
      <c r="D21" s="292">
        <v>33625000</v>
      </c>
      <c r="E21" s="658">
        <v>5844694.5999999996</v>
      </c>
      <c r="F21" s="374">
        <f t="shared" si="0"/>
        <v>0.17381991375464684</v>
      </c>
      <c r="G21" s="658">
        <v>1192666.3899999999</v>
      </c>
      <c r="H21" s="355">
        <f t="shared" si="3"/>
        <v>0.20405965950727348</v>
      </c>
      <c r="I21" s="284">
        <v>6672420.8799999999</v>
      </c>
      <c r="J21" s="335">
        <v>0.21834552439543178</v>
      </c>
      <c r="K21" s="385">
        <f t="shared" si="2"/>
        <v>-0.12405186886232511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8349000</v>
      </c>
      <c r="D22" s="292">
        <v>8349000</v>
      </c>
      <c r="E22" s="658">
        <v>4670486.53</v>
      </c>
      <c r="F22" s="374">
        <f t="shared" si="0"/>
        <v>0.55940669900586903</v>
      </c>
      <c r="G22" s="326">
        <v>2225050.15</v>
      </c>
      <c r="H22" s="355">
        <f t="shared" si="3"/>
        <v>0.47640650191533679</v>
      </c>
      <c r="I22" s="284">
        <v>4567704.97</v>
      </c>
      <c r="J22" s="335">
        <v>0.53567549845863194</v>
      </c>
      <c r="K22" s="385">
        <f t="shared" si="2"/>
        <v>2.2501794812724185E-2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59" t="s">
        <v>172</v>
      </c>
      <c r="C23" s="492">
        <v>3208129.9999999963</v>
      </c>
      <c r="D23" s="324">
        <v>3208130</v>
      </c>
      <c r="E23" s="660">
        <v>1941990.78</v>
      </c>
      <c r="F23" s="380">
        <f t="shared" si="0"/>
        <v>0.6053341915695436</v>
      </c>
      <c r="G23" s="660">
        <v>1172693.77</v>
      </c>
      <c r="H23" s="445">
        <f t="shared" si="3"/>
        <v>0.60386165685091464</v>
      </c>
      <c r="I23" s="324">
        <v>1055863.07</v>
      </c>
      <c r="J23" s="402">
        <v>0.34851369931524551</v>
      </c>
      <c r="K23" s="386">
        <f t="shared" si="2"/>
        <v>0.83924491269497659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7">
        <v>18467000</v>
      </c>
      <c r="D24" s="368">
        <v>18467000</v>
      </c>
      <c r="E24" s="284">
        <v>392249.57</v>
      </c>
      <c r="F24" s="374">
        <f t="shared" si="0"/>
        <v>2.1240568040288083E-2</v>
      </c>
      <c r="G24" s="284">
        <v>204737.83</v>
      </c>
      <c r="H24" s="355">
        <f>+G24/E24</f>
        <v>0.5219580737845041</v>
      </c>
      <c r="I24" s="284">
        <v>408824.82</v>
      </c>
      <c r="J24" s="335">
        <v>2.3182581230507513E-2</v>
      </c>
      <c r="K24" s="285">
        <f t="shared" si="2"/>
        <v>-4.054364898882612E-2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5620000</v>
      </c>
      <c r="D25" s="292">
        <v>5620000</v>
      </c>
      <c r="E25" s="284">
        <v>156602.29999999999</v>
      </c>
      <c r="F25" s="374">
        <f t="shared" si="0"/>
        <v>2.7865177935943057E-2</v>
      </c>
      <c r="G25" s="284">
        <v>34004.82</v>
      </c>
      <c r="H25" s="355">
        <f>+G25/E25</f>
        <v>0.21714125526892009</v>
      </c>
      <c r="I25" s="284">
        <v>2258035.34</v>
      </c>
      <c r="J25" s="335">
        <v>0.360766151142355</v>
      </c>
      <c r="K25" s="285">
        <f t="shared" si="2"/>
        <v>-0.93064665675250235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2989289.9700000007</v>
      </c>
      <c r="D26" s="292">
        <v>2989289.97</v>
      </c>
      <c r="E26" s="284">
        <v>754291.21</v>
      </c>
      <c r="F26" s="374">
        <f t="shared" si="0"/>
        <v>0.25233122834182592</v>
      </c>
      <c r="G26" s="284">
        <v>713275.51</v>
      </c>
      <c r="H26" s="355">
        <f t="shared" ref="H26:H68" si="4">+G26/E26</f>
        <v>0.94562352118620085</v>
      </c>
      <c r="I26" s="324">
        <v>798889.07</v>
      </c>
      <c r="J26" s="335">
        <v>0.20625206025753032</v>
      </c>
      <c r="K26" s="285">
        <f t="shared" si="2"/>
        <v>-5.5824846871418532E-2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506</v>
      </c>
      <c r="C27" s="487">
        <v>10</v>
      </c>
      <c r="D27" s="301">
        <v>10</v>
      </c>
      <c r="E27" s="302">
        <v>0</v>
      </c>
      <c r="F27" s="374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6">
        <v>9100000</v>
      </c>
      <c r="D28" s="292">
        <v>9100000</v>
      </c>
      <c r="E28" s="284">
        <v>477870</v>
      </c>
      <c r="F28" s="374">
        <f t="shared" si="0"/>
        <v>5.2513186813186813E-2</v>
      </c>
      <c r="G28" s="284">
        <v>0</v>
      </c>
      <c r="H28" s="355" t="s">
        <v>129</v>
      </c>
      <c r="I28" s="284">
        <v>1384751.72</v>
      </c>
      <c r="J28" s="335">
        <v>0.22700847868852458</v>
      </c>
      <c r="K28" s="285">
        <f t="shared" si="2"/>
        <v>-0.65490564619049541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2">
        <v>420149.99000000022</v>
      </c>
      <c r="D29" s="324">
        <v>420149.99</v>
      </c>
      <c r="E29" s="325">
        <v>89501.99</v>
      </c>
      <c r="F29" s="347">
        <f t="shared" si="0"/>
        <v>0.21302390129772467</v>
      </c>
      <c r="G29" s="297">
        <v>23820.36</v>
      </c>
      <c r="H29" s="366">
        <f t="shared" si="4"/>
        <v>0.26614335614213719</v>
      </c>
      <c r="I29" s="297">
        <v>46657.479999999901</v>
      </c>
      <c r="J29" s="402">
        <v>0.11953035814930547</v>
      </c>
      <c r="K29" s="298">
        <f t="shared" si="2"/>
        <v>0.91827741232488758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1127180.06</v>
      </c>
      <c r="D30" s="187">
        <v>1127180.06</v>
      </c>
      <c r="E30" s="310">
        <v>189535.51</v>
      </c>
      <c r="F30" s="374">
        <f t="shared" si="0"/>
        <v>0.1681501622730977</v>
      </c>
      <c r="G30" s="125">
        <v>172512.34</v>
      </c>
      <c r="H30" s="355">
        <f t="shared" si="4"/>
        <v>0.91018479861636481</v>
      </c>
      <c r="I30" s="284">
        <v>791658.43</v>
      </c>
      <c r="J30" s="401">
        <v>0.90961348669262232</v>
      </c>
      <c r="K30" s="387">
        <f t="shared" si="2"/>
        <v>-0.76058423327848601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54686190</v>
      </c>
      <c r="D31" s="187">
        <v>54686190</v>
      </c>
      <c r="E31" s="310">
        <v>12367822.560000001</v>
      </c>
      <c r="F31" s="374">
        <f t="shared" si="0"/>
        <v>0.22615988716712576</v>
      </c>
      <c r="G31" s="125">
        <v>7068966.04</v>
      </c>
      <c r="H31" s="355">
        <f t="shared" si="4"/>
        <v>0.57156108164604846</v>
      </c>
      <c r="I31" s="284">
        <v>25090543.27</v>
      </c>
      <c r="J31" s="335">
        <v>0.48662098474319576</v>
      </c>
      <c r="K31" s="285">
        <f t="shared" si="2"/>
        <v>-0.50707234885631869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12205000</v>
      </c>
      <c r="D32" s="187">
        <v>12205000</v>
      </c>
      <c r="E32" s="310">
        <v>2275621.62</v>
      </c>
      <c r="F32" s="374">
        <f t="shared" si="0"/>
        <v>0.18644994838181075</v>
      </c>
      <c r="G32" s="125">
        <v>2275621.62</v>
      </c>
      <c r="H32" s="355">
        <f t="shared" si="4"/>
        <v>1</v>
      </c>
      <c r="I32" s="284">
        <v>2498540.75</v>
      </c>
      <c r="J32" s="335">
        <v>0.23333402596189765</v>
      </c>
      <c r="K32" s="285">
        <f t="shared" si="2"/>
        <v>-8.921972955614188E-2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8093000</v>
      </c>
      <c r="D33" s="187">
        <v>8093000</v>
      </c>
      <c r="E33" s="310">
        <v>2245391.46</v>
      </c>
      <c r="F33" s="316">
        <f t="shared" si="0"/>
        <v>0.27744859261089833</v>
      </c>
      <c r="G33" s="125">
        <v>1662163.77</v>
      </c>
      <c r="H33" s="355">
        <f t="shared" si="4"/>
        <v>0.74025567461630948</v>
      </c>
      <c r="I33" s="125">
        <v>-1928261.47</v>
      </c>
      <c r="J33" s="335">
        <v>-0.269197468937596</v>
      </c>
      <c r="K33" s="285" t="s">
        <v>129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187">
        <v>10</v>
      </c>
      <c r="E34" s="310">
        <v>0</v>
      </c>
      <c r="F34" s="316">
        <f t="shared" si="0"/>
        <v>0</v>
      </c>
      <c r="G34" s="125">
        <v>0</v>
      </c>
      <c r="H34" s="355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4478472.4000000004</v>
      </c>
      <c r="D35" s="187">
        <v>4478472.4000000004</v>
      </c>
      <c r="E35" s="310">
        <v>0</v>
      </c>
      <c r="F35" s="316">
        <f t="shared" si="0"/>
        <v>0</v>
      </c>
      <c r="G35" s="125">
        <v>0</v>
      </c>
      <c r="H35" s="498" t="s">
        <v>129</v>
      </c>
      <c r="I35" s="310">
        <v>0</v>
      </c>
      <c r="J35" s="335" t="s">
        <v>129</v>
      </c>
      <c r="K35" s="285" t="s">
        <v>129</v>
      </c>
      <c r="L35" s="289">
        <v>397</v>
      </c>
      <c r="N35"/>
    </row>
    <row r="36" spans="1:18" s="287" customFormat="1" ht="15" customHeight="1" x14ac:dyDescent="0.2">
      <c r="A36" s="309"/>
      <c r="B36" s="720" t="s">
        <v>776</v>
      </c>
      <c r="C36" s="291">
        <v>0</v>
      </c>
      <c r="D36" s="544">
        <v>0</v>
      </c>
      <c r="E36" s="399">
        <v>4339.2299999999996</v>
      </c>
      <c r="F36" s="376" t="s">
        <v>129</v>
      </c>
      <c r="G36" s="311">
        <v>4339.2299999999996</v>
      </c>
      <c r="H36" s="367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">
      <c r="A37" s="309"/>
      <c r="B37" s="247" t="s">
        <v>184</v>
      </c>
      <c r="C37" s="291">
        <v>10046099.98</v>
      </c>
      <c r="D37" s="544">
        <v>10046099.98</v>
      </c>
      <c r="E37" s="399">
        <v>838434.05</v>
      </c>
      <c r="F37" s="376">
        <f t="shared" si="0"/>
        <v>8.3458660740901761E-2</v>
      </c>
      <c r="G37" s="311">
        <v>275064.98</v>
      </c>
      <c r="H37" s="367">
        <f t="shared" si="4"/>
        <v>0.3280699060349469</v>
      </c>
      <c r="I37" s="311">
        <v>811155.71</v>
      </c>
      <c r="J37" s="404">
        <v>6.9366737446266147E-2</v>
      </c>
      <c r="K37" s="312">
        <f t="shared" si="2"/>
        <v>3.3628981049766749E-2</v>
      </c>
      <c r="L37" s="289">
        <v>399</v>
      </c>
      <c r="N37"/>
    </row>
    <row r="38" spans="1:18" ht="15" customHeight="1" thickBot="1" x14ac:dyDescent="0.25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40886582.419999994</v>
      </c>
      <c r="F38" s="377">
        <f>+E38/D38</f>
        <v>0.14596271444247824</v>
      </c>
      <c r="G38" s="174">
        <f>SUM(G15:G37)</f>
        <v>21866952.41</v>
      </c>
      <c r="H38" s="175">
        <f t="shared" si="4"/>
        <v>0.53481976520746344</v>
      </c>
      <c r="I38" s="152">
        <f>SUM(I15:I37)</f>
        <v>53310727.289999999</v>
      </c>
      <c r="J38" s="43">
        <v>0.20499999999999999</v>
      </c>
      <c r="K38" s="182">
        <f>+E38/I38-1</f>
        <v>-0.23305149829254945</v>
      </c>
      <c r="L38" s="702" t="s">
        <v>148</v>
      </c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64" t="s">
        <v>767</v>
      </c>
      <c r="D40" s="742" t="s">
        <v>781</v>
      </c>
      <c r="E40" s="740"/>
      <c r="F40" s="740"/>
      <c r="G40" s="740"/>
      <c r="H40" s="741"/>
      <c r="I40" s="738" t="s">
        <v>782</v>
      </c>
      <c r="J40" s="737"/>
      <c r="K40" s="197"/>
    </row>
    <row r="41" spans="1:18" x14ac:dyDescent="0.2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5.5" x14ac:dyDescent="0.2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766</v>
      </c>
      <c r="L42" s="58" t="s">
        <v>163</v>
      </c>
    </row>
    <row r="43" spans="1:18" s="287" customFormat="1" ht="15" customHeight="1" x14ac:dyDescent="0.2">
      <c r="A43" s="296"/>
      <c r="B43" s="296" t="s">
        <v>187</v>
      </c>
      <c r="C43" s="475">
        <v>11438669.410000086</v>
      </c>
      <c r="D43" s="297">
        <v>11438669.41</v>
      </c>
      <c r="E43" s="297">
        <v>999292.84</v>
      </c>
      <c r="F43" s="347">
        <f t="shared" ref="F43:F59" si="5">+E43/D43</f>
        <v>8.7360933704963145E-2</v>
      </c>
      <c r="G43" s="369">
        <v>649764.1</v>
      </c>
      <c r="H43" s="463">
        <f t="shared" ref="H43" si="6">G43/E43</f>
        <v>0.65022391234185162</v>
      </c>
      <c r="I43" s="297">
        <v>2727199.6399999899</v>
      </c>
      <c r="J43" s="402">
        <v>0.45163770507483153</v>
      </c>
      <c r="K43" s="502">
        <f t="shared" ref="K43" si="7">+E43/I43-1</f>
        <v>-0.63358280584108484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">
      <c r="A44" s="296"/>
      <c r="B44" s="296" t="s">
        <v>189</v>
      </c>
      <c r="C44" s="300">
        <v>170</v>
      </c>
      <c r="D44" s="297">
        <v>170</v>
      </c>
      <c r="E44" s="297">
        <v>0</v>
      </c>
      <c r="F44" s="347">
        <v>0</v>
      </c>
      <c r="G44" s="297">
        <v>0</v>
      </c>
      <c r="H44" s="463" t="s">
        <v>129</v>
      </c>
      <c r="I44" s="297">
        <v>0</v>
      </c>
      <c r="J44" s="402">
        <v>0</v>
      </c>
      <c r="K44" s="503" t="s">
        <v>129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1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11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193</v>
      </c>
      <c r="C48" s="306">
        <v>55432683.120000005</v>
      </c>
      <c r="D48" s="284">
        <v>55432683.119999997</v>
      </c>
      <c r="E48" s="125">
        <v>5459620.54</v>
      </c>
      <c r="F48" s="316">
        <f t="shared" si="5"/>
        <v>9.8491002648763731E-2</v>
      </c>
      <c r="G48" s="125">
        <v>5459620.54</v>
      </c>
      <c r="H48" s="314">
        <f t="shared" ref="H48" si="8">G48/E48</f>
        <v>1</v>
      </c>
      <c r="I48" s="125">
        <v>610593.82999999996</v>
      </c>
      <c r="J48" s="328">
        <v>1.1904792710137847E-2</v>
      </c>
      <c r="K48" s="388">
        <f t="shared" ref="K48" si="9">+E48/I48-1</f>
        <v>7.9414931362801369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417</v>
      </c>
      <c r="C49" s="306"/>
      <c r="D49" s="284"/>
      <c r="E49" s="125"/>
      <c r="F49" s="316" t="s">
        <v>129</v>
      </c>
      <c r="G49" s="125"/>
      <c r="H49" s="711" t="s">
        <v>129</v>
      </c>
      <c r="I49" s="125">
        <v>0</v>
      </c>
      <c r="J49" s="328" t="s">
        <v>129</v>
      </c>
      <c r="K49" s="499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11" t="s">
        <v>129</v>
      </c>
      <c r="I50" s="125">
        <v>0</v>
      </c>
      <c r="J50" s="328" t="s">
        <v>129</v>
      </c>
      <c r="K50" s="499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">
      <c r="A52" s="318"/>
      <c r="B52" s="400" t="s">
        <v>195</v>
      </c>
      <c r="C52" s="306">
        <v>716307</v>
      </c>
      <c r="D52" s="125">
        <v>716307</v>
      </c>
      <c r="E52" s="319">
        <v>2342442.31</v>
      </c>
      <c r="F52" s="378">
        <f t="shared" si="5"/>
        <v>3.2701653201769632</v>
      </c>
      <c r="G52" s="319">
        <v>2342442.31</v>
      </c>
      <c r="H52" s="371">
        <f t="shared" ref="H52" si="10">G52/E52</f>
        <v>1</v>
      </c>
      <c r="I52" s="319">
        <v>-75112.9399999999</v>
      </c>
      <c r="J52" s="328">
        <v>1.2718553375787792E-2</v>
      </c>
      <c r="K52" s="502" t="s">
        <v>129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500" t="s">
        <v>129</v>
      </c>
      <c r="I53" s="302">
        <v>0</v>
      </c>
      <c r="J53" s="403">
        <v>0</v>
      </c>
      <c r="K53" s="504" t="s">
        <v>129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12" t="s">
        <v>129</v>
      </c>
      <c r="I54" s="323">
        <v>0</v>
      </c>
      <c r="J54" s="336" t="s">
        <v>129</v>
      </c>
      <c r="K54" s="710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418</v>
      </c>
      <c r="C55" s="282"/>
      <c r="D55" s="283"/>
      <c r="E55" s="284"/>
      <c r="F55" s="374" t="s">
        <v>129</v>
      </c>
      <c r="G55" s="284"/>
      <c r="H55" s="713" t="s">
        <v>129</v>
      </c>
      <c r="I55" s="284">
        <v>0</v>
      </c>
      <c r="J55" s="335" t="s">
        <v>129</v>
      </c>
      <c r="K55" s="499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">
      <c r="A56" s="281"/>
      <c r="B56" s="281" t="s">
        <v>199</v>
      </c>
      <c r="C56" s="306"/>
      <c r="D56" s="125"/>
      <c r="E56" s="284"/>
      <c r="F56" s="374" t="s">
        <v>129</v>
      </c>
      <c r="G56" s="284"/>
      <c r="H56" s="355" t="s">
        <v>129</v>
      </c>
      <c r="I56" s="284">
        <v>4036234.07</v>
      </c>
      <c r="J56" s="335">
        <v>7.1974816658978327E-2</v>
      </c>
      <c r="K56" s="388">
        <f t="shared" ref="K56:K57" si="11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263834.56</v>
      </c>
      <c r="J57" s="405">
        <v>0.58891642857142856</v>
      </c>
      <c r="K57" s="388">
        <f t="shared" si="11"/>
        <v>-1</v>
      </c>
      <c r="L57" s="289">
        <v>46402</v>
      </c>
      <c r="N57"/>
    </row>
    <row r="58" spans="1:18" s="287" customFormat="1" ht="15" customHeight="1" x14ac:dyDescent="0.2">
      <c r="A58" s="299"/>
      <c r="B58" s="299" t="s">
        <v>197</v>
      </c>
      <c r="C58" s="300">
        <v>1039935.91</v>
      </c>
      <c r="D58" s="301">
        <v>1039935.91</v>
      </c>
      <c r="E58" s="302">
        <v>0</v>
      </c>
      <c r="F58" s="361">
        <f t="shared" si="5"/>
        <v>0</v>
      </c>
      <c r="G58" s="302">
        <v>0</v>
      </c>
      <c r="H58" s="371" t="s">
        <v>129</v>
      </c>
      <c r="I58" s="302">
        <v>0</v>
      </c>
      <c r="J58" s="403">
        <v>0</v>
      </c>
      <c r="K58" s="505" t="s">
        <v>129</v>
      </c>
      <c r="L58" s="289">
        <v>49</v>
      </c>
      <c r="N58"/>
    </row>
    <row r="59" spans="1:18" s="287" customFormat="1" ht="15" customHeight="1" x14ac:dyDescent="0.2">
      <c r="A59" s="309"/>
      <c r="B59" s="309" t="s">
        <v>198</v>
      </c>
      <c r="C59" s="393">
        <v>400</v>
      </c>
      <c r="D59" s="393">
        <v>400</v>
      </c>
      <c r="E59" s="326">
        <v>73163.56</v>
      </c>
      <c r="F59" s="381">
        <f t="shared" si="5"/>
        <v>182.90889999999999</v>
      </c>
      <c r="G59" s="326">
        <v>73163.56</v>
      </c>
      <c r="H59" s="356">
        <f t="shared" ref="H59" si="12">G59/E59</f>
        <v>1</v>
      </c>
      <c r="I59" s="326">
        <v>23245.13</v>
      </c>
      <c r="J59" s="404">
        <v>0.31750280963487587</v>
      </c>
      <c r="K59" s="547">
        <f t="shared" ref="K59" si="13">+E59/I59-1</f>
        <v>2.1474790633564962</v>
      </c>
      <c r="L59" s="289" t="s">
        <v>761</v>
      </c>
      <c r="N59"/>
    </row>
    <row r="60" spans="1:18" ht="15" customHeight="1" x14ac:dyDescent="0.2">
      <c r="A60" s="9"/>
      <c r="B60" s="2" t="s">
        <v>204</v>
      </c>
      <c r="C60" s="162">
        <f>SUM(C43:C59)</f>
        <v>75356832.160000086</v>
      </c>
      <c r="D60" s="152">
        <f>SUM(D43:D59)</f>
        <v>75536842.5</v>
      </c>
      <c r="E60" s="84">
        <f>SUM(E43:E59)</f>
        <v>8874519.25</v>
      </c>
      <c r="F60" s="90">
        <f t="shared" si="0"/>
        <v>0.1174859705050552</v>
      </c>
      <c r="G60" s="84">
        <f>SUM(G43:G59)</f>
        <v>8524990.5099999998</v>
      </c>
      <c r="H60" s="170">
        <f t="shared" si="4"/>
        <v>0.96061434651798183</v>
      </c>
      <c r="I60" s="84">
        <f>SUM(I43:I59)</f>
        <v>7585994.2899999898</v>
      </c>
      <c r="J60" s="43">
        <v>6.6000000000000003E-2</v>
      </c>
      <c r="K60" s="144">
        <f t="shared" si="2"/>
        <v>0.1698557777322045</v>
      </c>
      <c r="M60" s="46"/>
      <c r="N60" s="46"/>
      <c r="O60" s="46"/>
      <c r="P60" s="46"/>
    </row>
    <row r="61" spans="1:18" s="287" customFormat="1" ht="15" customHeight="1" x14ac:dyDescent="0.2">
      <c r="A61" s="281"/>
      <c r="B61" s="281" t="s">
        <v>206</v>
      </c>
      <c r="C61" s="282">
        <v>3700000</v>
      </c>
      <c r="D61" s="283">
        <v>3700000</v>
      </c>
      <c r="E61" s="284">
        <v>911558.85</v>
      </c>
      <c r="F61" s="374">
        <f t="shared" ref="F61:F65" si="14">+E61/D61</f>
        <v>0.24636725675675675</v>
      </c>
      <c r="G61" s="284">
        <v>911558.85</v>
      </c>
      <c r="H61" s="355">
        <f t="shared" ref="H61:H65" si="15">+G61/E61</f>
        <v>1</v>
      </c>
      <c r="I61" s="284">
        <v>183849.69</v>
      </c>
      <c r="J61" s="335">
        <v>4.9689105405405408E-2</v>
      </c>
      <c r="K61" s="285">
        <f t="shared" si="2"/>
        <v>3.9581745283334442</v>
      </c>
      <c r="L61" s="289" t="s">
        <v>207</v>
      </c>
      <c r="N61"/>
    </row>
    <row r="62" spans="1:18" s="287" customFormat="1" ht="15" customHeight="1" x14ac:dyDescent="0.2">
      <c r="A62" s="281"/>
      <c r="B62" s="281" t="s">
        <v>208</v>
      </c>
      <c r="C62" s="282">
        <v>1443010</v>
      </c>
      <c r="D62" s="283">
        <v>1443010</v>
      </c>
      <c r="E62" s="284">
        <v>483314.52</v>
      </c>
      <c r="F62" s="374">
        <f t="shared" si="14"/>
        <v>0.33493497619559115</v>
      </c>
      <c r="G62" s="284">
        <v>267071.21000000002</v>
      </c>
      <c r="H62" s="355">
        <f t="shared" si="15"/>
        <v>0.55258263294055388</v>
      </c>
      <c r="I62" s="284">
        <v>487530.54</v>
      </c>
      <c r="J62" s="335">
        <v>0.24116789180525736</v>
      </c>
      <c r="K62" s="285">
        <f t="shared" si="2"/>
        <v>-8.6477044084253274E-3</v>
      </c>
      <c r="L62" s="289">
        <v>54</v>
      </c>
      <c r="N62"/>
    </row>
    <row r="63" spans="1:18" s="287" customFormat="1" ht="15" customHeight="1" x14ac:dyDescent="0.2">
      <c r="A63" s="281"/>
      <c r="B63" s="281" t="s">
        <v>209</v>
      </c>
      <c r="C63" s="282">
        <v>3599000</v>
      </c>
      <c r="D63" s="283">
        <v>3599000</v>
      </c>
      <c r="E63" s="284">
        <v>113072.18</v>
      </c>
      <c r="F63" s="374">
        <f t="shared" si="14"/>
        <v>3.1417666018338425E-2</v>
      </c>
      <c r="G63" s="284">
        <v>113072.18</v>
      </c>
      <c r="H63" s="355">
        <f t="shared" si="15"/>
        <v>1</v>
      </c>
      <c r="I63" s="284">
        <v>2880630.75</v>
      </c>
      <c r="J63" s="335">
        <v>0.94261477421465967</v>
      </c>
      <c r="K63" s="285">
        <f t="shared" si="2"/>
        <v>-0.96074742311210837</v>
      </c>
      <c r="L63" s="289">
        <v>55000</v>
      </c>
      <c r="N63"/>
    </row>
    <row r="64" spans="1:18" s="287" customFormat="1" ht="15" customHeight="1" x14ac:dyDescent="0.2">
      <c r="A64" s="281"/>
      <c r="B64" s="281" t="s">
        <v>210</v>
      </c>
      <c r="C64" s="282">
        <v>30755019.989999995</v>
      </c>
      <c r="D64" s="283">
        <v>30755019.989999998</v>
      </c>
      <c r="E64" s="284">
        <v>3139054</v>
      </c>
      <c r="F64" s="374">
        <f t="shared" si="14"/>
        <v>0.10206639439742403</v>
      </c>
      <c r="G64" s="284">
        <v>1266696.79</v>
      </c>
      <c r="H64" s="355">
        <f t="shared" si="15"/>
        <v>0.4035281935258202</v>
      </c>
      <c r="I64" s="284">
        <v>3027840.44</v>
      </c>
      <c r="J64" s="335">
        <v>9.8652338690283392E-2</v>
      </c>
      <c r="K64" s="285">
        <f t="shared" si="2"/>
        <v>3.6730323874001769E-2</v>
      </c>
      <c r="L64" s="289" t="s">
        <v>416</v>
      </c>
      <c r="N64"/>
    </row>
    <row r="65" spans="1:14" s="287" customFormat="1" ht="15" customHeight="1" x14ac:dyDescent="0.2">
      <c r="A65" s="281"/>
      <c r="B65" s="281" t="s">
        <v>211</v>
      </c>
      <c r="C65" s="282">
        <v>2600060</v>
      </c>
      <c r="D65" s="283">
        <v>2600060</v>
      </c>
      <c r="E65" s="284">
        <v>644617.35</v>
      </c>
      <c r="F65" s="374">
        <f t="shared" si="14"/>
        <v>0.24792402867626132</v>
      </c>
      <c r="G65" s="284">
        <v>464252.58</v>
      </c>
      <c r="H65" s="355">
        <f t="shared" si="15"/>
        <v>0.72019870392877272</v>
      </c>
      <c r="I65" s="284">
        <v>614449.54</v>
      </c>
      <c r="J65" s="335">
        <v>0.23047273859356951</v>
      </c>
      <c r="K65" s="285">
        <f t="shared" si="2"/>
        <v>4.9097294466198038E-2</v>
      </c>
      <c r="L65" s="289" t="s">
        <v>212</v>
      </c>
      <c r="N65"/>
    </row>
    <row r="66" spans="1:14" s="287" customFormat="1" ht="15" customHeight="1" x14ac:dyDescent="0.2">
      <c r="A66" s="281"/>
      <c r="B66" s="309" t="s">
        <v>213</v>
      </c>
      <c r="C66" s="497">
        <v>20.009999999999998</v>
      </c>
      <c r="D66" s="292">
        <v>20</v>
      </c>
      <c r="E66" s="294">
        <v>0</v>
      </c>
      <c r="F66" s="545" t="s">
        <v>129</v>
      </c>
      <c r="G66" s="294">
        <v>0</v>
      </c>
      <c r="H66" s="365" t="s">
        <v>129</v>
      </c>
      <c r="I66" s="292">
        <v>0</v>
      </c>
      <c r="J66" s="546" t="s">
        <v>129</v>
      </c>
      <c r="K66" s="312" t="s">
        <v>129</v>
      </c>
      <c r="L66" s="286" t="s">
        <v>214</v>
      </c>
    </row>
    <row r="67" spans="1:14" ht="15" customHeight="1" thickBot="1" x14ac:dyDescent="0.25">
      <c r="A67" s="9"/>
      <c r="B67" s="541" t="s">
        <v>42</v>
      </c>
      <c r="C67" s="519">
        <f>SUM(C61:C66)</f>
        <v>42097109.999999993</v>
      </c>
      <c r="D67" s="152">
        <f>SUM(D61:D66)</f>
        <v>42097109.989999995</v>
      </c>
      <c r="E67" s="84">
        <f>SUM(E61:E66)</f>
        <v>5291616.8999999994</v>
      </c>
      <c r="F67" s="90">
        <f t="shared" si="0"/>
        <v>0.12570024168540317</v>
      </c>
      <c r="G67" s="84">
        <f>SUM(G61:G66)</f>
        <v>3022651.6100000003</v>
      </c>
      <c r="H67" s="170">
        <f t="shared" si="4"/>
        <v>0.57121512519169715</v>
      </c>
      <c r="I67" s="84">
        <f>SUM(I61:I66)</f>
        <v>7194300.96</v>
      </c>
      <c r="J67" s="43">
        <v>0.17074151094314979</v>
      </c>
      <c r="K67" s="231">
        <f>+E67/I67-1</f>
        <v>-0.26447101262219097</v>
      </c>
    </row>
    <row r="68" spans="1:14" s="6" customFormat="1" ht="19.5" customHeight="1" thickBot="1" x14ac:dyDescent="0.25">
      <c r="A68" s="5"/>
      <c r="B68" s="4" t="s">
        <v>205</v>
      </c>
      <c r="C68" s="163">
        <f>+C11+C14+C38+C60+C67</f>
        <v>2506271621.5100002</v>
      </c>
      <c r="D68" s="154">
        <f>+D11+D14+D38+D60+D67</f>
        <v>2506451631.8399997</v>
      </c>
      <c r="E68" s="155">
        <f>+E11+E14+E38+E60+E67</f>
        <v>676078106.55999994</v>
      </c>
      <c r="F68" s="181">
        <f t="shared" si="0"/>
        <v>0.26973514987148878</v>
      </c>
      <c r="G68" s="155">
        <f>+G11+G14+G38+G60+G67</f>
        <v>460096327.97999996</v>
      </c>
      <c r="H68" s="173">
        <f t="shared" si="4"/>
        <v>0.68053723899010443</v>
      </c>
      <c r="I68" s="147">
        <f>+I11+I14+I38+I60+I67</f>
        <v>665560001.19000006</v>
      </c>
      <c r="J68" s="183">
        <v>0.28282018908777457</v>
      </c>
      <c r="K68" s="146">
        <f t="shared" si="2"/>
        <v>1.5803391656941335E-2</v>
      </c>
      <c r="L68" s="14"/>
    </row>
    <row r="69" spans="1:14" x14ac:dyDescent="0.2">
      <c r="D69" s="46"/>
      <c r="F69" s="382"/>
    </row>
    <row r="72" spans="1:14" x14ac:dyDescent="0.2">
      <c r="B72" s="254"/>
    </row>
    <row r="73" spans="1:14" x14ac:dyDescent="0.2">
      <c r="E73" s="46"/>
    </row>
    <row r="74" spans="1:14" x14ac:dyDescent="0.2">
      <c r="E74" s="46"/>
    </row>
    <row r="75" spans="1:14" x14ac:dyDescent="0.2">
      <c r="E75" s="254"/>
    </row>
    <row r="76" spans="1:14" x14ac:dyDescent="0.2">
      <c r="E76" s="46"/>
    </row>
    <row r="77" spans="1:14" x14ac:dyDescent="0.2">
      <c r="E77" s="46"/>
    </row>
    <row r="78" spans="1:14" x14ac:dyDescent="0.2">
      <c r="C78" s="46"/>
    </row>
    <row r="80" spans="1:14" x14ac:dyDescent="0.2">
      <c r="C80" s="254"/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254"/>
    </row>
    <row r="137" spans="12:15" x14ac:dyDescent="0.2">
      <c r="L137" s="688"/>
      <c r="O137" s="689">
        <v>0.58699999999999997</v>
      </c>
    </row>
    <row r="138" spans="12:15" x14ac:dyDescent="0.2">
      <c r="L138" s="688"/>
      <c r="O138" s="689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opLeftCell="A3" zoomScaleNormal="100" workbookViewId="0">
      <selection activeCell="N30" sqref="N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P137"/>
  <sheetViews>
    <sheetView topLeftCell="D1" zoomScaleNormal="100" workbookViewId="0">
      <selection activeCell="P14" sqref="P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28515625" style="97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13414557.82</v>
      </c>
      <c r="D5" s="204">
        <v>15000445.85</v>
      </c>
      <c r="E5" s="180">
        <v>3476201.25</v>
      </c>
      <c r="F5" s="48">
        <f>E5/D5</f>
        <v>0.23173986191883758</v>
      </c>
      <c r="G5" s="30">
        <v>3407191.25</v>
      </c>
      <c r="H5" s="48">
        <f>G5/D5</f>
        <v>0.22713933199525532</v>
      </c>
      <c r="I5" s="180">
        <v>3407191.25</v>
      </c>
      <c r="J5" s="153">
        <f>I5/D5</f>
        <v>0.22713933199525532</v>
      </c>
      <c r="K5" s="180">
        <v>2606473.2999999998</v>
      </c>
      <c r="L5" s="48">
        <v>0.23487802204297983</v>
      </c>
      <c r="M5" s="210">
        <f>+G5/K5-1</f>
        <v>0.30720358808202652</v>
      </c>
      <c r="N5" s="180">
        <v>2606473.2999999998</v>
      </c>
      <c r="O5" s="48">
        <v>0.23487802204297983</v>
      </c>
      <c r="P5" s="210">
        <f>+I5/N5-1</f>
        <v>0.30720358808202652</v>
      </c>
    </row>
    <row r="6" spans="1:16" ht="15" customHeight="1" x14ac:dyDescent="0.2">
      <c r="A6" s="23">
        <v>2</v>
      </c>
      <c r="B6" s="23" t="s">
        <v>1</v>
      </c>
      <c r="C6" s="159">
        <v>22125531.309999999</v>
      </c>
      <c r="D6" s="204">
        <v>21787487.309999999</v>
      </c>
      <c r="E6" s="34">
        <v>14083590.199999999</v>
      </c>
      <c r="F6" s="48">
        <f>E6/D6</f>
        <v>0.64640727035723511</v>
      </c>
      <c r="G6" s="34">
        <v>11846600.369999999</v>
      </c>
      <c r="H6" s="48">
        <f>G6/D6</f>
        <v>0.54373412598903315</v>
      </c>
      <c r="I6" s="34">
        <v>2144012.77</v>
      </c>
      <c r="J6" s="153">
        <f>I6/D6</f>
        <v>9.8405692198197781E-2</v>
      </c>
      <c r="K6" s="34">
        <v>6842625.9800000004</v>
      </c>
      <c r="L6" s="280">
        <v>0.72233375931573296</v>
      </c>
      <c r="M6" s="210">
        <f>+G6/K6-1</f>
        <v>0.73129444815862898</v>
      </c>
      <c r="N6" s="34">
        <v>425169.24</v>
      </c>
      <c r="O6" s="280">
        <v>4.488249049009297E-2</v>
      </c>
      <c r="P6" s="210">
        <f>+I6/N6-1</f>
        <v>4.0427278558533537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">
      <c r="A8" s="24">
        <v>4</v>
      </c>
      <c r="B8" s="24" t="s">
        <v>3</v>
      </c>
      <c r="C8" s="161">
        <v>37118559.759999998</v>
      </c>
      <c r="D8" s="206">
        <v>37211935.759999998</v>
      </c>
      <c r="E8" s="34">
        <v>29220595.329999998</v>
      </c>
      <c r="F8" s="390">
        <f>E8/D8</f>
        <v>0.7852479247104881</v>
      </c>
      <c r="G8" s="34">
        <v>26066845.329999998</v>
      </c>
      <c r="H8" s="390">
        <f>G8/D8</f>
        <v>0.70049689159196804</v>
      </c>
      <c r="I8" s="34">
        <v>3124262.19</v>
      </c>
      <c r="J8" s="392">
        <f>I8/D8</f>
        <v>8.3958604307770093E-2</v>
      </c>
      <c r="K8" s="34">
        <v>127247828.52</v>
      </c>
      <c r="L8" s="390">
        <v>0.95966261992480384</v>
      </c>
      <c r="M8" s="520">
        <f>+G8/K8-1</f>
        <v>-0.79514899677912398</v>
      </c>
      <c r="N8" s="34">
        <v>42221500</v>
      </c>
      <c r="O8" s="390">
        <v>0.31842111396648853</v>
      </c>
      <c r="P8" s="520">
        <f>+I8/N8-1</f>
        <v>-0.92600305081534295</v>
      </c>
    </row>
    <row r="9" spans="1:16" ht="15" customHeight="1" x14ac:dyDescent="0.2">
      <c r="A9" s="9"/>
      <c r="B9" s="2" t="s">
        <v>4</v>
      </c>
      <c r="C9" s="162">
        <f>SUM(C5:C8)</f>
        <v>72658648.889999986</v>
      </c>
      <c r="D9" s="152">
        <f>SUM(D5:D8)</f>
        <v>73999868.919999987</v>
      </c>
      <c r="E9" s="84">
        <f>SUM(E5:E8)</f>
        <v>46780386.780000001</v>
      </c>
      <c r="F9" s="90">
        <f>E9/D9</f>
        <v>0.63216850871146124</v>
      </c>
      <c r="G9" s="84">
        <f t="shared" ref="G9:I9" si="0">SUM(G5:G8)</f>
        <v>41320636.949999996</v>
      </c>
      <c r="H9" s="90">
        <f>G9/D9</f>
        <v>0.55838797491210479</v>
      </c>
      <c r="I9" s="84">
        <f t="shared" si="0"/>
        <v>8675466.209999999</v>
      </c>
      <c r="J9" s="170">
        <f>I9/D9</f>
        <v>0.11723623753143265</v>
      </c>
      <c r="K9" s="84">
        <f t="shared" ref="K9" si="1">SUM(K5:K8)</f>
        <v>136696927.80000001</v>
      </c>
      <c r="L9" s="90">
        <v>0.89200000000000002</v>
      </c>
      <c r="M9" s="213">
        <f>+G9/K9-1</f>
        <v>-0.69772080751912857</v>
      </c>
      <c r="N9" s="84">
        <f t="shared" ref="N9" si="2">SUM(N5:N8)</f>
        <v>45253142.539999999</v>
      </c>
      <c r="O9" s="90">
        <v>0.29545065604628507</v>
      </c>
      <c r="P9" s="213">
        <f>+I9/N9-1</f>
        <v>-0.80829030376549849</v>
      </c>
    </row>
    <row r="10" spans="1:16" ht="15" customHeight="1" x14ac:dyDescent="0.2">
      <c r="A10" s="21">
        <v>6</v>
      </c>
      <c r="B10" s="21" t="s">
        <v>5</v>
      </c>
      <c r="C10" s="159">
        <v>271731.53000000003</v>
      </c>
      <c r="D10" s="204">
        <v>424810</v>
      </c>
      <c r="E10" s="30">
        <v>38204.5</v>
      </c>
      <c r="F10" s="390">
        <f>E10/D10</f>
        <v>8.9933146583178358E-2</v>
      </c>
      <c r="G10" s="136">
        <v>38204.5</v>
      </c>
      <c r="H10" s="48">
        <f>G10/D10</f>
        <v>8.9933146583178358E-2</v>
      </c>
      <c r="I10" s="136">
        <v>0</v>
      </c>
      <c r="J10" s="517">
        <f>I10/D10</f>
        <v>0</v>
      </c>
      <c r="K10" s="136"/>
      <c r="L10" s="48" t="s">
        <v>129</v>
      </c>
      <c r="M10" s="224" t="s">
        <v>129</v>
      </c>
      <c r="N10" s="136"/>
      <c r="O10" s="417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76">
        <v>3899248.15</v>
      </c>
      <c r="D11" s="516">
        <v>411190</v>
      </c>
      <c r="E11" s="180">
        <v>261190</v>
      </c>
      <c r="F11" s="390">
        <f>E11/D11</f>
        <v>0.63520513631168074</v>
      </c>
      <c r="G11" s="180">
        <v>111190</v>
      </c>
      <c r="H11" s="390">
        <f>G11/D11</f>
        <v>0.27041027262336148</v>
      </c>
      <c r="I11" s="137">
        <v>0</v>
      </c>
      <c r="J11" s="392">
        <f>I11/D11</f>
        <v>0</v>
      </c>
      <c r="K11" s="180">
        <v>4376793</v>
      </c>
      <c r="L11" s="390">
        <v>1</v>
      </c>
      <c r="M11" s="496">
        <f>+G11/K11-1</f>
        <v>-0.97459555432482181</v>
      </c>
      <c r="N11" s="137"/>
      <c r="O11" s="390" t="s">
        <v>129</v>
      </c>
      <c r="P11" s="496" t="s">
        <v>129</v>
      </c>
    </row>
    <row r="12" spans="1:16" ht="15" customHeight="1" x14ac:dyDescent="0.2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836000</v>
      </c>
      <c r="E12" s="84">
        <f t="shared" si="3"/>
        <v>299394.5</v>
      </c>
      <c r="F12" s="90">
        <f>E12/D12</f>
        <v>0.35812739234449759</v>
      </c>
      <c r="G12" s="84">
        <f t="shared" si="3"/>
        <v>149394.5</v>
      </c>
      <c r="H12" s="90">
        <f>G12/D12</f>
        <v>0.17870155502392346</v>
      </c>
      <c r="I12" s="84">
        <f t="shared" si="3"/>
        <v>0</v>
      </c>
      <c r="J12" s="170">
        <f>I12/D12</f>
        <v>0</v>
      </c>
      <c r="K12" s="152">
        <f t="shared" ref="K12" si="4">SUM(K10:K11)</f>
        <v>4376793</v>
      </c>
      <c r="L12" s="90">
        <v>1</v>
      </c>
      <c r="M12" s="225">
        <f>+G12/K12-1</f>
        <v>-0.9658666745263027</v>
      </c>
      <c r="N12" s="84">
        <f t="shared" ref="N12" si="5">SUM(N10:N11)</f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42" t="s">
        <v>129</v>
      </c>
      <c r="N15" s="84">
        <f t="shared" ref="N15" si="8">SUM(N13:N14)</f>
        <v>0</v>
      </c>
      <c r="O15" s="58" t="s">
        <v>129</v>
      </c>
      <c r="P15" s="642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74835868.919999987</v>
      </c>
      <c r="E16" s="155">
        <f t="shared" si="9"/>
        <v>47079781.280000001</v>
      </c>
      <c r="F16" s="181">
        <f>E16/D16</f>
        <v>0.62910716424404167</v>
      </c>
      <c r="G16" s="155">
        <f t="shared" si="9"/>
        <v>41470031.449999996</v>
      </c>
      <c r="H16" s="181">
        <f>G16/D16</f>
        <v>0.5541464547479461</v>
      </c>
      <c r="I16" s="155">
        <f t="shared" si="9"/>
        <v>8675466.209999999</v>
      </c>
      <c r="J16" s="173">
        <f>I16/D16</f>
        <v>0.11592657819306043</v>
      </c>
      <c r="K16" s="155">
        <f t="shared" ref="K16" si="10">+K9+K12+K15</f>
        <v>141073720.80000001</v>
      </c>
      <c r="L16" s="181">
        <v>0.89546003027450394</v>
      </c>
      <c r="M16" s="607">
        <f>+G16/K16-1</f>
        <v>-0.70603999657177829</v>
      </c>
      <c r="N16" s="155">
        <f t="shared" ref="N16" si="11">+N9+N12+N15</f>
        <v>45253142.539999999</v>
      </c>
      <c r="O16" s="181">
        <v>0.28724258606840997</v>
      </c>
      <c r="P16" s="607">
        <f>+I16/N16-1</f>
        <v>-0.80829030376549849</v>
      </c>
    </row>
    <row r="21" spans="10:14" x14ac:dyDescent="0.2">
      <c r="J21" s="97" t="s">
        <v>148</v>
      </c>
    </row>
    <row r="24" spans="10:14" x14ac:dyDescent="0.2">
      <c r="N24" s="691"/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topLeftCell="A11" zoomScaleNormal="100" workbookViewId="0">
      <selection activeCell="E4" sqref="E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28515625" style="97" bestFit="1" customWidth="1"/>
  </cols>
  <sheetData>
    <row r="1" spans="1:13" ht="15" x14ac:dyDescent="0.25">
      <c r="A1" s="7" t="s">
        <v>539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XFD138"/>
  <sheetViews>
    <sheetView topLeftCell="I1" zoomScaleNormal="100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2" bestFit="1" customWidth="1"/>
    <col min="16" max="16" width="9" style="97" bestFit="1" customWidth="1"/>
  </cols>
  <sheetData>
    <row r="1" spans="1:16384" ht="15.75" thickBot="1" x14ac:dyDescent="0.3">
      <c r="A1" s="7" t="s">
        <v>128</v>
      </c>
    </row>
    <row r="2" spans="1:16384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384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545</v>
      </c>
      <c r="L3" s="643" t="s">
        <v>546</v>
      </c>
      <c r="M3" s="88" t="s">
        <v>547</v>
      </c>
      <c r="N3" s="217" t="s">
        <v>39</v>
      </c>
      <c r="O3" s="643" t="s">
        <v>40</v>
      </c>
      <c r="P3" s="611" t="s">
        <v>362</v>
      </c>
    </row>
    <row r="4" spans="1:16384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766</v>
      </c>
      <c r="N4" s="631" t="s">
        <v>17</v>
      </c>
      <c r="O4" s="644" t="s">
        <v>18</v>
      </c>
      <c r="P4" s="587" t="s">
        <v>766</v>
      </c>
    </row>
    <row r="5" spans="1:16384" ht="15" customHeight="1" x14ac:dyDescent="0.2">
      <c r="A5" s="21">
        <v>1</v>
      </c>
      <c r="B5" s="21" t="s">
        <v>0</v>
      </c>
      <c r="C5" s="159">
        <v>43095322.840000004</v>
      </c>
      <c r="D5" s="204">
        <v>43703314.75</v>
      </c>
      <c r="E5" s="30">
        <v>9588356.6699999999</v>
      </c>
      <c r="F5" s="48">
        <f>E5/D5</f>
        <v>0.21939655435403788</v>
      </c>
      <c r="G5" s="30">
        <v>9588356.6699999999</v>
      </c>
      <c r="H5" s="48">
        <f>G5/D5</f>
        <v>0.21939655435403788</v>
      </c>
      <c r="I5" s="30">
        <v>9588356.6699999999</v>
      </c>
      <c r="J5" s="153">
        <f>I5/D5</f>
        <v>0.21939655435403788</v>
      </c>
      <c r="K5" s="30">
        <v>9989525.0399999991</v>
      </c>
      <c r="L5" s="48">
        <v>0.23300317914833174</v>
      </c>
      <c r="M5" s="210">
        <f>+G5/K5-1</f>
        <v>-4.0158903290561154E-2</v>
      </c>
      <c r="N5" s="690">
        <v>9989525.0399999991</v>
      </c>
      <c r="O5" s="48">
        <v>0.23300317914833174</v>
      </c>
      <c r="P5" s="210">
        <f>+I5/N5-1</f>
        <v>-4.0158903290561154E-2</v>
      </c>
    </row>
    <row r="6" spans="1:16384" ht="15" customHeight="1" x14ac:dyDescent="0.2">
      <c r="A6" s="23">
        <v>2</v>
      </c>
      <c r="B6" s="23" t="s">
        <v>1</v>
      </c>
      <c r="C6" s="160">
        <v>175815344.53999999</v>
      </c>
      <c r="D6" s="205">
        <v>177934116.97</v>
      </c>
      <c r="E6" s="32">
        <v>153144847.13</v>
      </c>
      <c r="F6" s="48">
        <f>E6/D6</f>
        <v>0.86068287373927554</v>
      </c>
      <c r="G6" s="32">
        <v>147451723.94</v>
      </c>
      <c r="H6" s="48">
        <f>G6/D6</f>
        <v>0.82868719305168781</v>
      </c>
      <c r="I6" s="32">
        <v>16897348.379999999</v>
      </c>
      <c r="J6" s="153">
        <f>I6/D6</f>
        <v>9.4964072476606168E-2</v>
      </c>
      <c r="K6" s="32">
        <v>145627208</v>
      </c>
      <c r="L6" s="280">
        <v>0.88578631245426542</v>
      </c>
      <c r="M6" s="210">
        <f>+G6/K6-1</f>
        <v>1.2528674861362443E-2</v>
      </c>
      <c r="N6" s="32">
        <v>14723562.34</v>
      </c>
      <c r="O6" s="280">
        <v>8.9556959653714546E-2</v>
      </c>
      <c r="P6" s="210">
        <f>+I6/N6-1</f>
        <v>0.14763995219379766</v>
      </c>
    </row>
    <row r="7" spans="1:16384" ht="15" customHeight="1" x14ac:dyDescent="0.2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">
      <c r="A8" s="24">
        <v>4</v>
      </c>
      <c r="B8" s="24" t="s">
        <v>3</v>
      </c>
      <c r="C8" s="161">
        <v>108768371</v>
      </c>
      <c r="D8" s="206">
        <v>108080489.70999999</v>
      </c>
      <c r="E8" s="34">
        <v>102562880.72</v>
      </c>
      <c r="F8" s="390">
        <f t="shared" ref="F8:F13" si="0">E8/D8</f>
        <v>0.94894907485333602</v>
      </c>
      <c r="G8" s="34">
        <v>98650046.230000004</v>
      </c>
      <c r="H8" s="390">
        <f t="shared" ref="H8:H13" si="1">G8/D8</f>
        <v>0.91274610704204229</v>
      </c>
      <c r="I8" s="34">
        <v>16537150.550000001</v>
      </c>
      <c r="J8" s="392">
        <f>I8/D8</f>
        <v>0.15300773150059038</v>
      </c>
      <c r="K8" s="34">
        <v>73645887.920000002</v>
      </c>
      <c r="L8" s="390">
        <v>0.88043697089442474</v>
      </c>
      <c r="M8" s="520">
        <f>+G8/K8-1</f>
        <v>0.3395187296426041</v>
      </c>
      <c r="N8" s="34">
        <v>21195083.289999999</v>
      </c>
      <c r="O8" s="390">
        <v>0.25338733032825439</v>
      </c>
      <c r="P8" s="520">
        <f>+I8/N8-1</f>
        <v>-0.21976477639970615</v>
      </c>
    </row>
    <row r="9" spans="1:16384" ht="15" customHeight="1" x14ac:dyDescent="0.2">
      <c r="A9" s="24">
        <v>5</v>
      </c>
      <c r="B9" s="24" t="s">
        <v>453</v>
      </c>
      <c r="C9" s="161">
        <v>450000</v>
      </c>
      <c r="D9" s="206">
        <v>300000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>I9/D9</f>
        <v>0</v>
      </c>
      <c r="K9" s="34"/>
      <c r="L9" s="390" t="s">
        <v>129</v>
      </c>
      <c r="M9" s="520" t="s">
        <v>129</v>
      </c>
      <c r="N9" s="34"/>
      <c r="O9" s="390" t="s">
        <v>129</v>
      </c>
      <c r="P9" s="520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0"/>
      <c r="AD9" s="34"/>
      <c r="AE9" s="390"/>
      <c r="AF9" s="520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0"/>
      <c r="AT9" s="34"/>
      <c r="AU9" s="390"/>
      <c r="AV9" s="520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0"/>
      <c r="BJ9" s="34"/>
      <c r="BK9" s="390"/>
      <c r="BL9" s="520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0"/>
      <c r="BZ9" s="34"/>
      <c r="CA9" s="390"/>
      <c r="CB9" s="520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0"/>
      <c r="CP9" s="34"/>
      <c r="CQ9" s="390"/>
      <c r="CR9" s="520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0"/>
      <c r="DF9" s="34"/>
      <c r="DG9" s="390"/>
      <c r="DH9" s="520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0"/>
      <c r="DV9" s="34"/>
      <c r="DW9" s="390"/>
      <c r="DX9" s="520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0"/>
      <c r="EL9" s="34"/>
      <c r="EM9" s="390"/>
      <c r="EN9" s="520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0"/>
      <c r="FB9" s="34"/>
      <c r="FC9" s="390"/>
      <c r="FD9" s="520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0"/>
      <c r="FR9" s="34"/>
      <c r="FS9" s="390"/>
      <c r="FT9" s="520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0"/>
      <c r="GH9" s="34"/>
      <c r="GI9" s="390"/>
      <c r="GJ9" s="520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0"/>
      <c r="GX9" s="34"/>
      <c r="GY9" s="390"/>
      <c r="GZ9" s="520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0"/>
      <c r="HN9" s="34"/>
      <c r="HO9" s="390"/>
      <c r="HP9" s="520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0"/>
      <c r="ID9" s="34"/>
      <c r="IE9" s="390"/>
      <c r="IF9" s="520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0"/>
      <c r="IT9" s="34"/>
      <c r="IU9" s="390"/>
      <c r="IV9" s="520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0"/>
      <c r="JJ9" s="34"/>
      <c r="JK9" s="390"/>
      <c r="JL9" s="520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0"/>
      <c r="JZ9" s="34"/>
      <c r="KA9" s="390"/>
      <c r="KB9" s="520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0"/>
      <c r="KP9" s="34"/>
      <c r="KQ9" s="390"/>
      <c r="KR9" s="520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0"/>
      <c r="LF9" s="34"/>
      <c r="LG9" s="390"/>
      <c r="LH9" s="520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0"/>
      <c r="LV9" s="34"/>
      <c r="LW9" s="390"/>
      <c r="LX9" s="520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0"/>
      <c r="ML9" s="34"/>
      <c r="MM9" s="390"/>
      <c r="MN9" s="520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0"/>
      <c r="NB9" s="34"/>
      <c r="NC9" s="390"/>
      <c r="ND9" s="520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0"/>
      <c r="NR9" s="34"/>
      <c r="NS9" s="390"/>
      <c r="NT9" s="520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0"/>
      <c r="OH9" s="34"/>
      <c r="OI9" s="390"/>
      <c r="OJ9" s="520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0"/>
      <c r="OX9" s="34"/>
      <c r="OY9" s="390"/>
      <c r="OZ9" s="520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0"/>
      <c r="PN9" s="34"/>
      <c r="PO9" s="390"/>
      <c r="PP9" s="520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0"/>
      <c r="QD9" s="34"/>
      <c r="QE9" s="390"/>
      <c r="QF9" s="520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0"/>
      <c r="QT9" s="34"/>
      <c r="QU9" s="390"/>
      <c r="QV9" s="520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0"/>
      <c r="RJ9" s="34"/>
      <c r="RK9" s="390"/>
      <c r="RL9" s="520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0"/>
      <c r="RZ9" s="34"/>
      <c r="SA9" s="390"/>
      <c r="SB9" s="520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0"/>
      <c r="SP9" s="34"/>
      <c r="SQ9" s="390"/>
      <c r="SR9" s="520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0"/>
      <c r="TF9" s="34"/>
      <c r="TG9" s="390"/>
      <c r="TH9" s="520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0"/>
      <c r="TV9" s="34"/>
      <c r="TW9" s="390"/>
      <c r="TX9" s="520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0"/>
      <c r="UL9" s="34"/>
      <c r="UM9" s="390"/>
      <c r="UN9" s="520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0"/>
      <c r="VB9" s="34"/>
      <c r="VC9" s="390"/>
      <c r="VD9" s="520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0"/>
      <c r="VR9" s="34"/>
      <c r="VS9" s="390"/>
      <c r="VT9" s="520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0"/>
      <c r="WH9" s="34"/>
      <c r="WI9" s="390"/>
      <c r="WJ9" s="520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0"/>
      <c r="WX9" s="34"/>
      <c r="WY9" s="390"/>
      <c r="WZ9" s="520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0"/>
      <c r="XN9" s="34"/>
      <c r="XO9" s="390"/>
      <c r="XP9" s="520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0"/>
      <c r="YD9" s="34"/>
      <c r="YE9" s="390"/>
      <c r="YF9" s="520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0"/>
      <c r="YT9" s="34"/>
      <c r="YU9" s="390"/>
      <c r="YV9" s="520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0"/>
      <c r="ZJ9" s="34"/>
      <c r="ZK9" s="390"/>
      <c r="ZL9" s="520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0"/>
      <c r="ZZ9" s="34"/>
      <c r="AAA9" s="390"/>
      <c r="AAB9" s="520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0"/>
      <c r="AAP9" s="34"/>
      <c r="AAQ9" s="390"/>
      <c r="AAR9" s="520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0"/>
      <c r="ABF9" s="34"/>
      <c r="ABG9" s="390"/>
      <c r="ABH9" s="520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0"/>
      <c r="ABV9" s="34"/>
      <c r="ABW9" s="390"/>
      <c r="ABX9" s="520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0"/>
      <c r="ACL9" s="34"/>
      <c r="ACM9" s="390"/>
      <c r="ACN9" s="520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0"/>
      <c r="ADB9" s="34"/>
      <c r="ADC9" s="390"/>
      <c r="ADD9" s="520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0"/>
      <c r="ADR9" s="34"/>
      <c r="ADS9" s="390"/>
      <c r="ADT9" s="520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0"/>
      <c r="AEH9" s="34"/>
      <c r="AEI9" s="390"/>
      <c r="AEJ9" s="520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0"/>
      <c r="AEX9" s="34"/>
      <c r="AEY9" s="390"/>
      <c r="AEZ9" s="520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0"/>
      <c r="AFN9" s="34"/>
      <c r="AFO9" s="390"/>
      <c r="AFP9" s="520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0"/>
      <c r="AGD9" s="34"/>
      <c r="AGE9" s="390"/>
      <c r="AGF9" s="520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0"/>
      <c r="AGT9" s="34"/>
      <c r="AGU9" s="390"/>
      <c r="AGV9" s="520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0"/>
      <c r="AHJ9" s="34"/>
      <c r="AHK9" s="390"/>
      <c r="AHL9" s="520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0"/>
      <c r="AHZ9" s="34"/>
      <c r="AIA9" s="390"/>
      <c r="AIB9" s="520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0"/>
      <c r="AIP9" s="34"/>
      <c r="AIQ9" s="390"/>
      <c r="AIR9" s="520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0"/>
      <c r="AJF9" s="34"/>
      <c r="AJG9" s="390"/>
      <c r="AJH9" s="520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0"/>
      <c r="AJV9" s="34"/>
      <c r="AJW9" s="390"/>
      <c r="AJX9" s="520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0"/>
      <c r="AKL9" s="34"/>
      <c r="AKM9" s="390"/>
      <c r="AKN9" s="520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0"/>
      <c r="ALB9" s="34"/>
      <c r="ALC9" s="390"/>
      <c r="ALD9" s="520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0"/>
      <c r="ALR9" s="34"/>
      <c r="ALS9" s="390"/>
      <c r="ALT9" s="520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0"/>
      <c r="AMH9" s="34"/>
      <c r="AMI9" s="390"/>
      <c r="AMJ9" s="520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0"/>
      <c r="AMX9" s="34"/>
      <c r="AMY9" s="390"/>
      <c r="AMZ9" s="520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0"/>
      <c r="ANN9" s="34"/>
      <c r="ANO9" s="390"/>
      <c r="ANP9" s="520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0"/>
      <c r="AOD9" s="34"/>
      <c r="AOE9" s="390"/>
      <c r="AOF9" s="520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0"/>
      <c r="AOT9" s="34"/>
      <c r="AOU9" s="390"/>
      <c r="AOV9" s="520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0"/>
      <c r="APJ9" s="34"/>
      <c r="APK9" s="390"/>
      <c r="APL9" s="520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0"/>
      <c r="APZ9" s="34"/>
      <c r="AQA9" s="390"/>
      <c r="AQB9" s="520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0"/>
      <c r="AQP9" s="34"/>
      <c r="AQQ9" s="390"/>
      <c r="AQR9" s="520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0"/>
      <c r="ARF9" s="34"/>
      <c r="ARG9" s="390"/>
      <c r="ARH9" s="520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0"/>
      <c r="ARV9" s="34"/>
      <c r="ARW9" s="390"/>
      <c r="ARX9" s="520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0"/>
      <c r="ASL9" s="34"/>
      <c r="ASM9" s="390"/>
      <c r="ASN9" s="520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0"/>
      <c r="ATB9" s="34"/>
      <c r="ATC9" s="390"/>
      <c r="ATD9" s="520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0"/>
      <c r="ATR9" s="34"/>
      <c r="ATS9" s="390"/>
      <c r="ATT9" s="520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0"/>
      <c r="AUH9" s="34"/>
      <c r="AUI9" s="390"/>
      <c r="AUJ9" s="520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0"/>
      <c r="AUX9" s="34"/>
      <c r="AUY9" s="390"/>
      <c r="AUZ9" s="520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0"/>
      <c r="AVN9" s="34"/>
      <c r="AVO9" s="390"/>
      <c r="AVP9" s="520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0"/>
      <c r="AWD9" s="34"/>
      <c r="AWE9" s="390"/>
      <c r="AWF9" s="520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0"/>
      <c r="AWT9" s="34"/>
      <c r="AWU9" s="390"/>
      <c r="AWV9" s="520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0"/>
      <c r="AXJ9" s="34"/>
      <c r="AXK9" s="390"/>
      <c r="AXL9" s="520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0"/>
      <c r="AXZ9" s="34"/>
      <c r="AYA9" s="390"/>
      <c r="AYB9" s="520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0"/>
      <c r="AYP9" s="34"/>
      <c r="AYQ9" s="390"/>
      <c r="AYR9" s="520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0"/>
      <c r="AZF9" s="34"/>
      <c r="AZG9" s="390"/>
      <c r="AZH9" s="520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0"/>
      <c r="AZV9" s="34"/>
      <c r="AZW9" s="390"/>
      <c r="AZX9" s="520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0"/>
      <c r="BAL9" s="34"/>
      <c r="BAM9" s="390"/>
      <c r="BAN9" s="520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0"/>
      <c r="BBB9" s="34"/>
      <c r="BBC9" s="390"/>
      <c r="BBD9" s="520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0"/>
      <c r="BBR9" s="34"/>
      <c r="BBS9" s="390"/>
      <c r="BBT9" s="520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0"/>
      <c r="BCH9" s="34"/>
      <c r="BCI9" s="390"/>
      <c r="BCJ9" s="520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0"/>
      <c r="BCX9" s="34"/>
      <c r="BCY9" s="390"/>
      <c r="BCZ9" s="520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0"/>
      <c r="BDN9" s="34"/>
      <c r="BDO9" s="390"/>
      <c r="BDP9" s="520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0"/>
      <c r="BED9" s="34"/>
      <c r="BEE9" s="390"/>
      <c r="BEF9" s="520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0"/>
      <c r="BET9" s="34"/>
      <c r="BEU9" s="390"/>
      <c r="BEV9" s="520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0"/>
      <c r="BFJ9" s="34"/>
      <c r="BFK9" s="390"/>
      <c r="BFL9" s="520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0"/>
      <c r="BFZ9" s="34"/>
      <c r="BGA9" s="390"/>
      <c r="BGB9" s="520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0"/>
      <c r="BGP9" s="34"/>
      <c r="BGQ9" s="390"/>
      <c r="BGR9" s="520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0"/>
      <c r="BHF9" s="34"/>
      <c r="BHG9" s="390"/>
      <c r="BHH9" s="520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0"/>
      <c r="BHV9" s="34"/>
      <c r="BHW9" s="390"/>
      <c r="BHX9" s="520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0"/>
      <c r="BIL9" s="34"/>
      <c r="BIM9" s="390"/>
      <c r="BIN9" s="520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0"/>
      <c r="BJB9" s="34"/>
      <c r="BJC9" s="390"/>
      <c r="BJD9" s="520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0"/>
      <c r="BJR9" s="34"/>
      <c r="BJS9" s="390"/>
      <c r="BJT9" s="520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0"/>
      <c r="BKH9" s="34"/>
      <c r="BKI9" s="390"/>
      <c r="BKJ9" s="520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0"/>
      <c r="BKX9" s="34"/>
      <c r="BKY9" s="390"/>
      <c r="BKZ9" s="520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0"/>
      <c r="BLN9" s="34"/>
      <c r="BLO9" s="390"/>
      <c r="BLP9" s="520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0"/>
      <c r="BMD9" s="34"/>
      <c r="BME9" s="390"/>
      <c r="BMF9" s="520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0"/>
      <c r="BMT9" s="34"/>
      <c r="BMU9" s="390"/>
      <c r="BMV9" s="520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0"/>
      <c r="BNJ9" s="34"/>
      <c r="BNK9" s="390"/>
      <c r="BNL9" s="520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0"/>
      <c r="BNZ9" s="34"/>
      <c r="BOA9" s="390"/>
      <c r="BOB9" s="520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0"/>
      <c r="BOP9" s="34"/>
      <c r="BOQ9" s="390"/>
      <c r="BOR9" s="520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0"/>
      <c r="BPF9" s="34"/>
      <c r="BPG9" s="390"/>
      <c r="BPH9" s="520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0"/>
      <c r="BPV9" s="34"/>
      <c r="BPW9" s="390"/>
      <c r="BPX9" s="520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0"/>
      <c r="BQL9" s="34"/>
      <c r="BQM9" s="390"/>
      <c r="BQN9" s="520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0"/>
      <c r="BRB9" s="34"/>
      <c r="BRC9" s="390"/>
      <c r="BRD9" s="520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0"/>
      <c r="BRR9" s="34"/>
      <c r="BRS9" s="390"/>
      <c r="BRT9" s="520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0"/>
      <c r="BSH9" s="34"/>
      <c r="BSI9" s="390"/>
      <c r="BSJ9" s="520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0"/>
      <c r="BSX9" s="34"/>
      <c r="BSY9" s="390"/>
      <c r="BSZ9" s="520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0"/>
      <c r="BTN9" s="34"/>
      <c r="BTO9" s="390"/>
      <c r="BTP9" s="520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0"/>
      <c r="BUD9" s="34"/>
      <c r="BUE9" s="390"/>
      <c r="BUF9" s="520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0"/>
      <c r="BUT9" s="34"/>
      <c r="BUU9" s="390"/>
      <c r="BUV9" s="520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0"/>
      <c r="BVJ9" s="34"/>
      <c r="BVK9" s="390"/>
      <c r="BVL9" s="520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0"/>
      <c r="BVZ9" s="34"/>
      <c r="BWA9" s="390"/>
      <c r="BWB9" s="520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0"/>
      <c r="BWP9" s="34"/>
      <c r="BWQ9" s="390"/>
      <c r="BWR9" s="520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0"/>
      <c r="BXF9" s="34"/>
      <c r="BXG9" s="390"/>
      <c r="BXH9" s="520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0"/>
      <c r="BXV9" s="34"/>
      <c r="BXW9" s="390"/>
      <c r="BXX9" s="520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0"/>
      <c r="BYL9" s="34"/>
      <c r="BYM9" s="390"/>
      <c r="BYN9" s="520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0"/>
      <c r="BZB9" s="34"/>
      <c r="BZC9" s="390"/>
      <c r="BZD9" s="520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0"/>
      <c r="BZR9" s="34"/>
      <c r="BZS9" s="390"/>
      <c r="BZT9" s="520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0"/>
      <c r="CAH9" s="34"/>
      <c r="CAI9" s="390"/>
      <c r="CAJ9" s="520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0"/>
      <c r="CAX9" s="34"/>
      <c r="CAY9" s="390"/>
      <c r="CAZ9" s="520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0"/>
      <c r="CBN9" s="34"/>
      <c r="CBO9" s="390"/>
      <c r="CBP9" s="520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0"/>
      <c r="CCD9" s="34"/>
      <c r="CCE9" s="390"/>
      <c r="CCF9" s="520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0"/>
      <c r="CCT9" s="34"/>
      <c r="CCU9" s="390"/>
      <c r="CCV9" s="520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0"/>
      <c r="CDJ9" s="34"/>
      <c r="CDK9" s="390"/>
      <c r="CDL9" s="520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0"/>
      <c r="CDZ9" s="34"/>
      <c r="CEA9" s="390"/>
      <c r="CEB9" s="520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0"/>
      <c r="CEP9" s="34"/>
      <c r="CEQ9" s="390"/>
      <c r="CER9" s="520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0"/>
      <c r="CFF9" s="34"/>
      <c r="CFG9" s="390"/>
      <c r="CFH9" s="520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0"/>
      <c r="CFV9" s="34"/>
      <c r="CFW9" s="390"/>
      <c r="CFX9" s="520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0"/>
      <c r="CGL9" s="34"/>
      <c r="CGM9" s="390"/>
      <c r="CGN9" s="520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0"/>
      <c r="CHB9" s="34"/>
      <c r="CHC9" s="390"/>
      <c r="CHD9" s="520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0"/>
      <c r="CHR9" s="34"/>
      <c r="CHS9" s="390"/>
      <c r="CHT9" s="520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0"/>
      <c r="CIH9" s="34"/>
      <c r="CII9" s="390"/>
      <c r="CIJ9" s="520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0"/>
      <c r="CIX9" s="34"/>
      <c r="CIY9" s="390"/>
      <c r="CIZ9" s="520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0"/>
      <c r="CJN9" s="34"/>
      <c r="CJO9" s="390"/>
      <c r="CJP9" s="520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0"/>
      <c r="CKD9" s="34"/>
      <c r="CKE9" s="390"/>
      <c r="CKF9" s="520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0"/>
      <c r="CKT9" s="34"/>
      <c r="CKU9" s="390"/>
      <c r="CKV9" s="520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0"/>
      <c r="CLJ9" s="34"/>
      <c r="CLK9" s="390"/>
      <c r="CLL9" s="520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0"/>
      <c r="CLZ9" s="34"/>
      <c r="CMA9" s="390"/>
      <c r="CMB9" s="520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0"/>
      <c r="CMP9" s="34"/>
      <c r="CMQ9" s="390"/>
      <c r="CMR9" s="520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0"/>
      <c r="CNF9" s="34"/>
      <c r="CNG9" s="390"/>
      <c r="CNH9" s="520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0"/>
      <c r="CNV9" s="34"/>
      <c r="CNW9" s="390"/>
      <c r="CNX9" s="520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0"/>
      <c r="COL9" s="34"/>
      <c r="COM9" s="390"/>
      <c r="CON9" s="520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0"/>
      <c r="CPB9" s="34"/>
      <c r="CPC9" s="390"/>
      <c r="CPD9" s="520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0"/>
      <c r="CPR9" s="34"/>
      <c r="CPS9" s="390"/>
      <c r="CPT9" s="520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0"/>
      <c r="CQH9" s="34"/>
      <c r="CQI9" s="390"/>
      <c r="CQJ9" s="520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0"/>
      <c r="CQX9" s="34"/>
      <c r="CQY9" s="390"/>
      <c r="CQZ9" s="520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0"/>
      <c r="CRN9" s="34"/>
      <c r="CRO9" s="390"/>
      <c r="CRP9" s="520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0"/>
      <c r="CSD9" s="34"/>
      <c r="CSE9" s="390"/>
      <c r="CSF9" s="520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0"/>
      <c r="CST9" s="34"/>
      <c r="CSU9" s="390"/>
      <c r="CSV9" s="520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0"/>
      <c r="CTJ9" s="34"/>
      <c r="CTK9" s="390"/>
      <c r="CTL9" s="520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0"/>
      <c r="CTZ9" s="34"/>
      <c r="CUA9" s="390"/>
      <c r="CUB9" s="520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0"/>
      <c r="CUP9" s="34"/>
      <c r="CUQ9" s="390"/>
      <c r="CUR9" s="520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0"/>
      <c r="CVF9" s="34"/>
      <c r="CVG9" s="390"/>
      <c r="CVH9" s="520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0"/>
      <c r="CVV9" s="34"/>
      <c r="CVW9" s="390"/>
      <c r="CVX9" s="520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0"/>
      <c r="CWL9" s="34"/>
      <c r="CWM9" s="390"/>
      <c r="CWN9" s="520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0"/>
      <c r="CXB9" s="34"/>
      <c r="CXC9" s="390"/>
      <c r="CXD9" s="520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0"/>
      <c r="CXR9" s="34"/>
      <c r="CXS9" s="390"/>
      <c r="CXT9" s="520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0"/>
      <c r="CYH9" s="34"/>
      <c r="CYI9" s="390"/>
      <c r="CYJ9" s="520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0"/>
      <c r="CYX9" s="34"/>
      <c r="CYY9" s="390"/>
      <c r="CYZ9" s="520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0"/>
      <c r="CZN9" s="34"/>
      <c r="CZO9" s="390"/>
      <c r="CZP9" s="520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0"/>
      <c r="DAD9" s="34"/>
      <c r="DAE9" s="390"/>
      <c r="DAF9" s="520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0"/>
      <c r="DAT9" s="34"/>
      <c r="DAU9" s="390"/>
      <c r="DAV9" s="520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0"/>
      <c r="DBJ9" s="34"/>
      <c r="DBK9" s="390"/>
      <c r="DBL9" s="520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0"/>
      <c r="DBZ9" s="34"/>
      <c r="DCA9" s="390"/>
      <c r="DCB9" s="520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0"/>
      <c r="DCP9" s="34"/>
      <c r="DCQ9" s="390"/>
      <c r="DCR9" s="520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0"/>
      <c r="DDF9" s="34"/>
      <c r="DDG9" s="390"/>
      <c r="DDH9" s="520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0"/>
      <c r="DDV9" s="34"/>
      <c r="DDW9" s="390"/>
      <c r="DDX9" s="520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0"/>
      <c r="DEL9" s="34"/>
      <c r="DEM9" s="390"/>
      <c r="DEN9" s="520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0"/>
      <c r="DFB9" s="34"/>
      <c r="DFC9" s="390"/>
      <c r="DFD9" s="520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0"/>
      <c r="DFR9" s="34"/>
      <c r="DFS9" s="390"/>
      <c r="DFT9" s="520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0"/>
      <c r="DGH9" s="34"/>
      <c r="DGI9" s="390"/>
      <c r="DGJ9" s="520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0"/>
      <c r="DGX9" s="34"/>
      <c r="DGY9" s="390"/>
      <c r="DGZ9" s="520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0"/>
      <c r="DHN9" s="34"/>
      <c r="DHO9" s="390"/>
      <c r="DHP9" s="520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0"/>
      <c r="DID9" s="34"/>
      <c r="DIE9" s="390"/>
      <c r="DIF9" s="520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0"/>
      <c r="DIT9" s="34"/>
      <c r="DIU9" s="390"/>
      <c r="DIV9" s="520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0"/>
      <c r="DJJ9" s="34"/>
      <c r="DJK9" s="390"/>
      <c r="DJL9" s="520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0"/>
      <c r="DJZ9" s="34"/>
      <c r="DKA9" s="390"/>
      <c r="DKB9" s="520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0"/>
      <c r="DKP9" s="34"/>
      <c r="DKQ9" s="390"/>
      <c r="DKR9" s="520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0"/>
      <c r="DLF9" s="34"/>
      <c r="DLG9" s="390"/>
      <c r="DLH9" s="520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0"/>
      <c r="DLV9" s="34"/>
      <c r="DLW9" s="390"/>
      <c r="DLX9" s="520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0"/>
      <c r="DML9" s="34"/>
      <c r="DMM9" s="390"/>
      <c r="DMN9" s="520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0"/>
      <c r="DNB9" s="34"/>
      <c r="DNC9" s="390"/>
      <c r="DND9" s="520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0"/>
      <c r="DNR9" s="34"/>
      <c r="DNS9" s="390"/>
      <c r="DNT9" s="520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0"/>
      <c r="DOH9" s="34"/>
      <c r="DOI9" s="390"/>
      <c r="DOJ9" s="520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0"/>
      <c r="DOX9" s="34"/>
      <c r="DOY9" s="390"/>
      <c r="DOZ9" s="520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0"/>
      <c r="DPN9" s="34"/>
      <c r="DPO9" s="390"/>
      <c r="DPP9" s="520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0"/>
      <c r="DQD9" s="34"/>
      <c r="DQE9" s="390"/>
      <c r="DQF9" s="520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0"/>
      <c r="DQT9" s="34"/>
      <c r="DQU9" s="390"/>
      <c r="DQV9" s="520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0"/>
      <c r="DRJ9" s="34"/>
      <c r="DRK9" s="390"/>
      <c r="DRL9" s="520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0"/>
      <c r="DRZ9" s="34"/>
      <c r="DSA9" s="390"/>
      <c r="DSB9" s="520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0"/>
      <c r="DSP9" s="34"/>
      <c r="DSQ9" s="390"/>
      <c r="DSR9" s="520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0"/>
      <c r="DTF9" s="34"/>
      <c r="DTG9" s="390"/>
      <c r="DTH9" s="520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0"/>
      <c r="DTV9" s="34"/>
      <c r="DTW9" s="390"/>
      <c r="DTX9" s="520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0"/>
      <c r="DUL9" s="34"/>
      <c r="DUM9" s="390"/>
      <c r="DUN9" s="520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0"/>
      <c r="DVB9" s="34"/>
      <c r="DVC9" s="390"/>
      <c r="DVD9" s="520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0"/>
      <c r="DVR9" s="34"/>
      <c r="DVS9" s="390"/>
      <c r="DVT9" s="520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0"/>
      <c r="DWH9" s="34"/>
      <c r="DWI9" s="390"/>
      <c r="DWJ9" s="520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0"/>
      <c r="DWX9" s="34"/>
      <c r="DWY9" s="390"/>
      <c r="DWZ9" s="520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0"/>
      <c r="DXN9" s="34"/>
      <c r="DXO9" s="390"/>
      <c r="DXP9" s="520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0"/>
      <c r="DYD9" s="34"/>
      <c r="DYE9" s="390"/>
      <c r="DYF9" s="520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0"/>
      <c r="DYT9" s="34"/>
      <c r="DYU9" s="390"/>
      <c r="DYV9" s="520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0"/>
      <c r="DZJ9" s="34"/>
      <c r="DZK9" s="390"/>
      <c r="DZL9" s="520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0"/>
      <c r="DZZ9" s="34"/>
      <c r="EAA9" s="390"/>
      <c r="EAB9" s="520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0"/>
      <c r="EAP9" s="34"/>
      <c r="EAQ9" s="390"/>
      <c r="EAR9" s="520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0"/>
      <c r="EBF9" s="34"/>
      <c r="EBG9" s="390"/>
      <c r="EBH9" s="520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0"/>
      <c r="EBV9" s="34"/>
      <c r="EBW9" s="390"/>
      <c r="EBX9" s="520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0"/>
      <c r="ECL9" s="34"/>
      <c r="ECM9" s="390"/>
      <c r="ECN9" s="520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0"/>
      <c r="EDB9" s="34"/>
      <c r="EDC9" s="390"/>
      <c r="EDD9" s="520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0"/>
      <c r="EDR9" s="34"/>
      <c r="EDS9" s="390"/>
      <c r="EDT9" s="520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0"/>
      <c r="EEH9" s="34"/>
      <c r="EEI9" s="390"/>
      <c r="EEJ9" s="520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0"/>
      <c r="EEX9" s="34"/>
      <c r="EEY9" s="390"/>
      <c r="EEZ9" s="520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0"/>
      <c r="EFN9" s="34"/>
      <c r="EFO9" s="390"/>
      <c r="EFP9" s="520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0"/>
      <c r="EGD9" s="34"/>
      <c r="EGE9" s="390"/>
      <c r="EGF9" s="520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0"/>
      <c r="EGT9" s="34"/>
      <c r="EGU9" s="390"/>
      <c r="EGV9" s="520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0"/>
      <c r="EHJ9" s="34"/>
      <c r="EHK9" s="390"/>
      <c r="EHL9" s="520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0"/>
      <c r="EHZ9" s="34"/>
      <c r="EIA9" s="390"/>
      <c r="EIB9" s="520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0"/>
      <c r="EIP9" s="34"/>
      <c r="EIQ9" s="390"/>
      <c r="EIR9" s="520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0"/>
      <c r="EJF9" s="34"/>
      <c r="EJG9" s="390"/>
      <c r="EJH9" s="520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0"/>
      <c r="EJV9" s="34"/>
      <c r="EJW9" s="390"/>
      <c r="EJX9" s="520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0"/>
      <c r="EKL9" s="34"/>
      <c r="EKM9" s="390"/>
      <c r="EKN9" s="520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0"/>
      <c r="ELB9" s="34"/>
      <c r="ELC9" s="390"/>
      <c r="ELD9" s="520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0"/>
      <c r="ELR9" s="34"/>
      <c r="ELS9" s="390"/>
      <c r="ELT9" s="520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0"/>
      <c r="EMH9" s="34"/>
      <c r="EMI9" s="390"/>
      <c r="EMJ9" s="520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0"/>
      <c r="EMX9" s="34"/>
      <c r="EMY9" s="390"/>
      <c r="EMZ9" s="520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0"/>
      <c r="ENN9" s="34"/>
      <c r="ENO9" s="390"/>
      <c r="ENP9" s="520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0"/>
      <c r="EOD9" s="34"/>
      <c r="EOE9" s="390"/>
      <c r="EOF9" s="520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0"/>
      <c r="EOT9" s="34"/>
      <c r="EOU9" s="390"/>
      <c r="EOV9" s="520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0"/>
      <c r="EPJ9" s="34"/>
      <c r="EPK9" s="390"/>
      <c r="EPL9" s="520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0"/>
      <c r="EPZ9" s="34"/>
      <c r="EQA9" s="390"/>
      <c r="EQB9" s="520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0"/>
      <c r="EQP9" s="34"/>
      <c r="EQQ9" s="390"/>
      <c r="EQR9" s="520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0"/>
      <c r="ERF9" s="34"/>
      <c r="ERG9" s="390"/>
      <c r="ERH9" s="520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0"/>
      <c r="ERV9" s="34"/>
      <c r="ERW9" s="390"/>
      <c r="ERX9" s="520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0"/>
      <c r="ESL9" s="34"/>
      <c r="ESM9" s="390"/>
      <c r="ESN9" s="520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0"/>
      <c r="ETB9" s="34"/>
      <c r="ETC9" s="390"/>
      <c r="ETD9" s="520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0"/>
      <c r="ETR9" s="34"/>
      <c r="ETS9" s="390"/>
      <c r="ETT9" s="520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0"/>
      <c r="EUH9" s="34"/>
      <c r="EUI9" s="390"/>
      <c r="EUJ9" s="520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0"/>
      <c r="EUX9" s="34"/>
      <c r="EUY9" s="390"/>
      <c r="EUZ9" s="520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0"/>
      <c r="EVN9" s="34"/>
      <c r="EVO9" s="390"/>
      <c r="EVP9" s="520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0"/>
      <c r="EWD9" s="34"/>
      <c r="EWE9" s="390"/>
      <c r="EWF9" s="520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0"/>
      <c r="EWT9" s="34"/>
      <c r="EWU9" s="390"/>
      <c r="EWV9" s="520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0"/>
      <c r="EXJ9" s="34"/>
      <c r="EXK9" s="390"/>
      <c r="EXL9" s="520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0"/>
      <c r="EXZ9" s="34"/>
      <c r="EYA9" s="390"/>
      <c r="EYB9" s="520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0"/>
      <c r="EYP9" s="34"/>
      <c r="EYQ9" s="390"/>
      <c r="EYR9" s="520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0"/>
      <c r="EZF9" s="34"/>
      <c r="EZG9" s="390"/>
      <c r="EZH9" s="520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0"/>
      <c r="EZV9" s="34"/>
      <c r="EZW9" s="390"/>
      <c r="EZX9" s="520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0"/>
      <c r="FAL9" s="34"/>
      <c r="FAM9" s="390"/>
      <c r="FAN9" s="520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0"/>
      <c r="FBB9" s="34"/>
      <c r="FBC9" s="390"/>
      <c r="FBD9" s="520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0"/>
      <c r="FBR9" s="34"/>
      <c r="FBS9" s="390"/>
      <c r="FBT9" s="520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0"/>
      <c r="FCH9" s="34"/>
      <c r="FCI9" s="390"/>
      <c r="FCJ9" s="520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0"/>
      <c r="FCX9" s="34"/>
      <c r="FCY9" s="390"/>
      <c r="FCZ9" s="520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0"/>
      <c r="FDN9" s="34"/>
      <c r="FDO9" s="390"/>
      <c r="FDP9" s="520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0"/>
      <c r="FED9" s="34"/>
      <c r="FEE9" s="390"/>
      <c r="FEF9" s="520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0"/>
      <c r="FET9" s="34"/>
      <c r="FEU9" s="390"/>
      <c r="FEV9" s="520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0"/>
      <c r="FFJ9" s="34"/>
      <c r="FFK9" s="390"/>
      <c r="FFL9" s="520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0"/>
      <c r="FFZ9" s="34"/>
      <c r="FGA9" s="390"/>
      <c r="FGB9" s="520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0"/>
      <c r="FGP9" s="34"/>
      <c r="FGQ9" s="390"/>
      <c r="FGR9" s="520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0"/>
      <c r="FHF9" s="34"/>
      <c r="FHG9" s="390"/>
      <c r="FHH9" s="520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0"/>
      <c r="FHV9" s="34"/>
      <c r="FHW9" s="390"/>
      <c r="FHX9" s="520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0"/>
      <c r="FIL9" s="34"/>
      <c r="FIM9" s="390"/>
      <c r="FIN9" s="520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0"/>
      <c r="FJB9" s="34"/>
      <c r="FJC9" s="390"/>
      <c r="FJD9" s="520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0"/>
      <c r="FJR9" s="34"/>
      <c r="FJS9" s="390"/>
      <c r="FJT9" s="520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0"/>
      <c r="FKH9" s="34"/>
      <c r="FKI9" s="390"/>
      <c r="FKJ9" s="520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0"/>
      <c r="FKX9" s="34"/>
      <c r="FKY9" s="390"/>
      <c r="FKZ9" s="520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0"/>
      <c r="FLN9" s="34"/>
      <c r="FLO9" s="390"/>
      <c r="FLP9" s="520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0"/>
      <c r="FMD9" s="34"/>
      <c r="FME9" s="390"/>
      <c r="FMF9" s="520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0"/>
      <c r="FMT9" s="34"/>
      <c r="FMU9" s="390"/>
      <c r="FMV9" s="520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0"/>
      <c r="FNJ9" s="34"/>
      <c r="FNK9" s="390"/>
      <c r="FNL9" s="520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0"/>
      <c r="FNZ9" s="34"/>
      <c r="FOA9" s="390"/>
      <c r="FOB9" s="520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0"/>
      <c r="FOP9" s="34"/>
      <c r="FOQ9" s="390"/>
      <c r="FOR9" s="520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0"/>
      <c r="FPF9" s="34"/>
      <c r="FPG9" s="390"/>
      <c r="FPH9" s="520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0"/>
      <c r="FPV9" s="34"/>
      <c r="FPW9" s="390"/>
      <c r="FPX9" s="520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0"/>
      <c r="FQL9" s="34"/>
      <c r="FQM9" s="390"/>
      <c r="FQN9" s="520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0"/>
      <c r="FRB9" s="34"/>
      <c r="FRC9" s="390"/>
      <c r="FRD9" s="520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0"/>
      <c r="FRR9" s="34"/>
      <c r="FRS9" s="390"/>
      <c r="FRT9" s="520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0"/>
      <c r="FSH9" s="34"/>
      <c r="FSI9" s="390"/>
      <c r="FSJ9" s="520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0"/>
      <c r="FSX9" s="34"/>
      <c r="FSY9" s="390"/>
      <c r="FSZ9" s="520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0"/>
      <c r="FTN9" s="34"/>
      <c r="FTO9" s="390"/>
      <c r="FTP9" s="520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0"/>
      <c r="FUD9" s="34"/>
      <c r="FUE9" s="390"/>
      <c r="FUF9" s="520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0"/>
      <c r="FUT9" s="34"/>
      <c r="FUU9" s="390"/>
      <c r="FUV9" s="520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0"/>
      <c r="FVJ9" s="34"/>
      <c r="FVK9" s="390"/>
      <c r="FVL9" s="520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0"/>
      <c r="FVZ9" s="34"/>
      <c r="FWA9" s="390"/>
      <c r="FWB9" s="520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0"/>
      <c r="FWP9" s="34"/>
      <c r="FWQ9" s="390"/>
      <c r="FWR9" s="520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0"/>
      <c r="FXF9" s="34"/>
      <c r="FXG9" s="390"/>
      <c r="FXH9" s="520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0"/>
      <c r="FXV9" s="34"/>
      <c r="FXW9" s="390"/>
      <c r="FXX9" s="520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0"/>
      <c r="FYL9" s="34"/>
      <c r="FYM9" s="390"/>
      <c r="FYN9" s="520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0"/>
      <c r="FZB9" s="34"/>
      <c r="FZC9" s="390"/>
      <c r="FZD9" s="520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0"/>
      <c r="FZR9" s="34"/>
      <c r="FZS9" s="390"/>
      <c r="FZT9" s="520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0"/>
      <c r="GAH9" s="34"/>
      <c r="GAI9" s="390"/>
      <c r="GAJ9" s="520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0"/>
      <c r="GAX9" s="34"/>
      <c r="GAY9" s="390"/>
      <c r="GAZ9" s="520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0"/>
      <c r="GBN9" s="34"/>
      <c r="GBO9" s="390"/>
      <c r="GBP9" s="520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0"/>
      <c r="GCD9" s="34"/>
      <c r="GCE9" s="390"/>
      <c r="GCF9" s="520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0"/>
      <c r="GCT9" s="34"/>
      <c r="GCU9" s="390"/>
      <c r="GCV9" s="520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0"/>
      <c r="GDJ9" s="34"/>
      <c r="GDK9" s="390"/>
      <c r="GDL9" s="520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0"/>
      <c r="GDZ9" s="34"/>
      <c r="GEA9" s="390"/>
      <c r="GEB9" s="520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0"/>
      <c r="GEP9" s="34"/>
      <c r="GEQ9" s="390"/>
      <c r="GER9" s="520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0"/>
      <c r="GFF9" s="34"/>
      <c r="GFG9" s="390"/>
      <c r="GFH9" s="520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0"/>
      <c r="GFV9" s="34"/>
      <c r="GFW9" s="390"/>
      <c r="GFX9" s="520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0"/>
      <c r="GGL9" s="34"/>
      <c r="GGM9" s="390"/>
      <c r="GGN9" s="520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0"/>
      <c r="GHB9" s="34"/>
      <c r="GHC9" s="390"/>
      <c r="GHD9" s="520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0"/>
      <c r="GHR9" s="34"/>
      <c r="GHS9" s="390"/>
      <c r="GHT9" s="520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0"/>
      <c r="GIH9" s="34"/>
      <c r="GII9" s="390"/>
      <c r="GIJ9" s="520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0"/>
      <c r="GIX9" s="34"/>
      <c r="GIY9" s="390"/>
      <c r="GIZ9" s="520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0"/>
      <c r="GJN9" s="34"/>
      <c r="GJO9" s="390"/>
      <c r="GJP9" s="520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0"/>
      <c r="GKD9" s="34"/>
      <c r="GKE9" s="390"/>
      <c r="GKF9" s="520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0"/>
      <c r="GKT9" s="34"/>
      <c r="GKU9" s="390"/>
      <c r="GKV9" s="520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0"/>
      <c r="GLJ9" s="34"/>
      <c r="GLK9" s="390"/>
      <c r="GLL9" s="520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0"/>
      <c r="GLZ9" s="34"/>
      <c r="GMA9" s="390"/>
      <c r="GMB9" s="520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0"/>
      <c r="GMP9" s="34"/>
      <c r="GMQ9" s="390"/>
      <c r="GMR9" s="520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0"/>
      <c r="GNF9" s="34"/>
      <c r="GNG9" s="390"/>
      <c r="GNH9" s="520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0"/>
      <c r="GNV9" s="34"/>
      <c r="GNW9" s="390"/>
      <c r="GNX9" s="520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0"/>
      <c r="GOL9" s="34"/>
      <c r="GOM9" s="390"/>
      <c r="GON9" s="520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0"/>
      <c r="GPB9" s="34"/>
      <c r="GPC9" s="390"/>
      <c r="GPD9" s="520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0"/>
      <c r="GPR9" s="34"/>
      <c r="GPS9" s="390"/>
      <c r="GPT9" s="520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0"/>
      <c r="GQH9" s="34"/>
      <c r="GQI9" s="390"/>
      <c r="GQJ9" s="520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0"/>
      <c r="GQX9" s="34"/>
      <c r="GQY9" s="390"/>
      <c r="GQZ9" s="520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0"/>
      <c r="GRN9" s="34"/>
      <c r="GRO9" s="390"/>
      <c r="GRP9" s="520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0"/>
      <c r="GSD9" s="34"/>
      <c r="GSE9" s="390"/>
      <c r="GSF9" s="520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0"/>
      <c r="GST9" s="34"/>
      <c r="GSU9" s="390"/>
      <c r="GSV9" s="520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0"/>
      <c r="GTJ9" s="34"/>
      <c r="GTK9" s="390"/>
      <c r="GTL9" s="520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0"/>
      <c r="GTZ9" s="34"/>
      <c r="GUA9" s="390"/>
      <c r="GUB9" s="520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0"/>
      <c r="GUP9" s="34"/>
      <c r="GUQ9" s="390"/>
      <c r="GUR9" s="520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0"/>
      <c r="GVF9" s="34"/>
      <c r="GVG9" s="390"/>
      <c r="GVH9" s="520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0"/>
      <c r="GVV9" s="34"/>
      <c r="GVW9" s="390"/>
      <c r="GVX9" s="520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0"/>
      <c r="GWL9" s="34"/>
      <c r="GWM9" s="390"/>
      <c r="GWN9" s="520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0"/>
      <c r="GXB9" s="34"/>
      <c r="GXC9" s="390"/>
      <c r="GXD9" s="520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0"/>
      <c r="GXR9" s="34"/>
      <c r="GXS9" s="390"/>
      <c r="GXT9" s="520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0"/>
      <c r="GYH9" s="34"/>
      <c r="GYI9" s="390"/>
      <c r="GYJ9" s="520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0"/>
      <c r="GYX9" s="34"/>
      <c r="GYY9" s="390"/>
      <c r="GYZ9" s="520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0"/>
      <c r="GZN9" s="34"/>
      <c r="GZO9" s="390"/>
      <c r="GZP9" s="520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0"/>
      <c r="HAD9" s="34"/>
      <c r="HAE9" s="390"/>
      <c r="HAF9" s="520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0"/>
      <c r="HAT9" s="34"/>
      <c r="HAU9" s="390"/>
      <c r="HAV9" s="520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0"/>
      <c r="HBJ9" s="34"/>
      <c r="HBK9" s="390"/>
      <c r="HBL9" s="520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0"/>
      <c r="HBZ9" s="34"/>
      <c r="HCA9" s="390"/>
      <c r="HCB9" s="520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0"/>
      <c r="HCP9" s="34"/>
      <c r="HCQ9" s="390"/>
      <c r="HCR9" s="520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0"/>
      <c r="HDF9" s="34"/>
      <c r="HDG9" s="390"/>
      <c r="HDH9" s="520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0"/>
      <c r="HDV9" s="34"/>
      <c r="HDW9" s="390"/>
      <c r="HDX9" s="520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0"/>
      <c r="HEL9" s="34"/>
      <c r="HEM9" s="390"/>
      <c r="HEN9" s="520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0"/>
      <c r="HFB9" s="34"/>
      <c r="HFC9" s="390"/>
      <c r="HFD9" s="520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0"/>
      <c r="HFR9" s="34"/>
      <c r="HFS9" s="390"/>
      <c r="HFT9" s="520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0"/>
      <c r="HGH9" s="34"/>
      <c r="HGI9" s="390"/>
      <c r="HGJ9" s="520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0"/>
      <c r="HGX9" s="34"/>
      <c r="HGY9" s="390"/>
      <c r="HGZ9" s="520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0"/>
      <c r="HHN9" s="34"/>
      <c r="HHO9" s="390"/>
      <c r="HHP9" s="520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0"/>
      <c r="HID9" s="34"/>
      <c r="HIE9" s="390"/>
      <c r="HIF9" s="520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0"/>
      <c r="HIT9" s="34"/>
      <c r="HIU9" s="390"/>
      <c r="HIV9" s="520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0"/>
      <c r="HJJ9" s="34"/>
      <c r="HJK9" s="390"/>
      <c r="HJL9" s="520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0"/>
      <c r="HJZ9" s="34"/>
      <c r="HKA9" s="390"/>
      <c r="HKB9" s="520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0"/>
      <c r="HKP9" s="34"/>
      <c r="HKQ9" s="390"/>
      <c r="HKR9" s="520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0"/>
      <c r="HLF9" s="34"/>
      <c r="HLG9" s="390"/>
      <c r="HLH9" s="520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0"/>
      <c r="HLV9" s="34"/>
      <c r="HLW9" s="390"/>
      <c r="HLX9" s="520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0"/>
      <c r="HML9" s="34"/>
      <c r="HMM9" s="390"/>
      <c r="HMN9" s="520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0"/>
      <c r="HNB9" s="34"/>
      <c r="HNC9" s="390"/>
      <c r="HND9" s="520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0"/>
      <c r="HNR9" s="34"/>
      <c r="HNS9" s="390"/>
      <c r="HNT9" s="520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0"/>
      <c r="HOH9" s="34"/>
      <c r="HOI9" s="390"/>
      <c r="HOJ9" s="520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0"/>
      <c r="HOX9" s="34"/>
      <c r="HOY9" s="390"/>
      <c r="HOZ9" s="520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0"/>
      <c r="HPN9" s="34"/>
      <c r="HPO9" s="390"/>
      <c r="HPP9" s="520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0"/>
      <c r="HQD9" s="34"/>
      <c r="HQE9" s="390"/>
      <c r="HQF9" s="520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0"/>
      <c r="HQT9" s="34"/>
      <c r="HQU9" s="390"/>
      <c r="HQV9" s="520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0"/>
      <c r="HRJ9" s="34"/>
      <c r="HRK9" s="390"/>
      <c r="HRL9" s="520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0"/>
      <c r="HRZ9" s="34"/>
      <c r="HSA9" s="390"/>
      <c r="HSB9" s="520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0"/>
      <c r="HSP9" s="34"/>
      <c r="HSQ9" s="390"/>
      <c r="HSR9" s="520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0"/>
      <c r="HTF9" s="34"/>
      <c r="HTG9" s="390"/>
      <c r="HTH9" s="520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0"/>
      <c r="HTV9" s="34"/>
      <c r="HTW9" s="390"/>
      <c r="HTX9" s="520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0"/>
      <c r="HUL9" s="34"/>
      <c r="HUM9" s="390"/>
      <c r="HUN9" s="520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0"/>
      <c r="HVB9" s="34"/>
      <c r="HVC9" s="390"/>
      <c r="HVD9" s="520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0"/>
      <c r="HVR9" s="34"/>
      <c r="HVS9" s="390"/>
      <c r="HVT9" s="520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0"/>
      <c r="HWH9" s="34"/>
      <c r="HWI9" s="390"/>
      <c r="HWJ9" s="520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0"/>
      <c r="HWX9" s="34"/>
      <c r="HWY9" s="390"/>
      <c r="HWZ9" s="520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0"/>
      <c r="HXN9" s="34"/>
      <c r="HXO9" s="390"/>
      <c r="HXP9" s="520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0"/>
      <c r="HYD9" s="34"/>
      <c r="HYE9" s="390"/>
      <c r="HYF9" s="520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0"/>
      <c r="HYT9" s="34"/>
      <c r="HYU9" s="390"/>
      <c r="HYV9" s="520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0"/>
      <c r="HZJ9" s="34"/>
      <c r="HZK9" s="390"/>
      <c r="HZL9" s="520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0"/>
      <c r="HZZ9" s="34"/>
      <c r="IAA9" s="390"/>
      <c r="IAB9" s="520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0"/>
      <c r="IAP9" s="34"/>
      <c r="IAQ9" s="390"/>
      <c r="IAR9" s="520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0"/>
      <c r="IBF9" s="34"/>
      <c r="IBG9" s="390"/>
      <c r="IBH9" s="520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0"/>
      <c r="IBV9" s="34"/>
      <c r="IBW9" s="390"/>
      <c r="IBX9" s="520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0"/>
      <c r="ICL9" s="34"/>
      <c r="ICM9" s="390"/>
      <c r="ICN9" s="520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0"/>
      <c r="IDB9" s="34"/>
      <c r="IDC9" s="390"/>
      <c r="IDD9" s="520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0"/>
      <c r="IDR9" s="34"/>
      <c r="IDS9" s="390"/>
      <c r="IDT9" s="520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0"/>
      <c r="IEH9" s="34"/>
      <c r="IEI9" s="390"/>
      <c r="IEJ9" s="520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0"/>
      <c r="IEX9" s="34"/>
      <c r="IEY9" s="390"/>
      <c r="IEZ9" s="520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0"/>
      <c r="IFN9" s="34"/>
      <c r="IFO9" s="390"/>
      <c r="IFP9" s="520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0"/>
      <c r="IGD9" s="34"/>
      <c r="IGE9" s="390"/>
      <c r="IGF9" s="520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0"/>
      <c r="IGT9" s="34"/>
      <c r="IGU9" s="390"/>
      <c r="IGV9" s="520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0"/>
      <c r="IHJ9" s="34"/>
      <c r="IHK9" s="390"/>
      <c r="IHL9" s="520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0"/>
      <c r="IHZ9" s="34"/>
      <c r="IIA9" s="390"/>
      <c r="IIB9" s="520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0"/>
      <c r="IIP9" s="34"/>
      <c r="IIQ9" s="390"/>
      <c r="IIR9" s="520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0"/>
      <c r="IJF9" s="34"/>
      <c r="IJG9" s="390"/>
      <c r="IJH9" s="520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0"/>
      <c r="IJV9" s="34"/>
      <c r="IJW9" s="390"/>
      <c r="IJX9" s="520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0"/>
      <c r="IKL9" s="34"/>
      <c r="IKM9" s="390"/>
      <c r="IKN9" s="520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0"/>
      <c r="ILB9" s="34"/>
      <c r="ILC9" s="390"/>
      <c r="ILD9" s="520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0"/>
      <c r="ILR9" s="34"/>
      <c r="ILS9" s="390"/>
      <c r="ILT9" s="520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0"/>
      <c r="IMH9" s="34"/>
      <c r="IMI9" s="390"/>
      <c r="IMJ9" s="520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0"/>
      <c r="IMX9" s="34"/>
      <c r="IMY9" s="390"/>
      <c r="IMZ9" s="520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0"/>
      <c r="INN9" s="34"/>
      <c r="INO9" s="390"/>
      <c r="INP9" s="520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0"/>
      <c r="IOD9" s="34"/>
      <c r="IOE9" s="390"/>
      <c r="IOF9" s="520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0"/>
      <c r="IOT9" s="34"/>
      <c r="IOU9" s="390"/>
      <c r="IOV9" s="520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0"/>
      <c r="IPJ9" s="34"/>
      <c r="IPK9" s="390"/>
      <c r="IPL9" s="520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0"/>
      <c r="IPZ9" s="34"/>
      <c r="IQA9" s="390"/>
      <c r="IQB9" s="520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0"/>
      <c r="IQP9" s="34"/>
      <c r="IQQ9" s="390"/>
      <c r="IQR9" s="520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0"/>
      <c r="IRF9" s="34"/>
      <c r="IRG9" s="390"/>
      <c r="IRH9" s="520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0"/>
      <c r="IRV9" s="34"/>
      <c r="IRW9" s="390"/>
      <c r="IRX9" s="520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0"/>
      <c r="ISL9" s="34"/>
      <c r="ISM9" s="390"/>
      <c r="ISN9" s="520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0"/>
      <c r="ITB9" s="34"/>
      <c r="ITC9" s="390"/>
      <c r="ITD9" s="520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0"/>
      <c r="ITR9" s="34"/>
      <c r="ITS9" s="390"/>
      <c r="ITT9" s="520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0"/>
      <c r="IUH9" s="34"/>
      <c r="IUI9" s="390"/>
      <c r="IUJ9" s="520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0"/>
      <c r="IUX9" s="34"/>
      <c r="IUY9" s="390"/>
      <c r="IUZ9" s="520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0"/>
      <c r="IVN9" s="34"/>
      <c r="IVO9" s="390"/>
      <c r="IVP9" s="520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0"/>
      <c r="IWD9" s="34"/>
      <c r="IWE9" s="390"/>
      <c r="IWF9" s="520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0"/>
      <c r="IWT9" s="34"/>
      <c r="IWU9" s="390"/>
      <c r="IWV9" s="520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0"/>
      <c r="IXJ9" s="34"/>
      <c r="IXK9" s="390"/>
      <c r="IXL9" s="520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0"/>
      <c r="IXZ9" s="34"/>
      <c r="IYA9" s="390"/>
      <c r="IYB9" s="520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0"/>
      <c r="IYP9" s="34"/>
      <c r="IYQ9" s="390"/>
      <c r="IYR9" s="520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0"/>
      <c r="IZF9" s="34"/>
      <c r="IZG9" s="390"/>
      <c r="IZH9" s="520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0"/>
      <c r="IZV9" s="34"/>
      <c r="IZW9" s="390"/>
      <c r="IZX9" s="520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0"/>
      <c r="JAL9" s="34"/>
      <c r="JAM9" s="390"/>
      <c r="JAN9" s="520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0"/>
      <c r="JBB9" s="34"/>
      <c r="JBC9" s="390"/>
      <c r="JBD9" s="520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0"/>
      <c r="JBR9" s="34"/>
      <c r="JBS9" s="390"/>
      <c r="JBT9" s="520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0"/>
      <c r="JCH9" s="34"/>
      <c r="JCI9" s="390"/>
      <c r="JCJ9" s="520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0"/>
      <c r="JCX9" s="34"/>
      <c r="JCY9" s="390"/>
      <c r="JCZ9" s="520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0"/>
      <c r="JDN9" s="34"/>
      <c r="JDO9" s="390"/>
      <c r="JDP9" s="520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0"/>
      <c r="JED9" s="34"/>
      <c r="JEE9" s="390"/>
      <c r="JEF9" s="520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0"/>
      <c r="JET9" s="34"/>
      <c r="JEU9" s="390"/>
      <c r="JEV9" s="520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0"/>
      <c r="JFJ9" s="34"/>
      <c r="JFK9" s="390"/>
      <c r="JFL9" s="520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0"/>
      <c r="JFZ9" s="34"/>
      <c r="JGA9" s="390"/>
      <c r="JGB9" s="520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0"/>
      <c r="JGP9" s="34"/>
      <c r="JGQ9" s="390"/>
      <c r="JGR9" s="520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0"/>
      <c r="JHF9" s="34"/>
      <c r="JHG9" s="390"/>
      <c r="JHH9" s="520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0"/>
      <c r="JHV9" s="34"/>
      <c r="JHW9" s="390"/>
      <c r="JHX9" s="520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0"/>
      <c r="JIL9" s="34"/>
      <c r="JIM9" s="390"/>
      <c r="JIN9" s="520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0"/>
      <c r="JJB9" s="34"/>
      <c r="JJC9" s="390"/>
      <c r="JJD9" s="520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0"/>
      <c r="JJR9" s="34"/>
      <c r="JJS9" s="390"/>
      <c r="JJT9" s="520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0"/>
      <c r="JKH9" s="34"/>
      <c r="JKI9" s="390"/>
      <c r="JKJ9" s="520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0"/>
      <c r="JKX9" s="34"/>
      <c r="JKY9" s="390"/>
      <c r="JKZ9" s="520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0"/>
      <c r="JLN9" s="34"/>
      <c r="JLO9" s="390"/>
      <c r="JLP9" s="520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0"/>
      <c r="JMD9" s="34"/>
      <c r="JME9" s="390"/>
      <c r="JMF9" s="520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0"/>
      <c r="JMT9" s="34"/>
      <c r="JMU9" s="390"/>
      <c r="JMV9" s="520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0"/>
      <c r="JNJ9" s="34"/>
      <c r="JNK9" s="390"/>
      <c r="JNL9" s="520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0"/>
      <c r="JNZ9" s="34"/>
      <c r="JOA9" s="390"/>
      <c r="JOB9" s="520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0"/>
      <c r="JOP9" s="34"/>
      <c r="JOQ9" s="390"/>
      <c r="JOR9" s="520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0"/>
      <c r="JPF9" s="34"/>
      <c r="JPG9" s="390"/>
      <c r="JPH9" s="520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0"/>
      <c r="JPV9" s="34"/>
      <c r="JPW9" s="390"/>
      <c r="JPX9" s="520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0"/>
      <c r="JQL9" s="34"/>
      <c r="JQM9" s="390"/>
      <c r="JQN9" s="520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0"/>
      <c r="JRB9" s="34"/>
      <c r="JRC9" s="390"/>
      <c r="JRD9" s="520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0"/>
      <c r="JRR9" s="34"/>
      <c r="JRS9" s="390"/>
      <c r="JRT9" s="520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0"/>
      <c r="JSH9" s="34"/>
      <c r="JSI9" s="390"/>
      <c r="JSJ9" s="520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0"/>
      <c r="JSX9" s="34"/>
      <c r="JSY9" s="390"/>
      <c r="JSZ9" s="520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0"/>
      <c r="JTN9" s="34"/>
      <c r="JTO9" s="390"/>
      <c r="JTP9" s="520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0"/>
      <c r="JUD9" s="34"/>
      <c r="JUE9" s="390"/>
      <c r="JUF9" s="520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0"/>
      <c r="JUT9" s="34"/>
      <c r="JUU9" s="390"/>
      <c r="JUV9" s="520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0"/>
      <c r="JVJ9" s="34"/>
      <c r="JVK9" s="390"/>
      <c r="JVL9" s="520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0"/>
      <c r="JVZ9" s="34"/>
      <c r="JWA9" s="390"/>
      <c r="JWB9" s="520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0"/>
      <c r="JWP9" s="34"/>
      <c r="JWQ9" s="390"/>
      <c r="JWR9" s="520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0"/>
      <c r="JXF9" s="34"/>
      <c r="JXG9" s="390"/>
      <c r="JXH9" s="520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0"/>
      <c r="JXV9" s="34"/>
      <c r="JXW9" s="390"/>
      <c r="JXX9" s="520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0"/>
      <c r="JYL9" s="34"/>
      <c r="JYM9" s="390"/>
      <c r="JYN9" s="520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0"/>
      <c r="JZB9" s="34"/>
      <c r="JZC9" s="390"/>
      <c r="JZD9" s="520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0"/>
      <c r="JZR9" s="34"/>
      <c r="JZS9" s="390"/>
      <c r="JZT9" s="520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0"/>
      <c r="KAH9" s="34"/>
      <c r="KAI9" s="390"/>
      <c r="KAJ9" s="520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0"/>
      <c r="KAX9" s="34"/>
      <c r="KAY9" s="390"/>
      <c r="KAZ9" s="520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0"/>
      <c r="KBN9" s="34"/>
      <c r="KBO9" s="390"/>
      <c r="KBP9" s="520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0"/>
      <c r="KCD9" s="34"/>
      <c r="KCE9" s="390"/>
      <c r="KCF9" s="520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0"/>
      <c r="KCT9" s="34"/>
      <c r="KCU9" s="390"/>
      <c r="KCV9" s="520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0"/>
      <c r="KDJ9" s="34"/>
      <c r="KDK9" s="390"/>
      <c r="KDL9" s="520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0"/>
      <c r="KDZ9" s="34"/>
      <c r="KEA9" s="390"/>
      <c r="KEB9" s="520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0"/>
      <c r="KEP9" s="34"/>
      <c r="KEQ9" s="390"/>
      <c r="KER9" s="520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0"/>
      <c r="KFF9" s="34"/>
      <c r="KFG9" s="390"/>
      <c r="KFH9" s="520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0"/>
      <c r="KFV9" s="34"/>
      <c r="KFW9" s="390"/>
      <c r="KFX9" s="520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0"/>
      <c r="KGL9" s="34"/>
      <c r="KGM9" s="390"/>
      <c r="KGN9" s="520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0"/>
      <c r="KHB9" s="34"/>
      <c r="KHC9" s="390"/>
      <c r="KHD9" s="520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0"/>
      <c r="KHR9" s="34"/>
      <c r="KHS9" s="390"/>
      <c r="KHT9" s="520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0"/>
      <c r="KIH9" s="34"/>
      <c r="KII9" s="390"/>
      <c r="KIJ9" s="520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0"/>
      <c r="KIX9" s="34"/>
      <c r="KIY9" s="390"/>
      <c r="KIZ9" s="520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0"/>
      <c r="KJN9" s="34"/>
      <c r="KJO9" s="390"/>
      <c r="KJP9" s="520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0"/>
      <c r="KKD9" s="34"/>
      <c r="KKE9" s="390"/>
      <c r="KKF9" s="520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0"/>
      <c r="KKT9" s="34"/>
      <c r="KKU9" s="390"/>
      <c r="KKV9" s="520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0"/>
      <c r="KLJ9" s="34"/>
      <c r="KLK9" s="390"/>
      <c r="KLL9" s="520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0"/>
      <c r="KLZ9" s="34"/>
      <c r="KMA9" s="390"/>
      <c r="KMB9" s="520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0"/>
      <c r="KMP9" s="34"/>
      <c r="KMQ9" s="390"/>
      <c r="KMR9" s="520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0"/>
      <c r="KNF9" s="34"/>
      <c r="KNG9" s="390"/>
      <c r="KNH9" s="520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0"/>
      <c r="KNV9" s="34"/>
      <c r="KNW9" s="390"/>
      <c r="KNX9" s="520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0"/>
      <c r="KOL9" s="34"/>
      <c r="KOM9" s="390"/>
      <c r="KON9" s="520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0"/>
      <c r="KPB9" s="34"/>
      <c r="KPC9" s="390"/>
      <c r="KPD9" s="520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0"/>
      <c r="KPR9" s="34"/>
      <c r="KPS9" s="390"/>
      <c r="KPT9" s="520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0"/>
      <c r="KQH9" s="34"/>
      <c r="KQI9" s="390"/>
      <c r="KQJ9" s="520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0"/>
      <c r="KQX9" s="34"/>
      <c r="KQY9" s="390"/>
      <c r="KQZ9" s="520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0"/>
      <c r="KRN9" s="34"/>
      <c r="KRO9" s="390"/>
      <c r="KRP9" s="520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0"/>
      <c r="KSD9" s="34"/>
      <c r="KSE9" s="390"/>
      <c r="KSF9" s="520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0"/>
      <c r="KST9" s="34"/>
      <c r="KSU9" s="390"/>
      <c r="KSV9" s="520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0"/>
      <c r="KTJ9" s="34"/>
      <c r="KTK9" s="390"/>
      <c r="KTL9" s="520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0"/>
      <c r="KTZ9" s="34"/>
      <c r="KUA9" s="390"/>
      <c r="KUB9" s="520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0"/>
      <c r="KUP9" s="34"/>
      <c r="KUQ9" s="390"/>
      <c r="KUR9" s="520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0"/>
      <c r="KVF9" s="34"/>
      <c r="KVG9" s="390"/>
      <c r="KVH9" s="520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0"/>
      <c r="KVV9" s="34"/>
      <c r="KVW9" s="390"/>
      <c r="KVX9" s="520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0"/>
      <c r="KWL9" s="34"/>
      <c r="KWM9" s="390"/>
      <c r="KWN9" s="520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0"/>
      <c r="KXB9" s="34"/>
      <c r="KXC9" s="390"/>
      <c r="KXD9" s="520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0"/>
      <c r="KXR9" s="34"/>
      <c r="KXS9" s="390"/>
      <c r="KXT9" s="520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0"/>
      <c r="KYH9" s="34"/>
      <c r="KYI9" s="390"/>
      <c r="KYJ9" s="520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0"/>
      <c r="KYX9" s="34"/>
      <c r="KYY9" s="390"/>
      <c r="KYZ9" s="520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0"/>
      <c r="KZN9" s="34"/>
      <c r="KZO9" s="390"/>
      <c r="KZP9" s="520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0"/>
      <c r="LAD9" s="34"/>
      <c r="LAE9" s="390"/>
      <c r="LAF9" s="520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0"/>
      <c r="LAT9" s="34"/>
      <c r="LAU9" s="390"/>
      <c r="LAV9" s="520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0"/>
      <c r="LBJ9" s="34"/>
      <c r="LBK9" s="390"/>
      <c r="LBL9" s="520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0"/>
      <c r="LBZ9" s="34"/>
      <c r="LCA9" s="390"/>
      <c r="LCB9" s="520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0"/>
      <c r="LCP9" s="34"/>
      <c r="LCQ9" s="390"/>
      <c r="LCR9" s="520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0"/>
      <c r="LDF9" s="34"/>
      <c r="LDG9" s="390"/>
      <c r="LDH9" s="520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0"/>
      <c r="LDV9" s="34"/>
      <c r="LDW9" s="390"/>
      <c r="LDX9" s="520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0"/>
      <c r="LEL9" s="34"/>
      <c r="LEM9" s="390"/>
      <c r="LEN9" s="520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0"/>
      <c r="LFB9" s="34"/>
      <c r="LFC9" s="390"/>
      <c r="LFD9" s="520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0"/>
      <c r="LFR9" s="34"/>
      <c r="LFS9" s="390"/>
      <c r="LFT9" s="520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0"/>
      <c r="LGH9" s="34"/>
      <c r="LGI9" s="390"/>
      <c r="LGJ9" s="520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0"/>
      <c r="LGX9" s="34"/>
      <c r="LGY9" s="390"/>
      <c r="LGZ9" s="520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0"/>
      <c r="LHN9" s="34"/>
      <c r="LHO9" s="390"/>
      <c r="LHP9" s="520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0"/>
      <c r="LID9" s="34"/>
      <c r="LIE9" s="390"/>
      <c r="LIF9" s="520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0"/>
      <c r="LIT9" s="34"/>
      <c r="LIU9" s="390"/>
      <c r="LIV9" s="520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0"/>
      <c r="LJJ9" s="34"/>
      <c r="LJK9" s="390"/>
      <c r="LJL9" s="520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0"/>
      <c r="LJZ9" s="34"/>
      <c r="LKA9" s="390"/>
      <c r="LKB9" s="520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0"/>
      <c r="LKP9" s="34"/>
      <c r="LKQ9" s="390"/>
      <c r="LKR9" s="520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0"/>
      <c r="LLF9" s="34"/>
      <c r="LLG9" s="390"/>
      <c r="LLH9" s="520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0"/>
      <c r="LLV9" s="34"/>
      <c r="LLW9" s="390"/>
      <c r="LLX9" s="520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0"/>
      <c r="LML9" s="34"/>
      <c r="LMM9" s="390"/>
      <c r="LMN9" s="520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0"/>
      <c r="LNB9" s="34"/>
      <c r="LNC9" s="390"/>
      <c r="LND9" s="520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0"/>
      <c r="LNR9" s="34"/>
      <c r="LNS9" s="390"/>
      <c r="LNT9" s="520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0"/>
      <c r="LOH9" s="34"/>
      <c r="LOI9" s="390"/>
      <c r="LOJ9" s="520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0"/>
      <c r="LOX9" s="34"/>
      <c r="LOY9" s="390"/>
      <c r="LOZ9" s="520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0"/>
      <c r="LPN9" s="34"/>
      <c r="LPO9" s="390"/>
      <c r="LPP9" s="520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0"/>
      <c r="LQD9" s="34"/>
      <c r="LQE9" s="390"/>
      <c r="LQF9" s="520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0"/>
      <c r="LQT9" s="34"/>
      <c r="LQU9" s="390"/>
      <c r="LQV9" s="520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0"/>
      <c r="LRJ9" s="34"/>
      <c r="LRK9" s="390"/>
      <c r="LRL9" s="520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0"/>
      <c r="LRZ9" s="34"/>
      <c r="LSA9" s="390"/>
      <c r="LSB9" s="520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0"/>
      <c r="LSP9" s="34"/>
      <c r="LSQ9" s="390"/>
      <c r="LSR9" s="520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0"/>
      <c r="LTF9" s="34"/>
      <c r="LTG9" s="390"/>
      <c r="LTH9" s="520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0"/>
      <c r="LTV9" s="34"/>
      <c r="LTW9" s="390"/>
      <c r="LTX9" s="520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0"/>
      <c r="LUL9" s="34"/>
      <c r="LUM9" s="390"/>
      <c r="LUN9" s="520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0"/>
      <c r="LVB9" s="34"/>
      <c r="LVC9" s="390"/>
      <c r="LVD9" s="520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0"/>
      <c r="LVR9" s="34"/>
      <c r="LVS9" s="390"/>
      <c r="LVT9" s="520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0"/>
      <c r="LWH9" s="34"/>
      <c r="LWI9" s="390"/>
      <c r="LWJ9" s="520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0"/>
      <c r="LWX9" s="34"/>
      <c r="LWY9" s="390"/>
      <c r="LWZ9" s="520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0"/>
      <c r="LXN9" s="34"/>
      <c r="LXO9" s="390"/>
      <c r="LXP9" s="520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0"/>
      <c r="LYD9" s="34"/>
      <c r="LYE9" s="390"/>
      <c r="LYF9" s="520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0"/>
      <c r="LYT9" s="34"/>
      <c r="LYU9" s="390"/>
      <c r="LYV9" s="520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0"/>
      <c r="LZJ9" s="34"/>
      <c r="LZK9" s="390"/>
      <c r="LZL9" s="520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0"/>
      <c r="LZZ9" s="34"/>
      <c r="MAA9" s="390"/>
      <c r="MAB9" s="520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0"/>
      <c r="MAP9" s="34"/>
      <c r="MAQ9" s="390"/>
      <c r="MAR9" s="520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0"/>
      <c r="MBF9" s="34"/>
      <c r="MBG9" s="390"/>
      <c r="MBH9" s="520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0"/>
      <c r="MBV9" s="34"/>
      <c r="MBW9" s="390"/>
      <c r="MBX9" s="520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0"/>
      <c r="MCL9" s="34"/>
      <c r="MCM9" s="390"/>
      <c r="MCN9" s="520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0"/>
      <c r="MDB9" s="34"/>
      <c r="MDC9" s="390"/>
      <c r="MDD9" s="520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0"/>
      <c r="MDR9" s="34"/>
      <c r="MDS9" s="390"/>
      <c r="MDT9" s="520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0"/>
      <c r="MEH9" s="34"/>
      <c r="MEI9" s="390"/>
      <c r="MEJ9" s="520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0"/>
      <c r="MEX9" s="34"/>
      <c r="MEY9" s="390"/>
      <c r="MEZ9" s="520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0"/>
      <c r="MFN9" s="34"/>
      <c r="MFO9" s="390"/>
      <c r="MFP9" s="520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0"/>
      <c r="MGD9" s="34"/>
      <c r="MGE9" s="390"/>
      <c r="MGF9" s="520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0"/>
      <c r="MGT9" s="34"/>
      <c r="MGU9" s="390"/>
      <c r="MGV9" s="520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0"/>
      <c r="MHJ9" s="34"/>
      <c r="MHK9" s="390"/>
      <c r="MHL9" s="520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0"/>
      <c r="MHZ9" s="34"/>
      <c r="MIA9" s="390"/>
      <c r="MIB9" s="520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0"/>
      <c r="MIP9" s="34"/>
      <c r="MIQ9" s="390"/>
      <c r="MIR9" s="520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0"/>
      <c r="MJF9" s="34"/>
      <c r="MJG9" s="390"/>
      <c r="MJH9" s="520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0"/>
      <c r="MJV9" s="34"/>
      <c r="MJW9" s="390"/>
      <c r="MJX9" s="520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0"/>
      <c r="MKL9" s="34"/>
      <c r="MKM9" s="390"/>
      <c r="MKN9" s="520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0"/>
      <c r="MLB9" s="34"/>
      <c r="MLC9" s="390"/>
      <c r="MLD9" s="520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0"/>
      <c r="MLR9" s="34"/>
      <c r="MLS9" s="390"/>
      <c r="MLT9" s="520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0"/>
      <c r="MMH9" s="34"/>
      <c r="MMI9" s="390"/>
      <c r="MMJ9" s="520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0"/>
      <c r="MMX9" s="34"/>
      <c r="MMY9" s="390"/>
      <c r="MMZ9" s="520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0"/>
      <c r="MNN9" s="34"/>
      <c r="MNO9" s="390"/>
      <c r="MNP9" s="520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0"/>
      <c r="MOD9" s="34"/>
      <c r="MOE9" s="390"/>
      <c r="MOF9" s="520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0"/>
      <c r="MOT9" s="34"/>
      <c r="MOU9" s="390"/>
      <c r="MOV9" s="520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0"/>
      <c r="MPJ9" s="34"/>
      <c r="MPK9" s="390"/>
      <c r="MPL9" s="520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0"/>
      <c r="MPZ9" s="34"/>
      <c r="MQA9" s="390"/>
      <c r="MQB9" s="520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0"/>
      <c r="MQP9" s="34"/>
      <c r="MQQ9" s="390"/>
      <c r="MQR9" s="520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0"/>
      <c r="MRF9" s="34"/>
      <c r="MRG9" s="390"/>
      <c r="MRH9" s="520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0"/>
      <c r="MRV9" s="34"/>
      <c r="MRW9" s="390"/>
      <c r="MRX9" s="520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0"/>
      <c r="MSL9" s="34"/>
      <c r="MSM9" s="390"/>
      <c r="MSN9" s="520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0"/>
      <c r="MTB9" s="34"/>
      <c r="MTC9" s="390"/>
      <c r="MTD9" s="520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0"/>
      <c r="MTR9" s="34"/>
      <c r="MTS9" s="390"/>
      <c r="MTT9" s="520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0"/>
      <c r="MUH9" s="34"/>
      <c r="MUI9" s="390"/>
      <c r="MUJ9" s="520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0"/>
      <c r="MUX9" s="34"/>
      <c r="MUY9" s="390"/>
      <c r="MUZ9" s="520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0"/>
      <c r="MVN9" s="34"/>
      <c r="MVO9" s="390"/>
      <c r="MVP9" s="520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0"/>
      <c r="MWD9" s="34"/>
      <c r="MWE9" s="390"/>
      <c r="MWF9" s="520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0"/>
      <c r="MWT9" s="34"/>
      <c r="MWU9" s="390"/>
      <c r="MWV9" s="520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0"/>
      <c r="MXJ9" s="34"/>
      <c r="MXK9" s="390"/>
      <c r="MXL9" s="520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0"/>
      <c r="MXZ9" s="34"/>
      <c r="MYA9" s="390"/>
      <c r="MYB9" s="520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0"/>
      <c r="MYP9" s="34"/>
      <c r="MYQ9" s="390"/>
      <c r="MYR9" s="520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0"/>
      <c r="MZF9" s="34"/>
      <c r="MZG9" s="390"/>
      <c r="MZH9" s="520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0"/>
      <c r="MZV9" s="34"/>
      <c r="MZW9" s="390"/>
      <c r="MZX9" s="520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0"/>
      <c r="NAL9" s="34"/>
      <c r="NAM9" s="390"/>
      <c r="NAN9" s="520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0"/>
      <c r="NBB9" s="34"/>
      <c r="NBC9" s="390"/>
      <c r="NBD9" s="520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0"/>
      <c r="NBR9" s="34"/>
      <c r="NBS9" s="390"/>
      <c r="NBT9" s="520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0"/>
      <c r="NCH9" s="34"/>
      <c r="NCI9" s="390"/>
      <c r="NCJ9" s="520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0"/>
      <c r="NCX9" s="34"/>
      <c r="NCY9" s="390"/>
      <c r="NCZ9" s="520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0"/>
      <c r="NDN9" s="34"/>
      <c r="NDO9" s="390"/>
      <c r="NDP9" s="520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0"/>
      <c r="NED9" s="34"/>
      <c r="NEE9" s="390"/>
      <c r="NEF9" s="520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0"/>
      <c r="NET9" s="34"/>
      <c r="NEU9" s="390"/>
      <c r="NEV9" s="520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0"/>
      <c r="NFJ9" s="34"/>
      <c r="NFK9" s="390"/>
      <c r="NFL9" s="520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0"/>
      <c r="NFZ9" s="34"/>
      <c r="NGA9" s="390"/>
      <c r="NGB9" s="520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0"/>
      <c r="NGP9" s="34"/>
      <c r="NGQ9" s="390"/>
      <c r="NGR9" s="520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0"/>
      <c r="NHF9" s="34"/>
      <c r="NHG9" s="390"/>
      <c r="NHH9" s="520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0"/>
      <c r="NHV9" s="34"/>
      <c r="NHW9" s="390"/>
      <c r="NHX9" s="520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0"/>
      <c r="NIL9" s="34"/>
      <c r="NIM9" s="390"/>
      <c r="NIN9" s="520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0"/>
      <c r="NJB9" s="34"/>
      <c r="NJC9" s="390"/>
      <c r="NJD9" s="520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0"/>
      <c r="NJR9" s="34"/>
      <c r="NJS9" s="390"/>
      <c r="NJT9" s="520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0"/>
      <c r="NKH9" s="34"/>
      <c r="NKI9" s="390"/>
      <c r="NKJ9" s="520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0"/>
      <c r="NKX9" s="34"/>
      <c r="NKY9" s="390"/>
      <c r="NKZ9" s="520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0"/>
      <c r="NLN9" s="34"/>
      <c r="NLO9" s="390"/>
      <c r="NLP9" s="520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0"/>
      <c r="NMD9" s="34"/>
      <c r="NME9" s="390"/>
      <c r="NMF9" s="520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0"/>
      <c r="NMT9" s="34"/>
      <c r="NMU9" s="390"/>
      <c r="NMV9" s="520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0"/>
      <c r="NNJ9" s="34"/>
      <c r="NNK9" s="390"/>
      <c r="NNL9" s="520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0"/>
      <c r="NNZ9" s="34"/>
      <c r="NOA9" s="390"/>
      <c r="NOB9" s="520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0"/>
      <c r="NOP9" s="34"/>
      <c r="NOQ9" s="390"/>
      <c r="NOR9" s="520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0"/>
      <c r="NPF9" s="34"/>
      <c r="NPG9" s="390"/>
      <c r="NPH9" s="520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0"/>
      <c r="NPV9" s="34"/>
      <c r="NPW9" s="390"/>
      <c r="NPX9" s="520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0"/>
      <c r="NQL9" s="34"/>
      <c r="NQM9" s="390"/>
      <c r="NQN9" s="520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0"/>
      <c r="NRB9" s="34"/>
      <c r="NRC9" s="390"/>
      <c r="NRD9" s="520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0"/>
      <c r="NRR9" s="34"/>
      <c r="NRS9" s="390"/>
      <c r="NRT9" s="520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0"/>
      <c r="NSH9" s="34"/>
      <c r="NSI9" s="390"/>
      <c r="NSJ9" s="520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0"/>
      <c r="NSX9" s="34"/>
      <c r="NSY9" s="390"/>
      <c r="NSZ9" s="520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0"/>
      <c r="NTN9" s="34"/>
      <c r="NTO9" s="390"/>
      <c r="NTP9" s="520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0"/>
      <c r="NUD9" s="34"/>
      <c r="NUE9" s="390"/>
      <c r="NUF9" s="520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0"/>
      <c r="NUT9" s="34"/>
      <c r="NUU9" s="390"/>
      <c r="NUV9" s="520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0"/>
      <c r="NVJ9" s="34"/>
      <c r="NVK9" s="390"/>
      <c r="NVL9" s="520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0"/>
      <c r="NVZ9" s="34"/>
      <c r="NWA9" s="390"/>
      <c r="NWB9" s="520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0"/>
      <c r="NWP9" s="34"/>
      <c r="NWQ9" s="390"/>
      <c r="NWR9" s="520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0"/>
      <c r="NXF9" s="34"/>
      <c r="NXG9" s="390"/>
      <c r="NXH9" s="520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0"/>
      <c r="NXV9" s="34"/>
      <c r="NXW9" s="390"/>
      <c r="NXX9" s="520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0"/>
      <c r="NYL9" s="34"/>
      <c r="NYM9" s="390"/>
      <c r="NYN9" s="520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0"/>
      <c r="NZB9" s="34"/>
      <c r="NZC9" s="390"/>
      <c r="NZD9" s="520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0"/>
      <c r="NZR9" s="34"/>
      <c r="NZS9" s="390"/>
      <c r="NZT9" s="520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0"/>
      <c r="OAH9" s="34"/>
      <c r="OAI9" s="390"/>
      <c r="OAJ9" s="520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0"/>
      <c r="OAX9" s="34"/>
      <c r="OAY9" s="390"/>
      <c r="OAZ9" s="520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0"/>
      <c r="OBN9" s="34"/>
      <c r="OBO9" s="390"/>
      <c r="OBP9" s="520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0"/>
      <c r="OCD9" s="34"/>
      <c r="OCE9" s="390"/>
      <c r="OCF9" s="520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0"/>
      <c r="OCT9" s="34"/>
      <c r="OCU9" s="390"/>
      <c r="OCV9" s="520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0"/>
      <c r="ODJ9" s="34"/>
      <c r="ODK9" s="390"/>
      <c r="ODL9" s="520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0"/>
      <c r="ODZ9" s="34"/>
      <c r="OEA9" s="390"/>
      <c r="OEB9" s="520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0"/>
      <c r="OEP9" s="34"/>
      <c r="OEQ9" s="390"/>
      <c r="OER9" s="520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0"/>
      <c r="OFF9" s="34"/>
      <c r="OFG9" s="390"/>
      <c r="OFH9" s="520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0"/>
      <c r="OFV9" s="34"/>
      <c r="OFW9" s="390"/>
      <c r="OFX9" s="520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0"/>
      <c r="OGL9" s="34"/>
      <c r="OGM9" s="390"/>
      <c r="OGN9" s="520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0"/>
      <c r="OHB9" s="34"/>
      <c r="OHC9" s="390"/>
      <c r="OHD9" s="520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0"/>
      <c r="OHR9" s="34"/>
      <c r="OHS9" s="390"/>
      <c r="OHT9" s="520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0"/>
      <c r="OIH9" s="34"/>
      <c r="OII9" s="390"/>
      <c r="OIJ9" s="520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0"/>
      <c r="OIX9" s="34"/>
      <c r="OIY9" s="390"/>
      <c r="OIZ9" s="520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0"/>
      <c r="OJN9" s="34"/>
      <c r="OJO9" s="390"/>
      <c r="OJP9" s="520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0"/>
      <c r="OKD9" s="34"/>
      <c r="OKE9" s="390"/>
      <c r="OKF9" s="520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0"/>
      <c r="OKT9" s="34"/>
      <c r="OKU9" s="390"/>
      <c r="OKV9" s="520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0"/>
      <c r="OLJ9" s="34"/>
      <c r="OLK9" s="390"/>
      <c r="OLL9" s="520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0"/>
      <c r="OLZ9" s="34"/>
      <c r="OMA9" s="390"/>
      <c r="OMB9" s="520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0"/>
      <c r="OMP9" s="34"/>
      <c r="OMQ9" s="390"/>
      <c r="OMR9" s="520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0"/>
      <c r="ONF9" s="34"/>
      <c r="ONG9" s="390"/>
      <c r="ONH9" s="520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0"/>
      <c r="ONV9" s="34"/>
      <c r="ONW9" s="390"/>
      <c r="ONX9" s="520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0"/>
      <c r="OOL9" s="34"/>
      <c r="OOM9" s="390"/>
      <c r="OON9" s="520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0"/>
      <c r="OPB9" s="34"/>
      <c r="OPC9" s="390"/>
      <c r="OPD9" s="520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0"/>
      <c r="OPR9" s="34"/>
      <c r="OPS9" s="390"/>
      <c r="OPT9" s="520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0"/>
      <c r="OQH9" s="34"/>
      <c r="OQI9" s="390"/>
      <c r="OQJ9" s="520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0"/>
      <c r="OQX9" s="34"/>
      <c r="OQY9" s="390"/>
      <c r="OQZ9" s="520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0"/>
      <c r="ORN9" s="34"/>
      <c r="ORO9" s="390"/>
      <c r="ORP9" s="520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0"/>
      <c r="OSD9" s="34"/>
      <c r="OSE9" s="390"/>
      <c r="OSF9" s="520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0"/>
      <c r="OST9" s="34"/>
      <c r="OSU9" s="390"/>
      <c r="OSV9" s="520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0"/>
      <c r="OTJ9" s="34"/>
      <c r="OTK9" s="390"/>
      <c r="OTL9" s="520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0"/>
      <c r="OTZ9" s="34"/>
      <c r="OUA9" s="390"/>
      <c r="OUB9" s="520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0"/>
      <c r="OUP9" s="34"/>
      <c r="OUQ9" s="390"/>
      <c r="OUR9" s="520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0"/>
      <c r="OVF9" s="34"/>
      <c r="OVG9" s="390"/>
      <c r="OVH9" s="520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0"/>
      <c r="OVV9" s="34"/>
      <c r="OVW9" s="390"/>
      <c r="OVX9" s="520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0"/>
      <c r="OWL9" s="34"/>
      <c r="OWM9" s="390"/>
      <c r="OWN9" s="520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0"/>
      <c r="OXB9" s="34"/>
      <c r="OXC9" s="390"/>
      <c r="OXD9" s="520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0"/>
      <c r="OXR9" s="34"/>
      <c r="OXS9" s="390"/>
      <c r="OXT9" s="520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0"/>
      <c r="OYH9" s="34"/>
      <c r="OYI9" s="390"/>
      <c r="OYJ9" s="520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0"/>
      <c r="OYX9" s="34"/>
      <c r="OYY9" s="390"/>
      <c r="OYZ9" s="520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0"/>
      <c r="OZN9" s="34"/>
      <c r="OZO9" s="390"/>
      <c r="OZP9" s="520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0"/>
      <c r="PAD9" s="34"/>
      <c r="PAE9" s="390"/>
      <c r="PAF9" s="520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0"/>
      <c r="PAT9" s="34"/>
      <c r="PAU9" s="390"/>
      <c r="PAV9" s="520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0"/>
      <c r="PBJ9" s="34"/>
      <c r="PBK9" s="390"/>
      <c r="PBL9" s="520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0"/>
      <c r="PBZ9" s="34"/>
      <c r="PCA9" s="390"/>
      <c r="PCB9" s="520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0"/>
      <c r="PCP9" s="34"/>
      <c r="PCQ9" s="390"/>
      <c r="PCR9" s="520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0"/>
      <c r="PDF9" s="34"/>
      <c r="PDG9" s="390"/>
      <c r="PDH9" s="520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0"/>
      <c r="PDV9" s="34"/>
      <c r="PDW9" s="390"/>
      <c r="PDX9" s="520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0"/>
      <c r="PEL9" s="34"/>
      <c r="PEM9" s="390"/>
      <c r="PEN9" s="520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0"/>
      <c r="PFB9" s="34"/>
      <c r="PFC9" s="390"/>
      <c r="PFD9" s="520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0"/>
      <c r="PFR9" s="34"/>
      <c r="PFS9" s="390"/>
      <c r="PFT9" s="520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0"/>
      <c r="PGH9" s="34"/>
      <c r="PGI9" s="390"/>
      <c r="PGJ9" s="520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0"/>
      <c r="PGX9" s="34"/>
      <c r="PGY9" s="390"/>
      <c r="PGZ9" s="520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0"/>
      <c r="PHN9" s="34"/>
      <c r="PHO9" s="390"/>
      <c r="PHP9" s="520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0"/>
      <c r="PID9" s="34"/>
      <c r="PIE9" s="390"/>
      <c r="PIF9" s="520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0"/>
      <c r="PIT9" s="34"/>
      <c r="PIU9" s="390"/>
      <c r="PIV9" s="520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0"/>
      <c r="PJJ9" s="34"/>
      <c r="PJK9" s="390"/>
      <c r="PJL9" s="520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0"/>
      <c r="PJZ9" s="34"/>
      <c r="PKA9" s="390"/>
      <c r="PKB9" s="520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0"/>
      <c r="PKP9" s="34"/>
      <c r="PKQ9" s="390"/>
      <c r="PKR9" s="520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0"/>
      <c r="PLF9" s="34"/>
      <c r="PLG9" s="390"/>
      <c r="PLH9" s="520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0"/>
      <c r="PLV9" s="34"/>
      <c r="PLW9" s="390"/>
      <c r="PLX9" s="520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0"/>
      <c r="PML9" s="34"/>
      <c r="PMM9" s="390"/>
      <c r="PMN9" s="520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0"/>
      <c r="PNB9" s="34"/>
      <c r="PNC9" s="390"/>
      <c r="PND9" s="520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0"/>
      <c r="PNR9" s="34"/>
      <c r="PNS9" s="390"/>
      <c r="PNT9" s="520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0"/>
      <c r="POH9" s="34"/>
      <c r="POI9" s="390"/>
      <c r="POJ9" s="520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0"/>
      <c r="POX9" s="34"/>
      <c r="POY9" s="390"/>
      <c r="POZ9" s="520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0"/>
      <c r="PPN9" s="34"/>
      <c r="PPO9" s="390"/>
      <c r="PPP9" s="520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0"/>
      <c r="PQD9" s="34"/>
      <c r="PQE9" s="390"/>
      <c r="PQF9" s="520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0"/>
      <c r="PQT9" s="34"/>
      <c r="PQU9" s="390"/>
      <c r="PQV9" s="520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0"/>
      <c r="PRJ9" s="34"/>
      <c r="PRK9" s="390"/>
      <c r="PRL9" s="520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0"/>
      <c r="PRZ9" s="34"/>
      <c r="PSA9" s="390"/>
      <c r="PSB9" s="520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0"/>
      <c r="PSP9" s="34"/>
      <c r="PSQ9" s="390"/>
      <c r="PSR9" s="520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0"/>
      <c r="PTF9" s="34"/>
      <c r="PTG9" s="390"/>
      <c r="PTH9" s="520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0"/>
      <c r="PTV9" s="34"/>
      <c r="PTW9" s="390"/>
      <c r="PTX9" s="520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0"/>
      <c r="PUL9" s="34"/>
      <c r="PUM9" s="390"/>
      <c r="PUN9" s="520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0"/>
      <c r="PVB9" s="34"/>
      <c r="PVC9" s="390"/>
      <c r="PVD9" s="520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0"/>
      <c r="PVR9" s="34"/>
      <c r="PVS9" s="390"/>
      <c r="PVT9" s="520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0"/>
      <c r="PWH9" s="34"/>
      <c r="PWI9" s="390"/>
      <c r="PWJ9" s="520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0"/>
      <c r="PWX9" s="34"/>
      <c r="PWY9" s="390"/>
      <c r="PWZ9" s="520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0"/>
      <c r="PXN9" s="34"/>
      <c r="PXO9" s="390"/>
      <c r="PXP9" s="520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0"/>
      <c r="PYD9" s="34"/>
      <c r="PYE9" s="390"/>
      <c r="PYF9" s="520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0"/>
      <c r="PYT9" s="34"/>
      <c r="PYU9" s="390"/>
      <c r="PYV9" s="520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0"/>
      <c r="PZJ9" s="34"/>
      <c r="PZK9" s="390"/>
      <c r="PZL9" s="520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0"/>
      <c r="PZZ9" s="34"/>
      <c r="QAA9" s="390"/>
      <c r="QAB9" s="520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0"/>
      <c r="QAP9" s="34"/>
      <c r="QAQ9" s="390"/>
      <c r="QAR9" s="520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0"/>
      <c r="QBF9" s="34"/>
      <c r="QBG9" s="390"/>
      <c r="QBH9" s="520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0"/>
      <c r="QBV9" s="34"/>
      <c r="QBW9" s="390"/>
      <c r="QBX9" s="520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0"/>
      <c r="QCL9" s="34"/>
      <c r="QCM9" s="390"/>
      <c r="QCN9" s="520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0"/>
      <c r="QDB9" s="34"/>
      <c r="QDC9" s="390"/>
      <c r="QDD9" s="520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0"/>
      <c r="QDR9" s="34"/>
      <c r="QDS9" s="390"/>
      <c r="QDT9" s="520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0"/>
      <c r="QEH9" s="34"/>
      <c r="QEI9" s="390"/>
      <c r="QEJ9" s="520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0"/>
      <c r="QEX9" s="34"/>
      <c r="QEY9" s="390"/>
      <c r="QEZ9" s="520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0"/>
      <c r="QFN9" s="34"/>
      <c r="QFO9" s="390"/>
      <c r="QFP9" s="520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0"/>
      <c r="QGD9" s="34"/>
      <c r="QGE9" s="390"/>
      <c r="QGF9" s="520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0"/>
      <c r="QGT9" s="34"/>
      <c r="QGU9" s="390"/>
      <c r="QGV9" s="520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0"/>
      <c r="QHJ9" s="34"/>
      <c r="QHK9" s="390"/>
      <c r="QHL9" s="520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0"/>
      <c r="QHZ9" s="34"/>
      <c r="QIA9" s="390"/>
      <c r="QIB9" s="520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0"/>
      <c r="QIP9" s="34"/>
      <c r="QIQ9" s="390"/>
      <c r="QIR9" s="520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0"/>
      <c r="QJF9" s="34"/>
      <c r="QJG9" s="390"/>
      <c r="QJH9" s="520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0"/>
      <c r="QJV9" s="34"/>
      <c r="QJW9" s="390"/>
      <c r="QJX9" s="520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0"/>
      <c r="QKL9" s="34"/>
      <c r="QKM9" s="390"/>
      <c r="QKN9" s="520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0"/>
      <c r="QLB9" s="34"/>
      <c r="QLC9" s="390"/>
      <c r="QLD9" s="520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0"/>
      <c r="QLR9" s="34"/>
      <c r="QLS9" s="390"/>
      <c r="QLT9" s="520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0"/>
      <c r="QMH9" s="34"/>
      <c r="QMI9" s="390"/>
      <c r="QMJ9" s="520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0"/>
      <c r="QMX9" s="34"/>
      <c r="QMY9" s="390"/>
      <c r="QMZ9" s="520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0"/>
      <c r="QNN9" s="34"/>
      <c r="QNO9" s="390"/>
      <c r="QNP9" s="520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0"/>
      <c r="QOD9" s="34"/>
      <c r="QOE9" s="390"/>
      <c r="QOF9" s="520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0"/>
      <c r="QOT9" s="34"/>
      <c r="QOU9" s="390"/>
      <c r="QOV9" s="520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0"/>
      <c r="QPJ9" s="34"/>
      <c r="QPK9" s="390"/>
      <c r="QPL9" s="520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0"/>
      <c r="QPZ9" s="34"/>
      <c r="QQA9" s="390"/>
      <c r="QQB9" s="520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0"/>
      <c r="QQP9" s="34"/>
      <c r="QQQ9" s="390"/>
      <c r="QQR9" s="520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0"/>
      <c r="QRF9" s="34"/>
      <c r="QRG9" s="390"/>
      <c r="QRH9" s="520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0"/>
      <c r="QRV9" s="34"/>
      <c r="QRW9" s="390"/>
      <c r="QRX9" s="520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0"/>
      <c r="QSL9" s="34"/>
      <c r="QSM9" s="390"/>
      <c r="QSN9" s="520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0"/>
      <c r="QTB9" s="34"/>
      <c r="QTC9" s="390"/>
      <c r="QTD9" s="520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0"/>
      <c r="QTR9" s="34"/>
      <c r="QTS9" s="390"/>
      <c r="QTT9" s="520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0"/>
      <c r="QUH9" s="34"/>
      <c r="QUI9" s="390"/>
      <c r="QUJ9" s="520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0"/>
      <c r="QUX9" s="34"/>
      <c r="QUY9" s="390"/>
      <c r="QUZ9" s="520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0"/>
      <c r="QVN9" s="34"/>
      <c r="QVO9" s="390"/>
      <c r="QVP9" s="520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0"/>
      <c r="QWD9" s="34"/>
      <c r="QWE9" s="390"/>
      <c r="QWF9" s="520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0"/>
      <c r="QWT9" s="34"/>
      <c r="QWU9" s="390"/>
      <c r="QWV9" s="520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0"/>
      <c r="QXJ9" s="34"/>
      <c r="QXK9" s="390"/>
      <c r="QXL9" s="520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0"/>
      <c r="QXZ9" s="34"/>
      <c r="QYA9" s="390"/>
      <c r="QYB9" s="520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0"/>
      <c r="QYP9" s="34"/>
      <c r="QYQ9" s="390"/>
      <c r="QYR9" s="520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0"/>
      <c r="QZF9" s="34"/>
      <c r="QZG9" s="390"/>
      <c r="QZH9" s="520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0"/>
      <c r="QZV9" s="34"/>
      <c r="QZW9" s="390"/>
      <c r="QZX9" s="520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0"/>
      <c r="RAL9" s="34"/>
      <c r="RAM9" s="390"/>
      <c r="RAN9" s="520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0"/>
      <c r="RBB9" s="34"/>
      <c r="RBC9" s="390"/>
      <c r="RBD9" s="520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0"/>
      <c r="RBR9" s="34"/>
      <c r="RBS9" s="390"/>
      <c r="RBT9" s="520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0"/>
      <c r="RCH9" s="34"/>
      <c r="RCI9" s="390"/>
      <c r="RCJ9" s="520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0"/>
      <c r="RCX9" s="34"/>
      <c r="RCY9" s="390"/>
      <c r="RCZ9" s="520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0"/>
      <c r="RDN9" s="34"/>
      <c r="RDO9" s="390"/>
      <c r="RDP9" s="520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0"/>
      <c r="RED9" s="34"/>
      <c r="REE9" s="390"/>
      <c r="REF9" s="520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0"/>
      <c r="RET9" s="34"/>
      <c r="REU9" s="390"/>
      <c r="REV9" s="520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0"/>
      <c r="RFJ9" s="34"/>
      <c r="RFK9" s="390"/>
      <c r="RFL9" s="520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0"/>
      <c r="RFZ9" s="34"/>
      <c r="RGA9" s="390"/>
      <c r="RGB9" s="520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0"/>
      <c r="RGP9" s="34"/>
      <c r="RGQ9" s="390"/>
      <c r="RGR9" s="520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0"/>
      <c r="RHF9" s="34"/>
      <c r="RHG9" s="390"/>
      <c r="RHH9" s="520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0"/>
      <c r="RHV9" s="34"/>
      <c r="RHW9" s="390"/>
      <c r="RHX9" s="520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0"/>
      <c r="RIL9" s="34"/>
      <c r="RIM9" s="390"/>
      <c r="RIN9" s="520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0"/>
      <c r="RJB9" s="34"/>
      <c r="RJC9" s="390"/>
      <c r="RJD9" s="520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0"/>
      <c r="RJR9" s="34"/>
      <c r="RJS9" s="390"/>
      <c r="RJT9" s="520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0"/>
      <c r="RKH9" s="34"/>
      <c r="RKI9" s="390"/>
      <c r="RKJ9" s="520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0"/>
      <c r="RKX9" s="34"/>
      <c r="RKY9" s="390"/>
      <c r="RKZ9" s="520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0"/>
      <c r="RLN9" s="34"/>
      <c r="RLO9" s="390"/>
      <c r="RLP9" s="520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0"/>
      <c r="RMD9" s="34"/>
      <c r="RME9" s="390"/>
      <c r="RMF9" s="520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0"/>
      <c r="RMT9" s="34"/>
      <c r="RMU9" s="390"/>
      <c r="RMV9" s="520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0"/>
      <c r="RNJ9" s="34"/>
      <c r="RNK9" s="390"/>
      <c r="RNL9" s="520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0"/>
      <c r="RNZ9" s="34"/>
      <c r="ROA9" s="390"/>
      <c r="ROB9" s="520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0"/>
      <c r="ROP9" s="34"/>
      <c r="ROQ9" s="390"/>
      <c r="ROR9" s="520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0"/>
      <c r="RPF9" s="34"/>
      <c r="RPG9" s="390"/>
      <c r="RPH9" s="520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0"/>
      <c r="RPV9" s="34"/>
      <c r="RPW9" s="390"/>
      <c r="RPX9" s="520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0"/>
      <c r="RQL9" s="34"/>
      <c r="RQM9" s="390"/>
      <c r="RQN9" s="520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0"/>
      <c r="RRB9" s="34"/>
      <c r="RRC9" s="390"/>
      <c r="RRD9" s="520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0"/>
      <c r="RRR9" s="34"/>
      <c r="RRS9" s="390"/>
      <c r="RRT9" s="520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0"/>
      <c r="RSH9" s="34"/>
      <c r="RSI9" s="390"/>
      <c r="RSJ9" s="520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0"/>
      <c r="RSX9" s="34"/>
      <c r="RSY9" s="390"/>
      <c r="RSZ9" s="520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0"/>
      <c r="RTN9" s="34"/>
      <c r="RTO9" s="390"/>
      <c r="RTP9" s="520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0"/>
      <c r="RUD9" s="34"/>
      <c r="RUE9" s="390"/>
      <c r="RUF9" s="520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0"/>
      <c r="RUT9" s="34"/>
      <c r="RUU9" s="390"/>
      <c r="RUV9" s="520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0"/>
      <c r="RVJ9" s="34"/>
      <c r="RVK9" s="390"/>
      <c r="RVL9" s="520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0"/>
      <c r="RVZ9" s="34"/>
      <c r="RWA9" s="390"/>
      <c r="RWB9" s="520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0"/>
      <c r="RWP9" s="34"/>
      <c r="RWQ9" s="390"/>
      <c r="RWR9" s="520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0"/>
      <c r="RXF9" s="34"/>
      <c r="RXG9" s="390"/>
      <c r="RXH9" s="520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0"/>
      <c r="RXV9" s="34"/>
      <c r="RXW9" s="390"/>
      <c r="RXX9" s="520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0"/>
      <c r="RYL9" s="34"/>
      <c r="RYM9" s="390"/>
      <c r="RYN9" s="520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0"/>
      <c r="RZB9" s="34"/>
      <c r="RZC9" s="390"/>
      <c r="RZD9" s="520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0"/>
      <c r="RZR9" s="34"/>
      <c r="RZS9" s="390"/>
      <c r="RZT9" s="520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0"/>
      <c r="SAH9" s="34"/>
      <c r="SAI9" s="390"/>
      <c r="SAJ9" s="520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0"/>
      <c r="SAX9" s="34"/>
      <c r="SAY9" s="390"/>
      <c r="SAZ9" s="520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0"/>
      <c r="SBN9" s="34"/>
      <c r="SBO9" s="390"/>
      <c r="SBP9" s="520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0"/>
      <c r="SCD9" s="34"/>
      <c r="SCE9" s="390"/>
      <c r="SCF9" s="520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0"/>
      <c r="SCT9" s="34"/>
      <c r="SCU9" s="390"/>
      <c r="SCV9" s="520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0"/>
      <c r="SDJ9" s="34"/>
      <c r="SDK9" s="390"/>
      <c r="SDL9" s="520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0"/>
      <c r="SDZ9" s="34"/>
      <c r="SEA9" s="390"/>
      <c r="SEB9" s="520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0"/>
      <c r="SEP9" s="34"/>
      <c r="SEQ9" s="390"/>
      <c r="SER9" s="520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0"/>
      <c r="SFF9" s="34"/>
      <c r="SFG9" s="390"/>
      <c r="SFH9" s="520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0"/>
      <c r="SFV9" s="34"/>
      <c r="SFW9" s="390"/>
      <c r="SFX9" s="520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0"/>
      <c r="SGL9" s="34"/>
      <c r="SGM9" s="390"/>
      <c r="SGN9" s="520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0"/>
      <c r="SHB9" s="34"/>
      <c r="SHC9" s="390"/>
      <c r="SHD9" s="520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0"/>
      <c r="SHR9" s="34"/>
      <c r="SHS9" s="390"/>
      <c r="SHT9" s="520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0"/>
      <c r="SIH9" s="34"/>
      <c r="SII9" s="390"/>
      <c r="SIJ9" s="520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0"/>
      <c r="SIX9" s="34"/>
      <c r="SIY9" s="390"/>
      <c r="SIZ9" s="520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0"/>
      <c r="SJN9" s="34"/>
      <c r="SJO9" s="390"/>
      <c r="SJP9" s="520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0"/>
      <c r="SKD9" s="34"/>
      <c r="SKE9" s="390"/>
      <c r="SKF9" s="520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0"/>
      <c r="SKT9" s="34"/>
      <c r="SKU9" s="390"/>
      <c r="SKV9" s="520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0"/>
      <c r="SLJ9" s="34"/>
      <c r="SLK9" s="390"/>
      <c r="SLL9" s="520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0"/>
      <c r="SLZ9" s="34"/>
      <c r="SMA9" s="390"/>
      <c r="SMB9" s="520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0"/>
      <c r="SMP9" s="34"/>
      <c r="SMQ9" s="390"/>
      <c r="SMR9" s="520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0"/>
      <c r="SNF9" s="34"/>
      <c r="SNG9" s="390"/>
      <c r="SNH9" s="520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0"/>
      <c r="SNV9" s="34"/>
      <c r="SNW9" s="390"/>
      <c r="SNX9" s="520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0"/>
      <c r="SOL9" s="34"/>
      <c r="SOM9" s="390"/>
      <c r="SON9" s="520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0"/>
      <c r="SPB9" s="34"/>
      <c r="SPC9" s="390"/>
      <c r="SPD9" s="520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0"/>
      <c r="SPR9" s="34"/>
      <c r="SPS9" s="390"/>
      <c r="SPT9" s="520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0"/>
      <c r="SQH9" s="34"/>
      <c r="SQI9" s="390"/>
      <c r="SQJ9" s="520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0"/>
      <c r="SQX9" s="34"/>
      <c r="SQY9" s="390"/>
      <c r="SQZ9" s="520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0"/>
      <c r="SRN9" s="34"/>
      <c r="SRO9" s="390"/>
      <c r="SRP9" s="520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0"/>
      <c r="SSD9" s="34"/>
      <c r="SSE9" s="390"/>
      <c r="SSF9" s="520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0"/>
      <c r="SST9" s="34"/>
      <c r="SSU9" s="390"/>
      <c r="SSV9" s="520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0"/>
      <c r="STJ9" s="34"/>
      <c r="STK9" s="390"/>
      <c r="STL9" s="520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0"/>
      <c r="STZ9" s="34"/>
      <c r="SUA9" s="390"/>
      <c r="SUB9" s="520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0"/>
      <c r="SUP9" s="34"/>
      <c r="SUQ9" s="390"/>
      <c r="SUR9" s="520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0"/>
      <c r="SVF9" s="34"/>
      <c r="SVG9" s="390"/>
      <c r="SVH9" s="520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0"/>
      <c r="SVV9" s="34"/>
      <c r="SVW9" s="390"/>
      <c r="SVX9" s="520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0"/>
      <c r="SWL9" s="34"/>
      <c r="SWM9" s="390"/>
      <c r="SWN9" s="520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0"/>
      <c r="SXB9" s="34"/>
      <c r="SXC9" s="390"/>
      <c r="SXD9" s="520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0"/>
      <c r="SXR9" s="34"/>
      <c r="SXS9" s="390"/>
      <c r="SXT9" s="520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0"/>
      <c r="SYH9" s="34"/>
      <c r="SYI9" s="390"/>
      <c r="SYJ9" s="520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0"/>
      <c r="SYX9" s="34"/>
      <c r="SYY9" s="390"/>
      <c r="SYZ9" s="520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0"/>
      <c r="SZN9" s="34"/>
      <c r="SZO9" s="390"/>
      <c r="SZP9" s="520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0"/>
      <c r="TAD9" s="34"/>
      <c r="TAE9" s="390"/>
      <c r="TAF9" s="520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0"/>
      <c r="TAT9" s="34"/>
      <c r="TAU9" s="390"/>
      <c r="TAV9" s="520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0"/>
      <c r="TBJ9" s="34"/>
      <c r="TBK9" s="390"/>
      <c r="TBL9" s="520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0"/>
      <c r="TBZ9" s="34"/>
      <c r="TCA9" s="390"/>
      <c r="TCB9" s="520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0"/>
      <c r="TCP9" s="34"/>
      <c r="TCQ9" s="390"/>
      <c r="TCR9" s="520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0"/>
      <c r="TDF9" s="34"/>
      <c r="TDG9" s="390"/>
      <c r="TDH9" s="520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0"/>
      <c r="TDV9" s="34"/>
      <c r="TDW9" s="390"/>
      <c r="TDX9" s="520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0"/>
      <c r="TEL9" s="34"/>
      <c r="TEM9" s="390"/>
      <c r="TEN9" s="520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0"/>
      <c r="TFB9" s="34"/>
      <c r="TFC9" s="390"/>
      <c r="TFD9" s="520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0"/>
      <c r="TFR9" s="34"/>
      <c r="TFS9" s="390"/>
      <c r="TFT9" s="520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0"/>
      <c r="TGH9" s="34"/>
      <c r="TGI9" s="390"/>
      <c r="TGJ9" s="520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0"/>
      <c r="TGX9" s="34"/>
      <c r="TGY9" s="390"/>
      <c r="TGZ9" s="520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0"/>
      <c r="THN9" s="34"/>
      <c r="THO9" s="390"/>
      <c r="THP9" s="520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0"/>
      <c r="TID9" s="34"/>
      <c r="TIE9" s="390"/>
      <c r="TIF9" s="520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0"/>
      <c r="TIT9" s="34"/>
      <c r="TIU9" s="390"/>
      <c r="TIV9" s="520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0"/>
      <c r="TJJ9" s="34"/>
      <c r="TJK9" s="390"/>
      <c r="TJL9" s="520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0"/>
      <c r="TJZ9" s="34"/>
      <c r="TKA9" s="390"/>
      <c r="TKB9" s="520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0"/>
      <c r="TKP9" s="34"/>
      <c r="TKQ9" s="390"/>
      <c r="TKR9" s="520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0"/>
      <c r="TLF9" s="34"/>
      <c r="TLG9" s="390"/>
      <c r="TLH9" s="520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0"/>
      <c r="TLV9" s="34"/>
      <c r="TLW9" s="390"/>
      <c r="TLX9" s="520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0"/>
      <c r="TML9" s="34"/>
      <c r="TMM9" s="390"/>
      <c r="TMN9" s="520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0"/>
      <c r="TNB9" s="34"/>
      <c r="TNC9" s="390"/>
      <c r="TND9" s="520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0"/>
      <c r="TNR9" s="34"/>
      <c r="TNS9" s="390"/>
      <c r="TNT9" s="520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0"/>
      <c r="TOH9" s="34"/>
      <c r="TOI9" s="390"/>
      <c r="TOJ9" s="520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0"/>
      <c r="TOX9" s="34"/>
      <c r="TOY9" s="390"/>
      <c r="TOZ9" s="520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0"/>
      <c r="TPN9" s="34"/>
      <c r="TPO9" s="390"/>
      <c r="TPP9" s="520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0"/>
      <c r="TQD9" s="34"/>
      <c r="TQE9" s="390"/>
      <c r="TQF9" s="520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0"/>
      <c r="TQT9" s="34"/>
      <c r="TQU9" s="390"/>
      <c r="TQV9" s="520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0"/>
      <c r="TRJ9" s="34"/>
      <c r="TRK9" s="390"/>
      <c r="TRL9" s="520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0"/>
      <c r="TRZ9" s="34"/>
      <c r="TSA9" s="390"/>
      <c r="TSB9" s="520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0"/>
      <c r="TSP9" s="34"/>
      <c r="TSQ9" s="390"/>
      <c r="TSR9" s="520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0"/>
      <c r="TTF9" s="34"/>
      <c r="TTG9" s="390"/>
      <c r="TTH9" s="520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0"/>
      <c r="TTV9" s="34"/>
      <c r="TTW9" s="390"/>
      <c r="TTX9" s="520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0"/>
      <c r="TUL9" s="34"/>
      <c r="TUM9" s="390"/>
      <c r="TUN9" s="520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0"/>
      <c r="TVB9" s="34"/>
      <c r="TVC9" s="390"/>
      <c r="TVD9" s="520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0"/>
      <c r="TVR9" s="34"/>
      <c r="TVS9" s="390"/>
      <c r="TVT9" s="520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0"/>
      <c r="TWH9" s="34"/>
      <c r="TWI9" s="390"/>
      <c r="TWJ9" s="520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0"/>
      <c r="TWX9" s="34"/>
      <c r="TWY9" s="390"/>
      <c r="TWZ9" s="520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0"/>
      <c r="TXN9" s="34"/>
      <c r="TXO9" s="390"/>
      <c r="TXP9" s="520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0"/>
      <c r="TYD9" s="34"/>
      <c r="TYE9" s="390"/>
      <c r="TYF9" s="520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0"/>
      <c r="TYT9" s="34"/>
      <c r="TYU9" s="390"/>
      <c r="TYV9" s="520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0"/>
      <c r="TZJ9" s="34"/>
      <c r="TZK9" s="390"/>
      <c r="TZL9" s="520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0"/>
      <c r="TZZ9" s="34"/>
      <c r="UAA9" s="390"/>
      <c r="UAB9" s="520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0"/>
      <c r="UAP9" s="34"/>
      <c r="UAQ9" s="390"/>
      <c r="UAR9" s="520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0"/>
      <c r="UBF9" s="34"/>
      <c r="UBG9" s="390"/>
      <c r="UBH9" s="520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0"/>
      <c r="UBV9" s="34"/>
      <c r="UBW9" s="390"/>
      <c r="UBX9" s="520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0"/>
      <c r="UCL9" s="34"/>
      <c r="UCM9" s="390"/>
      <c r="UCN9" s="520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0"/>
      <c r="UDB9" s="34"/>
      <c r="UDC9" s="390"/>
      <c r="UDD9" s="520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0"/>
      <c r="UDR9" s="34"/>
      <c r="UDS9" s="390"/>
      <c r="UDT9" s="520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0"/>
      <c r="UEH9" s="34"/>
      <c r="UEI9" s="390"/>
      <c r="UEJ9" s="520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0"/>
      <c r="UEX9" s="34"/>
      <c r="UEY9" s="390"/>
      <c r="UEZ9" s="520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0"/>
      <c r="UFN9" s="34"/>
      <c r="UFO9" s="390"/>
      <c r="UFP9" s="520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0"/>
      <c r="UGD9" s="34"/>
      <c r="UGE9" s="390"/>
      <c r="UGF9" s="520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0"/>
      <c r="UGT9" s="34"/>
      <c r="UGU9" s="390"/>
      <c r="UGV9" s="520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0"/>
      <c r="UHJ9" s="34"/>
      <c r="UHK9" s="390"/>
      <c r="UHL9" s="520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0"/>
      <c r="UHZ9" s="34"/>
      <c r="UIA9" s="390"/>
      <c r="UIB9" s="520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0"/>
      <c r="UIP9" s="34"/>
      <c r="UIQ9" s="390"/>
      <c r="UIR9" s="520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0"/>
      <c r="UJF9" s="34"/>
      <c r="UJG9" s="390"/>
      <c r="UJH9" s="520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0"/>
      <c r="UJV9" s="34"/>
      <c r="UJW9" s="390"/>
      <c r="UJX9" s="520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0"/>
      <c r="UKL9" s="34"/>
      <c r="UKM9" s="390"/>
      <c r="UKN9" s="520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0"/>
      <c r="ULB9" s="34"/>
      <c r="ULC9" s="390"/>
      <c r="ULD9" s="520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0"/>
      <c r="ULR9" s="34"/>
      <c r="ULS9" s="390"/>
      <c r="ULT9" s="520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0"/>
      <c r="UMH9" s="34"/>
      <c r="UMI9" s="390"/>
      <c r="UMJ9" s="520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0"/>
      <c r="UMX9" s="34"/>
      <c r="UMY9" s="390"/>
      <c r="UMZ9" s="520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0"/>
      <c r="UNN9" s="34"/>
      <c r="UNO9" s="390"/>
      <c r="UNP9" s="520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0"/>
      <c r="UOD9" s="34"/>
      <c r="UOE9" s="390"/>
      <c r="UOF9" s="520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0"/>
      <c r="UOT9" s="34"/>
      <c r="UOU9" s="390"/>
      <c r="UOV9" s="520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0"/>
      <c r="UPJ9" s="34"/>
      <c r="UPK9" s="390"/>
      <c r="UPL9" s="520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0"/>
      <c r="UPZ9" s="34"/>
      <c r="UQA9" s="390"/>
      <c r="UQB9" s="520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0"/>
      <c r="UQP9" s="34"/>
      <c r="UQQ9" s="390"/>
      <c r="UQR9" s="520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0"/>
      <c r="URF9" s="34"/>
      <c r="URG9" s="390"/>
      <c r="URH9" s="520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0"/>
      <c r="URV9" s="34"/>
      <c r="URW9" s="390"/>
      <c r="URX9" s="520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0"/>
      <c r="USL9" s="34"/>
      <c r="USM9" s="390"/>
      <c r="USN9" s="520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0"/>
      <c r="UTB9" s="34"/>
      <c r="UTC9" s="390"/>
      <c r="UTD9" s="520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0"/>
      <c r="UTR9" s="34"/>
      <c r="UTS9" s="390"/>
      <c r="UTT9" s="520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0"/>
      <c r="UUH9" s="34"/>
      <c r="UUI9" s="390"/>
      <c r="UUJ9" s="520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0"/>
      <c r="UUX9" s="34"/>
      <c r="UUY9" s="390"/>
      <c r="UUZ9" s="520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0"/>
      <c r="UVN9" s="34"/>
      <c r="UVO9" s="390"/>
      <c r="UVP9" s="520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0"/>
      <c r="UWD9" s="34"/>
      <c r="UWE9" s="390"/>
      <c r="UWF9" s="520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0"/>
      <c r="UWT9" s="34"/>
      <c r="UWU9" s="390"/>
      <c r="UWV9" s="520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0"/>
      <c r="UXJ9" s="34"/>
      <c r="UXK9" s="390"/>
      <c r="UXL9" s="520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0"/>
      <c r="UXZ9" s="34"/>
      <c r="UYA9" s="390"/>
      <c r="UYB9" s="520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0"/>
      <c r="UYP9" s="34"/>
      <c r="UYQ9" s="390"/>
      <c r="UYR9" s="520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0"/>
      <c r="UZF9" s="34"/>
      <c r="UZG9" s="390"/>
      <c r="UZH9" s="520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0"/>
      <c r="UZV9" s="34"/>
      <c r="UZW9" s="390"/>
      <c r="UZX9" s="520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0"/>
      <c r="VAL9" s="34"/>
      <c r="VAM9" s="390"/>
      <c r="VAN9" s="520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0"/>
      <c r="VBB9" s="34"/>
      <c r="VBC9" s="390"/>
      <c r="VBD9" s="520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0"/>
      <c r="VBR9" s="34"/>
      <c r="VBS9" s="390"/>
      <c r="VBT9" s="520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0"/>
      <c r="VCH9" s="34"/>
      <c r="VCI9" s="390"/>
      <c r="VCJ9" s="520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0"/>
      <c r="VCX9" s="34"/>
      <c r="VCY9" s="390"/>
      <c r="VCZ9" s="520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0"/>
      <c r="VDN9" s="34"/>
      <c r="VDO9" s="390"/>
      <c r="VDP9" s="520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0"/>
      <c r="VED9" s="34"/>
      <c r="VEE9" s="390"/>
      <c r="VEF9" s="520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0"/>
      <c r="VET9" s="34"/>
      <c r="VEU9" s="390"/>
      <c r="VEV9" s="520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0"/>
      <c r="VFJ9" s="34"/>
      <c r="VFK9" s="390"/>
      <c r="VFL9" s="520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0"/>
      <c r="VFZ9" s="34"/>
      <c r="VGA9" s="390"/>
      <c r="VGB9" s="520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0"/>
      <c r="VGP9" s="34"/>
      <c r="VGQ9" s="390"/>
      <c r="VGR9" s="520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0"/>
      <c r="VHF9" s="34"/>
      <c r="VHG9" s="390"/>
      <c r="VHH9" s="520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0"/>
      <c r="VHV9" s="34"/>
      <c r="VHW9" s="390"/>
      <c r="VHX9" s="520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0"/>
      <c r="VIL9" s="34"/>
      <c r="VIM9" s="390"/>
      <c r="VIN9" s="520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0"/>
      <c r="VJB9" s="34"/>
      <c r="VJC9" s="390"/>
      <c r="VJD9" s="520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0"/>
      <c r="VJR9" s="34"/>
      <c r="VJS9" s="390"/>
      <c r="VJT9" s="520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0"/>
      <c r="VKH9" s="34"/>
      <c r="VKI9" s="390"/>
      <c r="VKJ9" s="520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0"/>
      <c r="VKX9" s="34"/>
      <c r="VKY9" s="390"/>
      <c r="VKZ9" s="520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0"/>
      <c r="VLN9" s="34"/>
      <c r="VLO9" s="390"/>
      <c r="VLP9" s="520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0"/>
      <c r="VMD9" s="34"/>
      <c r="VME9" s="390"/>
      <c r="VMF9" s="520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0"/>
      <c r="VMT9" s="34"/>
      <c r="VMU9" s="390"/>
      <c r="VMV9" s="520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0"/>
      <c r="VNJ9" s="34"/>
      <c r="VNK9" s="390"/>
      <c r="VNL9" s="520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0"/>
      <c r="VNZ9" s="34"/>
      <c r="VOA9" s="390"/>
      <c r="VOB9" s="520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0"/>
      <c r="VOP9" s="34"/>
      <c r="VOQ9" s="390"/>
      <c r="VOR9" s="520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0"/>
      <c r="VPF9" s="34"/>
      <c r="VPG9" s="390"/>
      <c r="VPH9" s="520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0"/>
      <c r="VPV9" s="34"/>
      <c r="VPW9" s="390"/>
      <c r="VPX9" s="520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0"/>
      <c r="VQL9" s="34"/>
      <c r="VQM9" s="390"/>
      <c r="VQN9" s="520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0"/>
      <c r="VRB9" s="34"/>
      <c r="VRC9" s="390"/>
      <c r="VRD9" s="520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0"/>
      <c r="VRR9" s="34"/>
      <c r="VRS9" s="390"/>
      <c r="VRT9" s="520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0"/>
      <c r="VSH9" s="34"/>
      <c r="VSI9" s="390"/>
      <c r="VSJ9" s="520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0"/>
      <c r="VSX9" s="34"/>
      <c r="VSY9" s="390"/>
      <c r="VSZ9" s="520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0"/>
      <c r="VTN9" s="34"/>
      <c r="VTO9" s="390"/>
      <c r="VTP9" s="520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0"/>
      <c r="VUD9" s="34"/>
      <c r="VUE9" s="390"/>
      <c r="VUF9" s="520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0"/>
      <c r="VUT9" s="34"/>
      <c r="VUU9" s="390"/>
      <c r="VUV9" s="520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0"/>
      <c r="VVJ9" s="34"/>
      <c r="VVK9" s="390"/>
      <c r="VVL9" s="520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0"/>
      <c r="VVZ9" s="34"/>
      <c r="VWA9" s="390"/>
      <c r="VWB9" s="520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0"/>
      <c r="VWP9" s="34"/>
      <c r="VWQ9" s="390"/>
      <c r="VWR9" s="520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0"/>
      <c r="VXF9" s="34"/>
      <c r="VXG9" s="390"/>
      <c r="VXH9" s="520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0"/>
      <c r="VXV9" s="34"/>
      <c r="VXW9" s="390"/>
      <c r="VXX9" s="520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0"/>
      <c r="VYL9" s="34"/>
      <c r="VYM9" s="390"/>
      <c r="VYN9" s="520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0"/>
      <c r="VZB9" s="34"/>
      <c r="VZC9" s="390"/>
      <c r="VZD9" s="520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0"/>
      <c r="VZR9" s="34"/>
      <c r="VZS9" s="390"/>
      <c r="VZT9" s="520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0"/>
      <c r="WAH9" s="34"/>
      <c r="WAI9" s="390"/>
      <c r="WAJ9" s="520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0"/>
      <c r="WAX9" s="34"/>
      <c r="WAY9" s="390"/>
      <c r="WAZ9" s="520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0"/>
      <c r="WBN9" s="34"/>
      <c r="WBO9" s="390"/>
      <c r="WBP9" s="520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0"/>
      <c r="WCD9" s="34"/>
      <c r="WCE9" s="390"/>
      <c r="WCF9" s="520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0"/>
      <c r="WCT9" s="34"/>
      <c r="WCU9" s="390"/>
      <c r="WCV9" s="520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0"/>
      <c r="WDJ9" s="34"/>
      <c r="WDK9" s="390"/>
      <c r="WDL9" s="520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0"/>
      <c r="WDZ9" s="34"/>
      <c r="WEA9" s="390"/>
      <c r="WEB9" s="520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0"/>
      <c r="WEP9" s="34"/>
      <c r="WEQ9" s="390"/>
      <c r="WER9" s="520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0"/>
      <c r="WFF9" s="34"/>
      <c r="WFG9" s="390"/>
      <c r="WFH9" s="520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0"/>
      <c r="WFV9" s="34"/>
      <c r="WFW9" s="390"/>
      <c r="WFX9" s="520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0"/>
      <c r="WGL9" s="34"/>
      <c r="WGM9" s="390"/>
      <c r="WGN9" s="520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0"/>
      <c r="WHB9" s="34"/>
      <c r="WHC9" s="390"/>
      <c r="WHD9" s="520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0"/>
      <c r="WHR9" s="34"/>
      <c r="WHS9" s="390"/>
      <c r="WHT9" s="520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0"/>
      <c r="WIH9" s="34"/>
      <c r="WII9" s="390"/>
      <c r="WIJ9" s="520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0"/>
      <c r="WIX9" s="34"/>
      <c r="WIY9" s="390"/>
      <c r="WIZ9" s="520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0"/>
      <c r="WJN9" s="34"/>
      <c r="WJO9" s="390"/>
      <c r="WJP9" s="520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0"/>
      <c r="WKD9" s="34"/>
      <c r="WKE9" s="390"/>
      <c r="WKF9" s="520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0"/>
      <c r="WKT9" s="34"/>
      <c r="WKU9" s="390"/>
      <c r="WKV9" s="520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0"/>
      <c r="WLJ9" s="34"/>
      <c r="WLK9" s="390"/>
      <c r="WLL9" s="520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0"/>
      <c r="WLZ9" s="34"/>
      <c r="WMA9" s="390"/>
      <c r="WMB9" s="520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0"/>
      <c r="WMP9" s="34"/>
      <c r="WMQ9" s="390"/>
      <c r="WMR9" s="520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0"/>
      <c r="WNF9" s="34"/>
      <c r="WNG9" s="390"/>
      <c r="WNH9" s="520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0"/>
      <c r="WNV9" s="34"/>
      <c r="WNW9" s="390"/>
      <c r="WNX9" s="520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0"/>
      <c r="WOL9" s="34"/>
      <c r="WOM9" s="390"/>
      <c r="WON9" s="520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0"/>
      <c r="WPB9" s="34"/>
      <c r="WPC9" s="390"/>
      <c r="WPD9" s="520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0"/>
      <c r="WPR9" s="34"/>
      <c r="WPS9" s="390"/>
      <c r="WPT9" s="520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0"/>
      <c r="WQH9" s="34"/>
      <c r="WQI9" s="390"/>
      <c r="WQJ9" s="520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0"/>
      <c r="WQX9" s="34"/>
      <c r="WQY9" s="390"/>
      <c r="WQZ9" s="520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0"/>
      <c r="WRN9" s="34"/>
      <c r="WRO9" s="390"/>
      <c r="WRP9" s="520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0"/>
      <c r="WSD9" s="34"/>
      <c r="WSE9" s="390"/>
      <c r="WSF9" s="520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0"/>
      <c r="WST9" s="34"/>
      <c r="WSU9" s="390"/>
      <c r="WSV9" s="520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0"/>
      <c r="WTJ9" s="34"/>
      <c r="WTK9" s="390"/>
      <c r="WTL9" s="520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0"/>
      <c r="WTZ9" s="34"/>
      <c r="WUA9" s="390"/>
      <c r="WUB9" s="520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0"/>
      <c r="WUP9" s="34"/>
      <c r="WUQ9" s="390"/>
      <c r="WUR9" s="520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0"/>
      <c r="WVF9" s="34"/>
      <c r="WVG9" s="390"/>
      <c r="WVH9" s="520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0"/>
      <c r="WVV9" s="34"/>
      <c r="WVW9" s="390"/>
      <c r="WVX9" s="520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0"/>
      <c r="WWL9" s="34"/>
      <c r="WWM9" s="390"/>
      <c r="WWN9" s="520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0"/>
      <c r="WXB9" s="34"/>
      <c r="WXC9" s="390"/>
      <c r="WXD9" s="520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0"/>
      <c r="WXR9" s="34"/>
      <c r="WXS9" s="390"/>
      <c r="WXT9" s="520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0"/>
      <c r="WYH9" s="34"/>
      <c r="WYI9" s="390"/>
      <c r="WYJ9" s="520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0"/>
      <c r="WYX9" s="34"/>
      <c r="WYY9" s="390"/>
      <c r="WYZ9" s="520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0"/>
      <c r="WZN9" s="34"/>
      <c r="WZO9" s="390"/>
      <c r="WZP9" s="520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0"/>
      <c r="XAD9" s="34"/>
      <c r="XAE9" s="390"/>
      <c r="XAF9" s="520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0"/>
      <c r="XAT9" s="34"/>
      <c r="XAU9" s="390"/>
      <c r="XAV9" s="520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0"/>
      <c r="XBJ9" s="34"/>
      <c r="XBK9" s="390"/>
      <c r="XBL9" s="520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0"/>
      <c r="XBZ9" s="34"/>
      <c r="XCA9" s="390"/>
      <c r="XCB9" s="520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0"/>
      <c r="XCP9" s="34"/>
      <c r="XCQ9" s="390"/>
      <c r="XCR9" s="520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0"/>
      <c r="XDF9" s="34"/>
      <c r="XDG9" s="390"/>
      <c r="XDH9" s="520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0"/>
      <c r="XDV9" s="34"/>
      <c r="XDW9" s="390"/>
      <c r="XDX9" s="520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0"/>
      <c r="XEL9" s="34"/>
      <c r="XEM9" s="390"/>
      <c r="XEN9" s="520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0"/>
      <c r="XFB9" s="34"/>
      <c r="XFC9" s="390"/>
      <c r="XFD9" s="520"/>
    </row>
    <row r="10" spans="1:16384" ht="15" customHeight="1" x14ac:dyDescent="0.2">
      <c r="A10" s="9"/>
      <c r="B10" s="518" t="s">
        <v>4</v>
      </c>
      <c r="C10" s="515">
        <f>SUM(C5:C9)</f>
        <v>328129038.38</v>
      </c>
      <c r="D10" s="152">
        <f>SUM(D5:D9)</f>
        <v>330017921.43000001</v>
      </c>
      <c r="E10" s="84">
        <f>SUM(E5:E9)</f>
        <v>265296084.51999998</v>
      </c>
      <c r="F10" s="90">
        <f t="shared" si="0"/>
        <v>0.80388387203472478</v>
      </c>
      <c r="G10" s="84">
        <f>SUM(G5:G9)</f>
        <v>255690126.83999997</v>
      </c>
      <c r="H10" s="90">
        <f t="shared" si="1"/>
        <v>0.77477649011323257</v>
      </c>
      <c r="I10" s="84">
        <f>SUM(I5:I9)</f>
        <v>43022855.599999994</v>
      </c>
      <c r="J10" s="170">
        <f>I10/D10</f>
        <v>0.13036520990610978</v>
      </c>
      <c r="K10" s="152">
        <f>SUM(K5:K9)</f>
        <v>229262620.95999998</v>
      </c>
      <c r="L10" s="90">
        <v>0.7880489712706964</v>
      </c>
      <c r="M10" s="213">
        <f t="shared" ref="M10" si="2">+G10/K10-1</f>
        <v>0.11527176026052177</v>
      </c>
      <c r="N10" s="701">
        <f>SUM(N5:N9)</f>
        <v>45908170.670000002</v>
      </c>
      <c r="O10" s="90">
        <v>0.15780106900079932</v>
      </c>
      <c r="P10" s="213">
        <f>+I10/N10-1</f>
        <v>-6.2849706879858247E-2</v>
      </c>
    </row>
    <row r="11" spans="1:16384" ht="15" customHeight="1" x14ac:dyDescent="0.2">
      <c r="A11" s="21">
        <v>6</v>
      </c>
      <c r="B11" s="21" t="s">
        <v>5</v>
      </c>
      <c r="C11" s="159">
        <v>7197998.3799999999</v>
      </c>
      <c r="D11" s="516">
        <v>13263551.41</v>
      </c>
      <c r="E11" s="180">
        <v>2975155.35</v>
      </c>
      <c r="F11" s="48">
        <f t="shared" si="0"/>
        <v>0.22431061320099335</v>
      </c>
      <c r="G11" s="56">
        <v>1665081.72</v>
      </c>
      <c r="H11" s="48">
        <f t="shared" si="1"/>
        <v>0.12553815102225324</v>
      </c>
      <c r="I11" s="30">
        <v>103630.96</v>
      </c>
      <c r="J11" s="153">
        <f>I11/D11</f>
        <v>7.8132135803287098E-3</v>
      </c>
      <c r="K11" s="150">
        <v>803112.64</v>
      </c>
      <c r="L11" s="48">
        <v>8.8430072362793613E-2</v>
      </c>
      <c r="M11" s="210">
        <f>+G11/K11-1</f>
        <v>1.0732854111224048</v>
      </c>
      <c r="N11" s="690">
        <v>31985.65</v>
      </c>
      <c r="O11" s="48">
        <v>3.5219136185815599E-3</v>
      </c>
      <c r="P11" s="210">
        <f>+I11/N11-1</f>
        <v>2.2399204018051844</v>
      </c>
    </row>
    <row r="12" spans="1:16384" ht="15" customHeight="1" x14ac:dyDescent="0.2">
      <c r="A12" s="24">
        <v>7</v>
      </c>
      <c r="B12" s="24" t="s">
        <v>6</v>
      </c>
      <c r="C12" s="161"/>
      <c r="D12" s="206">
        <v>213192</v>
      </c>
      <c r="E12" s="34">
        <v>213192</v>
      </c>
      <c r="F12" s="48">
        <f t="shared" si="0"/>
        <v>1</v>
      </c>
      <c r="G12" s="137">
        <v>213192</v>
      </c>
      <c r="H12" s="48">
        <f t="shared" si="1"/>
        <v>1</v>
      </c>
      <c r="I12" s="137">
        <v>0</v>
      </c>
      <c r="J12" s="517" t="s">
        <v>129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">
      <c r="A13" s="9"/>
      <c r="B13" s="2" t="s">
        <v>7</v>
      </c>
      <c r="C13" s="162">
        <f>SUM(C11:C12)</f>
        <v>7197998.3799999999</v>
      </c>
      <c r="D13" s="152">
        <f t="shared" ref="D13:I13" si="3">SUM(D11:D12)</f>
        <v>13476743.41</v>
      </c>
      <c r="E13" s="84">
        <f t="shared" si="3"/>
        <v>3188347.35</v>
      </c>
      <c r="F13" s="90">
        <f t="shared" si="0"/>
        <v>0.23658143907631168</v>
      </c>
      <c r="G13" s="84">
        <f t="shared" si="3"/>
        <v>1878273.72</v>
      </c>
      <c r="H13" s="90">
        <f t="shared" si="1"/>
        <v>0.13937148336639585</v>
      </c>
      <c r="I13" s="84">
        <f t="shared" si="3"/>
        <v>103630.96</v>
      </c>
      <c r="J13" s="170">
        <f>I13/D13</f>
        <v>7.6896143858540674E-3</v>
      </c>
      <c r="K13" s="84">
        <f t="shared" ref="K13" si="4">SUM(K11:K12)</f>
        <v>803112.64</v>
      </c>
      <c r="L13" s="90">
        <v>8.8430072362793613E-2</v>
      </c>
      <c r="M13" s="213">
        <f t="shared" ref="M13" si="5">+G13/K13-1</f>
        <v>1.3387425704070601</v>
      </c>
      <c r="N13" s="84">
        <f t="shared" ref="N13" si="6">SUM(N11:N12)</f>
        <v>31985.65</v>
      </c>
      <c r="O13" s="90">
        <v>3.5219136185815599E-3</v>
      </c>
      <c r="P13" s="213">
        <f>+I13/N13-1</f>
        <v>2.2399204018051844</v>
      </c>
    </row>
    <row r="14" spans="1:16384" ht="15" customHeight="1" x14ac:dyDescent="0.2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7">SUM(D14:D15)</f>
        <v>0</v>
      </c>
      <c r="E16" s="84">
        <f t="shared" si="7"/>
        <v>0</v>
      </c>
      <c r="F16" s="228" t="s">
        <v>129</v>
      </c>
      <c r="G16" s="84">
        <f t="shared" si="7"/>
        <v>0</v>
      </c>
      <c r="H16" s="228" t="s">
        <v>129</v>
      </c>
      <c r="I16" s="84">
        <f t="shared" si="7"/>
        <v>0</v>
      </c>
      <c r="J16" s="229" t="s">
        <v>129</v>
      </c>
      <c r="K16" s="84">
        <f t="shared" ref="K16" si="8">SUM(K14:K15)</f>
        <v>0</v>
      </c>
      <c r="L16" s="263" t="s">
        <v>129</v>
      </c>
      <c r="M16" s="641" t="s">
        <v>129</v>
      </c>
      <c r="N16" s="84">
        <f t="shared" ref="N16" si="9">SUM(N14:N15)</f>
        <v>0</v>
      </c>
      <c r="O16" s="263" t="s">
        <v>129</v>
      </c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335327036.75999999</v>
      </c>
      <c r="D17" s="154">
        <f t="shared" ref="D17:I17" si="10">+D10+D13+D16</f>
        <v>343494664.84000003</v>
      </c>
      <c r="E17" s="155">
        <f t="shared" si="10"/>
        <v>268484431.87</v>
      </c>
      <c r="F17" s="181">
        <f>E17/D17</f>
        <v>0.78162620661098237</v>
      </c>
      <c r="G17" s="155">
        <f t="shared" si="10"/>
        <v>257568400.55999997</v>
      </c>
      <c r="H17" s="181">
        <f>G17/D17</f>
        <v>0.74984687369154757</v>
      </c>
      <c r="I17" s="155">
        <f t="shared" si="10"/>
        <v>43126486.559999995</v>
      </c>
      <c r="J17" s="173">
        <f>I17/D17</f>
        <v>0.12555212925967374</v>
      </c>
      <c r="K17" s="155">
        <f t="shared" ref="K17" si="11">+K10+K13+K16</f>
        <v>230065733.59999996</v>
      </c>
      <c r="L17" s="181">
        <v>0.76686985944531538</v>
      </c>
      <c r="M17" s="607">
        <f>+G17/K17-1</f>
        <v>0.11954264778872759</v>
      </c>
      <c r="N17" s="155">
        <f t="shared" ref="N17" si="12">+N10+N13+N16</f>
        <v>45940156.32</v>
      </c>
      <c r="O17" s="181">
        <v>0.15313067560624433</v>
      </c>
      <c r="P17" s="607">
        <f>+I17/N17-1</f>
        <v>-6.1246412406635087E-2</v>
      </c>
    </row>
    <row r="137" spans="12:12" x14ac:dyDescent="0.2">
      <c r="L137" s="687"/>
    </row>
    <row r="138" spans="12:12" x14ac:dyDescent="0.2">
      <c r="L138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"/>
  <sheetViews>
    <sheetView zoomScaleNormal="100" workbookViewId="0">
      <selection activeCell="L41" sqref="L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2" bestFit="1" customWidth="1"/>
    <col min="13" max="13" width="9" style="97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7"/>
  <sheetViews>
    <sheetView zoomScaleNormal="100" workbookViewId="0">
      <selection activeCell="I11" sqref="I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748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4754082.8899999997</v>
      </c>
      <c r="D5" s="204">
        <v>4908551.22</v>
      </c>
      <c r="E5" s="30">
        <v>1091956.22</v>
      </c>
      <c r="F5" s="48">
        <f>E5/D5</f>
        <v>0.22245998280527263</v>
      </c>
      <c r="G5" s="30">
        <v>1091956.22</v>
      </c>
      <c r="H5" s="48">
        <f>G5/D5</f>
        <v>0.22245998280527263</v>
      </c>
      <c r="I5" s="30">
        <v>1091956.22</v>
      </c>
      <c r="J5" s="153">
        <f>I5/D5</f>
        <v>0.22245998280527263</v>
      </c>
      <c r="K5" s="578">
        <v>1071534.3700000001</v>
      </c>
      <c r="L5" s="48">
        <v>0.23752948363451523</v>
      </c>
      <c r="M5" s="210">
        <f>+G5/K5-1</f>
        <v>1.9058511394272726E-2</v>
      </c>
      <c r="N5" s="578">
        <v>1071534.3700000001</v>
      </c>
      <c r="O5" s="48">
        <v>0.23752948363451523</v>
      </c>
      <c r="P5" s="210">
        <f>+I5/N5-1</f>
        <v>1.9058511394272726E-2</v>
      </c>
    </row>
    <row r="6" spans="1:16" ht="15" customHeight="1" x14ac:dyDescent="0.2">
      <c r="A6" s="23">
        <v>2</v>
      </c>
      <c r="B6" s="23" t="s">
        <v>1</v>
      </c>
      <c r="C6" s="159">
        <v>30657961.309999999</v>
      </c>
      <c r="D6" s="204">
        <v>30649626.780000001</v>
      </c>
      <c r="E6" s="30">
        <v>27906830.690000001</v>
      </c>
      <c r="F6" s="48">
        <f t="shared" ref="F6:F17" si="0">E6/D6</f>
        <v>0.91051127279012178</v>
      </c>
      <c r="G6" s="30">
        <v>27312760.5</v>
      </c>
      <c r="H6" s="280">
        <f t="shared" ref="H6:H17" si="1">G6/D6</f>
        <v>0.89112864884288157</v>
      </c>
      <c r="I6" s="30">
        <v>3164149.06</v>
      </c>
      <c r="J6" s="178">
        <f t="shared" ref="J6:J17" si="2">I6/D6</f>
        <v>0.1032361366979099</v>
      </c>
      <c r="K6" s="579">
        <v>27239117.329999998</v>
      </c>
      <c r="L6" s="412">
        <v>0.93494982387308534</v>
      </c>
      <c r="M6" s="210">
        <f t="shared" ref="M6:M17" si="3">+G6/K6-1</f>
        <v>2.7035813645435169E-3</v>
      </c>
      <c r="N6" s="579">
        <v>2586527.19</v>
      </c>
      <c r="O6" s="412">
        <v>8.8779423776337421E-2</v>
      </c>
      <c r="P6" s="210">
        <f>+I6/N6-1</f>
        <v>0.22331946566546623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12984740.82</v>
      </c>
      <c r="D8" s="204">
        <v>12853486.789999999</v>
      </c>
      <c r="E8" s="30">
        <v>12175247.619999999</v>
      </c>
      <c r="F8" s="48">
        <f t="shared" si="0"/>
        <v>0.94723305970737304</v>
      </c>
      <c r="G8" s="30">
        <v>11655142.619999999</v>
      </c>
      <c r="H8" s="48">
        <f t="shared" si="1"/>
        <v>0.90676894218833204</v>
      </c>
      <c r="I8" s="30">
        <v>2209719.73</v>
      </c>
      <c r="J8" s="178">
        <f t="shared" si="2"/>
        <v>0.17191597627183622</v>
      </c>
      <c r="K8" s="635">
        <v>11479213.98</v>
      </c>
      <c r="L8" s="414">
        <v>0.94447136724114977</v>
      </c>
      <c r="M8" s="443">
        <f t="shared" si="3"/>
        <v>1.5325843764783409E-2</v>
      </c>
      <c r="N8" s="635">
        <v>4944068.47</v>
      </c>
      <c r="O8" s="414">
        <v>0.40678143257285626</v>
      </c>
      <c r="P8" s="443">
        <f t="shared" ref="P8:P17" si="4">+I8/N8-1</f>
        <v>-0.553056406194957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48396785.019999996</v>
      </c>
      <c r="D10" s="152">
        <f t="shared" ref="D10:E10" si="5">SUM(D5:D9)</f>
        <v>48411664.789999999</v>
      </c>
      <c r="E10" s="84">
        <f t="shared" si="5"/>
        <v>41174034.530000001</v>
      </c>
      <c r="F10" s="90">
        <f t="shared" si="0"/>
        <v>0.85049821584538821</v>
      </c>
      <c r="G10" s="84">
        <f>SUM(G5:G9)</f>
        <v>40059859.339999996</v>
      </c>
      <c r="H10" s="90">
        <f t="shared" si="1"/>
        <v>0.82748361399616299</v>
      </c>
      <c r="I10" s="84">
        <f>SUM(I5:I9)</f>
        <v>6465825.0099999998</v>
      </c>
      <c r="J10" s="170">
        <f t="shared" si="2"/>
        <v>0.13355923697413505</v>
      </c>
      <c r="K10" s="568">
        <f>SUM(K5:K9)</f>
        <v>39789865.68</v>
      </c>
      <c r="L10" s="90">
        <v>0.86878216919063822</v>
      </c>
      <c r="M10" s="213">
        <f t="shared" si="3"/>
        <v>6.7854880981843557E-3</v>
      </c>
      <c r="N10" s="568">
        <f>SUM(N5:N9)</f>
        <v>8602130.0299999993</v>
      </c>
      <c r="O10" s="90">
        <v>0.1878211212680658</v>
      </c>
      <c r="P10" s="213">
        <f t="shared" si="4"/>
        <v>-0.24834605063508897</v>
      </c>
    </row>
    <row r="11" spans="1:16" ht="15" customHeight="1" x14ac:dyDescent="0.2">
      <c r="A11" s="21">
        <v>6</v>
      </c>
      <c r="B11" s="21" t="s">
        <v>5</v>
      </c>
      <c r="C11" s="159">
        <v>338636.56</v>
      </c>
      <c r="D11" s="204">
        <v>2804807.12</v>
      </c>
      <c r="E11" s="30">
        <v>160203.16</v>
      </c>
      <c r="F11" s="48">
        <f t="shared" si="0"/>
        <v>5.711735358116176E-2</v>
      </c>
      <c r="G11" s="30">
        <v>26829.35</v>
      </c>
      <c r="H11" s="48">
        <f t="shared" si="1"/>
        <v>9.5654884104829276E-3</v>
      </c>
      <c r="I11" s="30">
        <v>1765.12</v>
      </c>
      <c r="J11" s="153">
        <f t="shared" si="2"/>
        <v>6.2931956618820898E-4</v>
      </c>
      <c r="K11" s="565">
        <v>11308.05</v>
      </c>
      <c r="L11" s="48">
        <v>1.5810962020917245E-2</v>
      </c>
      <c r="M11" s="224" t="s">
        <v>129</v>
      </c>
      <c r="N11" s="565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338636.56</v>
      </c>
      <c r="D13" s="152">
        <f t="shared" ref="D13:I13" si="6">SUM(D11:D12)</f>
        <v>2804807.12</v>
      </c>
      <c r="E13" s="84">
        <f t="shared" si="6"/>
        <v>160203.16</v>
      </c>
      <c r="F13" s="90">
        <f t="shared" si="0"/>
        <v>5.711735358116176E-2</v>
      </c>
      <c r="G13" s="84">
        <f t="shared" si="6"/>
        <v>26829.35</v>
      </c>
      <c r="H13" s="90">
        <f t="shared" si="1"/>
        <v>9.5654884104829276E-3</v>
      </c>
      <c r="I13" s="84">
        <f t="shared" si="6"/>
        <v>1765.12</v>
      </c>
      <c r="J13" s="170">
        <f t="shared" si="2"/>
        <v>6.2931956618820898E-4</v>
      </c>
      <c r="K13" s="568">
        <f>SUM(K11:K12)</f>
        <v>11308.05</v>
      </c>
      <c r="L13" s="90">
        <v>1.5810962020917245E-2</v>
      </c>
      <c r="M13" s="213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51216471.909999996</v>
      </c>
      <c r="E17" s="155">
        <f t="shared" si="8"/>
        <v>41334237.689999998</v>
      </c>
      <c r="F17" s="181">
        <f t="shared" si="0"/>
        <v>0.8070496882845517</v>
      </c>
      <c r="G17" s="155">
        <f t="shared" si="8"/>
        <v>40086688.689999998</v>
      </c>
      <c r="H17" s="181">
        <f t="shared" si="1"/>
        <v>0.78269133337497787</v>
      </c>
      <c r="I17" s="155">
        <f t="shared" si="8"/>
        <v>6467590.1299999999</v>
      </c>
      <c r="J17" s="173">
        <f t="shared" si="2"/>
        <v>0.12627949346774911</v>
      </c>
      <c r="K17" s="576">
        <f>K10+K13+K16</f>
        <v>39801173.729999997</v>
      </c>
      <c r="L17" s="181">
        <v>0.8556670356282261</v>
      </c>
      <c r="M17" s="607">
        <f t="shared" si="3"/>
        <v>7.1735311610872099E-3</v>
      </c>
      <c r="N17" s="576">
        <f>N10+N13+N16</f>
        <v>8602130.0299999993</v>
      </c>
      <c r="O17" s="181">
        <v>0.18493321711542007</v>
      </c>
      <c r="P17" s="607">
        <f t="shared" si="4"/>
        <v>-0.24814085494589988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7" zoomScaleNormal="100" workbookViewId="0">
      <selection activeCell="F17" sqref="F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I15" sqref="I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749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5116553.01</v>
      </c>
      <c r="D5" s="204">
        <v>5198375.28</v>
      </c>
      <c r="E5" s="30">
        <v>1179392.1200000001</v>
      </c>
      <c r="F5" s="48">
        <f>E5/D5</f>
        <v>0.22687706378905373</v>
      </c>
      <c r="G5" s="30">
        <v>1179392.1200000001</v>
      </c>
      <c r="H5" s="48">
        <f>G5/D5</f>
        <v>0.22687706378905373</v>
      </c>
      <c r="I5" s="30">
        <v>1179392.1200000001</v>
      </c>
      <c r="J5" s="153">
        <f>I5/D5</f>
        <v>0.22687706378905373</v>
      </c>
      <c r="K5" s="204">
        <v>1184085.8799999999</v>
      </c>
      <c r="L5" s="48">
        <v>0.22780465786797283</v>
      </c>
      <c r="M5" s="210">
        <f>+G5/K5-1</f>
        <v>-3.964036797736159E-3</v>
      </c>
      <c r="N5" s="30">
        <v>1184085.8799999999</v>
      </c>
      <c r="O5" s="48">
        <v>0.22780465786797283</v>
      </c>
      <c r="P5" s="210">
        <f>+I5/N5-1</f>
        <v>-3.964036797736159E-3</v>
      </c>
    </row>
    <row r="6" spans="1:16" ht="15" customHeight="1" x14ac:dyDescent="0.2">
      <c r="A6" s="23">
        <v>2</v>
      </c>
      <c r="B6" s="23" t="s">
        <v>1</v>
      </c>
      <c r="C6" s="159">
        <v>23638411.449999999</v>
      </c>
      <c r="D6" s="204">
        <v>23691667</v>
      </c>
      <c r="E6" s="30">
        <v>20864785.489999998</v>
      </c>
      <c r="F6" s="48">
        <f t="shared" ref="F6:F17" si="0">E6/D6</f>
        <v>0.88068034596299194</v>
      </c>
      <c r="G6" s="30">
        <v>20459797.75</v>
      </c>
      <c r="H6" s="280">
        <f t="shared" ref="H6:H17" si="1">G6/D6</f>
        <v>0.86358624532414707</v>
      </c>
      <c r="I6" s="30">
        <v>2376705.7799999998</v>
      </c>
      <c r="J6" s="178">
        <f t="shared" ref="J6:J17" si="2">I6/D6</f>
        <v>0.10031821652735537</v>
      </c>
      <c r="K6" s="204">
        <v>20174853.030000001</v>
      </c>
      <c r="L6" s="412">
        <v>0.90017908755030596</v>
      </c>
      <c r="M6" s="210">
        <f t="shared" ref="M6:M17" si="3">+G6/K6-1</f>
        <v>1.4123756915417784E-2</v>
      </c>
      <c r="N6" s="30">
        <v>2018962.3</v>
      </c>
      <c r="O6" s="412">
        <v>9.0083810687986307E-2</v>
      </c>
      <c r="P6" s="210">
        <f>+I6/N6-1</f>
        <v>0.17719175836022294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30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13415073.300000001</v>
      </c>
      <c r="D8" s="204">
        <v>13415073.300000001</v>
      </c>
      <c r="E8" s="30">
        <v>13376693.550000001</v>
      </c>
      <c r="F8" s="48">
        <f t="shared" si="0"/>
        <v>0.99713905774931544</v>
      </c>
      <c r="G8" s="30">
        <v>12911901.15</v>
      </c>
      <c r="H8" s="48">
        <f t="shared" si="1"/>
        <v>0.96249203125859917</v>
      </c>
      <c r="I8" s="30">
        <v>2879320.7</v>
      </c>
      <c r="J8" s="178">
        <f t="shared" si="2"/>
        <v>0.21463324393464178</v>
      </c>
      <c r="K8" s="204">
        <v>11803743.65</v>
      </c>
      <c r="L8" s="414">
        <v>0.94116319140404836</v>
      </c>
      <c r="M8" s="443">
        <f t="shared" si="3"/>
        <v>9.3881867724228352E-2</v>
      </c>
      <c r="N8" s="30">
        <v>3262309.9</v>
      </c>
      <c r="O8" s="414">
        <v>0.26011798357151056</v>
      </c>
      <c r="P8" s="443">
        <f t="shared" ref="P8:P17" si="4">+I8/N8-1</f>
        <v>-0.11739816625023869</v>
      </c>
    </row>
    <row r="9" spans="1:16" ht="15" customHeight="1" x14ac:dyDescent="0.2">
      <c r="A9" s="55">
        <v>5</v>
      </c>
      <c r="B9" s="55" t="s">
        <v>453</v>
      </c>
      <c r="C9" s="176">
        <v>300000</v>
      </c>
      <c r="D9" s="516">
        <v>300000</v>
      </c>
      <c r="E9" s="180"/>
      <c r="F9" s="48">
        <f t="shared" si="0"/>
        <v>0</v>
      </c>
      <c r="G9" s="34">
        <v>0</v>
      </c>
      <c r="H9" s="78" t="s">
        <v>129</v>
      </c>
      <c r="I9" s="34">
        <v>0</v>
      </c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42470037.760000005</v>
      </c>
      <c r="D10" s="152">
        <f t="shared" ref="D10:E10" si="5">SUM(D5:D9)</f>
        <v>42605115.579999998</v>
      </c>
      <c r="E10" s="84">
        <f t="shared" si="5"/>
        <v>35420871.159999996</v>
      </c>
      <c r="F10" s="90">
        <f t="shared" si="0"/>
        <v>0.83137601383781989</v>
      </c>
      <c r="G10" s="84">
        <f>SUM(G5:G9)</f>
        <v>34551091.020000003</v>
      </c>
      <c r="H10" s="90">
        <f t="shared" si="1"/>
        <v>0.81096109116575721</v>
      </c>
      <c r="I10" s="84">
        <f>SUM(I5:I9)</f>
        <v>6435418.5999999996</v>
      </c>
      <c r="J10" s="170">
        <f t="shared" si="2"/>
        <v>0.15104802586243798</v>
      </c>
      <c r="K10" s="568">
        <f>SUM(K5:K9)</f>
        <v>33162682.560000002</v>
      </c>
      <c r="L10" s="90">
        <v>0.82593860102301886</v>
      </c>
      <c r="M10" s="213">
        <f t="shared" si="3"/>
        <v>4.1866590782817514E-2</v>
      </c>
      <c r="N10" s="568">
        <f>SUM(N5:N9)</f>
        <v>6465358.0800000001</v>
      </c>
      <c r="O10" s="90">
        <v>0.16102403049109881</v>
      </c>
      <c r="P10" s="213">
        <f t="shared" si="4"/>
        <v>-4.6307535684088075E-3</v>
      </c>
    </row>
    <row r="11" spans="1:16" ht="15" customHeight="1" x14ac:dyDescent="0.2">
      <c r="A11" s="21">
        <v>6</v>
      </c>
      <c r="B11" s="21" t="s">
        <v>5</v>
      </c>
      <c r="C11" s="159">
        <v>722640</v>
      </c>
      <c r="D11" s="204">
        <v>872640</v>
      </c>
      <c r="E11" s="30">
        <v>402065.1</v>
      </c>
      <c r="F11" s="48">
        <f t="shared" si="0"/>
        <v>0.46074566831683167</v>
      </c>
      <c r="G11" s="30">
        <v>172424.98</v>
      </c>
      <c r="H11" s="48">
        <f t="shared" si="1"/>
        <v>0.19759004858819215</v>
      </c>
      <c r="I11" s="30">
        <v>0</v>
      </c>
      <c r="J11" s="153">
        <f t="shared" si="2"/>
        <v>0</v>
      </c>
      <c r="K11" s="565"/>
      <c r="L11" s="48"/>
      <c r="M11" s="224" t="s">
        <v>129</v>
      </c>
      <c r="N11" s="565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722640</v>
      </c>
      <c r="D13" s="152">
        <f t="shared" ref="D13:I13" si="6">SUM(D11:D12)</f>
        <v>872640</v>
      </c>
      <c r="E13" s="84">
        <f t="shared" si="6"/>
        <v>402065.1</v>
      </c>
      <c r="F13" s="90">
        <f t="shared" si="0"/>
        <v>0.46074566831683167</v>
      </c>
      <c r="G13" s="84">
        <f t="shared" si="6"/>
        <v>172424.98</v>
      </c>
      <c r="H13" s="90">
        <f t="shared" si="1"/>
        <v>0.19759004858819215</v>
      </c>
      <c r="I13" s="84">
        <f t="shared" si="6"/>
        <v>0</v>
      </c>
      <c r="J13" s="170">
        <f t="shared" si="2"/>
        <v>0</v>
      </c>
      <c r="K13" s="568">
        <f>SUM(K11:K12)</f>
        <v>0</v>
      </c>
      <c r="L13" s="90"/>
      <c r="M13" s="629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43477755.579999998</v>
      </c>
      <c r="E17" s="155">
        <f t="shared" si="8"/>
        <v>35822936.259999998</v>
      </c>
      <c r="F17" s="181">
        <f t="shared" si="0"/>
        <v>0.82393710949694798</v>
      </c>
      <c r="G17" s="155">
        <f t="shared" si="8"/>
        <v>34723516</v>
      </c>
      <c r="H17" s="181">
        <f t="shared" si="1"/>
        <v>0.79865014964049807</v>
      </c>
      <c r="I17" s="155">
        <f t="shared" si="8"/>
        <v>6435418.5999999996</v>
      </c>
      <c r="J17" s="173">
        <f t="shared" si="2"/>
        <v>0.14801634799567084</v>
      </c>
      <c r="K17" s="576">
        <f>K10+K13+K16</f>
        <v>33162682.560000002</v>
      </c>
      <c r="L17" s="181">
        <v>0.82388665646377512</v>
      </c>
      <c r="M17" s="607">
        <f t="shared" si="3"/>
        <v>4.7065958466298463E-2</v>
      </c>
      <c r="N17" s="576">
        <f>N10+N13+N16</f>
        <v>6465358.0800000001</v>
      </c>
      <c r="O17" s="181">
        <v>0.16062398576275649</v>
      </c>
      <c r="P17" s="607">
        <f t="shared" si="4"/>
        <v>-4.6307535684088075E-3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13" workbookViewId="0">
      <selection activeCell="E20" sqref="E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749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Març&amp;R&amp;"Arial,Negreta"&amp;8&amp;K03+000Direcció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A14" sqref="A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750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4693686.91</v>
      </c>
      <c r="D5" s="204">
        <v>4761555.16</v>
      </c>
      <c r="E5" s="30">
        <v>1059490.31</v>
      </c>
      <c r="F5" s="48">
        <f>E5/D5</f>
        <v>0.22250930093184093</v>
      </c>
      <c r="G5" s="30">
        <v>1059490.31</v>
      </c>
      <c r="H5" s="48">
        <f>G5/D5</f>
        <v>0.22250930093184093</v>
      </c>
      <c r="I5" s="30">
        <v>1059490.31</v>
      </c>
      <c r="J5" s="153">
        <f>I5/D5</f>
        <v>0.22250930093184093</v>
      </c>
      <c r="K5" s="578">
        <v>1094709.8799999999</v>
      </c>
      <c r="L5" s="48">
        <v>0.23345940688636416</v>
      </c>
      <c r="M5" s="210">
        <f>+G5/K5-1</f>
        <v>-3.2172514968075272E-2</v>
      </c>
      <c r="N5" s="578">
        <v>1094709.8799999999</v>
      </c>
      <c r="O5" s="48">
        <v>0.23345940688636416</v>
      </c>
      <c r="P5" s="210">
        <f>+I5/N5-1</f>
        <v>-3.2172514968075272E-2</v>
      </c>
    </row>
    <row r="6" spans="1:16" ht="15" customHeight="1" x14ac:dyDescent="0.2">
      <c r="A6" s="23">
        <v>2</v>
      </c>
      <c r="B6" s="23" t="s">
        <v>1</v>
      </c>
      <c r="C6" s="159">
        <v>21365328.260000002</v>
      </c>
      <c r="D6" s="204">
        <v>21506715.809999999</v>
      </c>
      <c r="E6" s="30">
        <v>18309047.84</v>
      </c>
      <c r="F6" s="48">
        <f t="shared" ref="F6:F17" si="0">E6/D6</f>
        <v>0.85131770009658214</v>
      </c>
      <c r="G6" s="30">
        <v>17687168.460000001</v>
      </c>
      <c r="H6" s="280">
        <f t="shared" ref="H6:H17" si="1">G6/D6</f>
        <v>0.82240210993888618</v>
      </c>
      <c r="I6" s="30">
        <v>1831493.43</v>
      </c>
      <c r="J6" s="178">
        <f t="shared" ref="J6:J17" si="2">I6/D6</f>
        <v>8.5159140343892423E-2</v>
      </c>
      <c r="K6" s="579">
        <v>17007139.109999999</v>
      </c>
      <c r="L6" s="412">
        <v>0.87111514462073414</v>
      </c>
      <c r="M6" s="210">
        <f t="shared" ref="M6:M17" si="3">+G6/K6-1</f>
        <v>3.9984934891262869E-2</v>
      </c>
      <c r="N6" s="579">
        <v>1864352.71</v>
      </c>
      <c r="O6" s="412">
        <v>9.5493184955532925E-2</v>
      </c>
      <c r="P6" s="210">
        <f>+I6/N6-1</f>
        <v>-1.7625034052703437E-2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10482732.210000001</v>
      </c>
      <c r="D8" s="204">
        <v>10571773.210000001</v>
      </c>
      <c r="E8" s="30">
        <v>10024756.449999999</v>
      </c>
      <c r="F8" s="48">
        <f t="shared" si="0"/>
        <v>0.94825685822671923</v>
      </c>
      <c r="G8" s="30">
        <v>9324756.9499999993</v>
      </c>
      <c r="H8" s="48">
        <f t="shared" si="1"/>
        <v>0.88204284794717025</v>
      </c>
      <c r="I8" s="30">
        <v>1234526.48</v>
      </c>
      <c r="J8" s="178">
        <f t="shared" si="2"/>
        <v>0.11677572489279685</v>
      </c>
      <c r="K8" s="635">
        <v>7654948.0999999996</v>
      </c>
      <c r="L8" s="414">
        <v>0.8774894209794355</v>
      </c>
      <c r="M8" s="443">
        <f t="shared" si="3"/>
        <v>0.21813457494244792</v>
      </c>
      <c r="N8" s="635">
        <v>1803529.5</v>
      </c>
      <c r="O8" s="414">
        <v>0.20673922749056012</v>
      </c>
      <c r="P8" s="443">
        <f t="shared" ref="P8:P17" si="4">+I8/N8-1</f>
        <v>-0.31549415742853115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36541747.380000003</v>
      </c>
      <c r="D10" s="152">
        <f t="shared" ref="D10:E10" si="5">SUM(D5:D9)</f>
        <v>36840044.18</v>
      </c>
      <c r="E10" s="84">
        <f t="shared" si="5"/>
        <v>29393294.599999998</v>
      </c>
      <c r="F10" s="90">
        <f t="shared" si="0"/>
        <v>0.79786263166202309</v>
      </c>
      <c r="G10" s="84">
        <f>SUM(G5:G9)</f>
        <v>28071415.719999999</v>
      </c>
      <c r="H10" s="90">
        <f t="shared" si="1"/>
        <v>0.7619810547143594</v>
      </c>
      <c r="I10" s="84">
        <f>SUM(I5:I9)</f>
        <v>4125510.22</v>
      </c>
      <c r="J10" s="170">
        <f t="shared" si="2"/>
        <v>0.11198439936290001</v>
      </c>
      <c r="K10" s="568">
        <f>SUM(K5:K9)</f>
        <v>25756797.089999996</v>
      </c>
      <c r="L10" s="90">
        <v>0.78202128805384707</v>
      </c>
      <c r="M10" s="213">
        <f t="shared" si="3"/>
        <v>8.9864381115097869E-2</v>
      </c>
      <c r="N10" s="568">
        <f>SUM(N5:N9)</f>
        <v>4762592.09</v>
      </c>
      <c r="O10" s="90">
        <v>0.14460060339345801</v>
      </c>
      <c r="P10" s="213">
        <f t="shared" si="4"/>
        <v>-0.13376788479065393</v>
      </c>
    </row>
    <row r="11" spans="1:16" ht="15" customHeight="1" x14ac:dyDescent="0.2">
      <c r="A11" s="21">
        <v>6</v>
      </c>
      <c r="B11" s="21" t="s">
        <v>5</v>
      </c>
      <c r="C11" s="159">
        <v>633054.47</v>
      </c>
      <c r="D11" s="204">
        <v>781282.68</v>
      </c>
      <c r="E11" s="30">
        <v>18046.89</v>
      </c>
      <c r="F11" s="48">
        <f t="shared" si="0"/>
        <v>2.3099052957375171E-2</v>
      </c>
      <c r="G11" s="30">
        <v>18046.89</v>
      </c>
      <c r="H11" s="48">
        <v>0.82240210993888618</v>
      </c>
      <c r="I11" s="30">
        <v>0</v>
      </c>
      <c r="J11" s="153">
        <f t="shared" si="2"/>
        <v>0</v>
      </c>
      <c r="K11" s="565"/>
      <c r="L11" s="48"/>
      <c r="M11" s="224" t="s">
        <v>129</v>
      </c>
      <c r="N11" s="565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633054.47</v>
      </c>
      <c r="D13" s="152">
        <f t="shared" ref="D13:I13" si="6">SUM(D11:D12)</f>
        <v>781282.68</v>
      </c>
      <c r="E13" s="84">
        <f t="shared" si="6"/>
        <v>18046.89</v>
      </c>
      <c r="F13" s="90">
        <f t="shared" si="0"/>
        <v>2.3099052957375171E-2</v>
      </c>
      <c r="G13" s="84">
        <f t="shared" si="6"/>
        <v>18046.89</v>
      </c>
      <c r="H13" s="90">
        <f t="shared" si="1"/>
        <v>2.3099052957375171E-2</v>
      </c>
      <c r="I13" s="84">
        <f t="shared" si="6"/>
        <v>0</v>
      </c>
      <c r="J13" s="170">
        <f t="shared" si="2"/>
        <v>0</v>
      </c>
      <c r="K13" s="568">
        <f>SUM(K11:K12)</f>
        <v>0</v>
      </c>
      <c r="L13" s="90"/>
      <c r="M13" s="213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37621326.859999999</v>
      </c>
      <c r="E17" s="155">
        <f t="shared" si="8"/>
        <v>29411341.489999998</v>
      </c>
      <c r="F17" s="181">
        <f t="shared" si="0"/>
        <v>0.78177310437370362</v>
      </c>
      <c r="G17" s="155">
        <f t="shared" si="8"/>
        <v>28089462.609999999</v>
      </c>
      <c r="H17" s="181">
        <f t="shared" si="1"/>
        <v>0.74663668069255329</v>
      </c>
      <c r="I17" s="155">
        <f t="shared" si="8"/>
        <v>4125510.22</v>
      </c>
      <c r="J17" s="173">
        <f t="shared" si="2"/>
        <v>0.10965881759971505</v>
      </c>
      <c r="K17" s="576">
        <f>K10+K13+K16</f>
        <v>25756797.089999996</v>
      </c>
      <c r="L17" s="181">
        <v>0.75647928243998719</v>
      </c>
      <c r="M17" s="607">
        <f t="shared" si="3"/>
        <v>9.0565046261348092E-2</v>
      </c>
      <c r="N17" s="576">
        <f>N10+N13+N16</f>
        <v>4762592.09</v>
      </c>
      <c r="O17" s="181">
        <v>0.13987772758423975</v>
      </c>
      <c r="P17" s="607">
        <f t="shared" si="4"/>
        <v>-0.13376788479065393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A16" zoomScaleNormal="100" workbookViewId="0">
      <selection activeCell="G31" sqref="G31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7" customWidth="1"/>
    <col min="7" max="7" width="11.140625" bestFit="1" customWidth="1"/>
    <col min="8" max="8" width="6.140625" style="97" customWidth="1"/>
    <col min="9" max="9" width="11.28515625" customWidth="1"/>
    <col min="10" max="10" width="21.7109375" style="60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">
      <c r="F10"/>
      <c r="H10"/>
      <c r="J10"/>
      <c r="M10" s="456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13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zoomScaleNormal="100" workbookViewId="0">
      <selection activeCell="G14" sqref="G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751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1" t="s">
        <v>17</v>
      </c>
      <c r="O4" s="89" t="s">
        <v>18</v>
      </c>
      <c r="P4" s="587" t="s">
        <v>508</v>
      </c>
    </row>
    <row r="5" spans="1:16" ht="15" customHeight="1" x14ac:dyDescent="0.2">
      <c r="A5" s="21">
        <v>1</v>
      </c>
      <c r="B5" s="21" t="s">
        <v>0</v>
      </c>
      <c r="C5" s="159">
        <v>3433011.42</v>
      </c>
      <c r="D5" s="204">
        <v>3427940.35</v>
      </c>
      <c r="E5" s="30">
        <v>742122.15</v>
      </c>
      <c r="F5" s="48">
        <f>E5/D5</f>
        <v>0.21649214228596481</v>
      </c>
      <c r="G5" s="30">
        <v>742122.15</v>
      </c>
      <c r="H5" s="48">
        <f>G5/D5</f>
        <v>0.21649214228596481</v>
      </c>
      <c r="I5" s="30">
        <v>742122.15</v>
      </c>
      <c r="J5" s="153">
        <f>I5/D5</f>
        <v>0.21649214228596481</v>
      </c>
      <c r="K5" s="578">
        <v>794446.32</v>
      </c>
      <c r="L5" s="48">
        <v>0.23380863714619973</v>
      </c>
      <c r="M5" s="210">
        <f>+G5/K5-1</f>
        <v>-6.5862436117773093E-2</v>
      </c>
      <c r="N5" s="578">
        <v>794446.32</v>
      </c>
      <c r="O5" s="48">
        <v>0.23380863714619973</v>
      </c>
      <c r="P5" s="210">
        <f>+I5/N5-1</f>
        <v>-6.5862436117773093E-2</v>
      </c>
    </row>
    <row r="6" spans="1:16" ht="15" customHeight="1" x14ac:dyDescent="0.2">
      <c r="A6" s="23">
        <v>2</v>
      </c>
      <c r="B6" s="23" t="s">
        <v>1</v>
      </c>
      <c r="C6" s="159">
        <v>8432957.5999999996</v>
      </c>
      <c r="D6" s="204">
        <v>8614150.8900000006</v>
      </c>
      <c r="E6" s="30">
        <v>7348302.9500000002</v>
      </c>
      <c r="F6" s="48">
        <f t="shared" ref="F6:F17" si="0">E6/D6</f>
        <v>0.85305017799612748</v>
      </c>
      <c r="G6" s="30">
        <v>6716630.8399999999</v>
      </c>
      <c r="H6" s="280">
        <f t="shared" ref="H6:H17" si="1">G6/D6</f>
        <v>0.77972059298348317</v>
      </c>
      <c r="I6" s="30">
        <v>671310.35</v>
      </c>
      <c r="J6" s="178">
        <f t="shared" ref="J6:J17" si="2">I6/D6</f>
        <v>7.7931111095268957E-2</v>
      </c>
      <c r="K6" s="579">
        <v>6787873.5999999996</v>
      </c>
      <c r="L6" s="412">
        <v>0.82583758017997466</v>
      </c>
      <c r="M6" s="210">
        <f t="shared" ref="M6:M17" si="3">+G6/K6-1</f>
        <v>-1.0495593200203324E-2</v>
      </c>
      <c r="N6" s="579">
        <v>825133.94</v>
      </c>
      <c r="O6" s="412">
        <v>0.10038881931065546</v>
      </c>
      <c r="P6" s="210">
        <f>+I6/N6-1</f>
        <v>-0.18642257037687726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4060522.45</v>
      </c>
      <c r="D8" s="204">
        <v>3930522.45</v>
      </c>
      <c r="E8" s="30">
        <v>3834306.47</v>
      </c>
      <c r="F8" s="48">
        <f t="shared" si="0"/>
        <v>0.97552081657745016</v>
      </c>
      <c r="G8" s="30">
        <v>3538450.09</v>
      </c>
      <c r="H8" s="48">
        <f t="shared" si="1"/>
        <v>0.90024930146372772</v>
      </c>
      <c r="I8" s="30">
        <v>37485.550000000003</v>
      </c>
      <c r="J8" s="178">
        <f t="shared" si="2"/>
        <v>9.5370400441295022E-3</v>
      </c>
      <c r="K8" s="635">
        <v>3299520.7</v>
      </c>
      <c r="L8" s="414">
        <v>0.89076821790794103</v>
      </c>
      <c r="M8" s="443">
        <f t="shared" si="3"/>
        <v>7.241336294692724E-2</v>
      </c>
      <c r="N8" s="635">
        <v>760950.13</v>
      </c>
      <c r="O8" s="414">
        <v>0.20543292582371617</v>
      </c>
      <c r="P8" s="443">
        <f t="shared" ref="P8:P17" si="4">+I8/N8-1</f>
        <v>-0.95073849320454151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15926491.469999999</v>
      </c>
      <c r="D10" s="152">
        <f t="shared" ref="D10:E10" si="5">SUM(D5:D9)</f>
        <v>15972613.690000001</v>
      </c>
      <c r="E10" s="84">
        <f t="shared" si="5"/>
        <v>11924731.57</v>
      </c>
      <c r="F10" s="90">
        <f t="shared" si="0"/>
        <v>0.74657359161360892</v>
      </c>
      <c r="G10" s="84">
        <f>SUM(G5:G9)</f>
        <v>10997203.08</v>
      </c>
      <c r="H10" s="90">
        <f t="shared" si="1"/>
        <v>0.68850366592695067</v>
      </c>
      <c r="I10" s="84">
        <f>SUM(I5:I9)</f>
        <v>1450918.05</v>
      </c>
      <c r="J10" s="170">
        <f t="shared" si="2"/>
        <v>9.0837860237512572E-2</v>
      </c>
      <c r="K10" s="568">
        <f>SUM(K5:K9)</f>
        <v>10881840.620000001</v>
      </c>
      <c r="L10" s="90">
        <v>0.71023992370890709</v>
      </c>
      <c r="M10" s="213">
        <f t="shared" si="3"/>
        <v>1.0601373795897429E-2</v>
      </c>
      <c r="N10" s="568">
        <f>SUM(N5:N9)</f>
        <v>2380530.3899999997</v>
      </c>
      <c r="O10" s="90">
        <v>0.15537332163024589</v>
      </c>
      <c r="P10" s="213">
        <f t="shared" si="4"/>
        <v>-0.39050639466946679</v>
      </c>
    </row>
    <row r="11" spans="1:16" ht="15" customHeight="1" x14ac:dyDescent="0.2">
      <c r="A11" s="21">
        <v>6</v>
      </c>
      <c r="B11" s="21" t="s">
        <v>5</v>
      </c>
      <c r="C11" s="159">
        <v>232973.89</v>
      </c>
      <c r="D11" s="204">
        <v>532973.89</v>
      </c>
      <c r="E11" s="30">
        <v>26013.42</v>
      </c>
      <c r="F11" s="48">
        <f t="shared" si="0"/>
        <v>4.8808056995062174E-2</v>
      </c>
      <c r="G11" s="30">
        <v>11013.42</v>
      </c>
      <c r="H11" s="48">
        <f t="shared" si="1"/>
        <v>2.0664089192061547E-2</v>
      </c>
      <c r="I11" s="30">
        <v>3441.24</v>
      </c>
      <c r="J11" s="153">
        <f t="shared" si="2"/>
        <v>6.4566765174931921E-3</v>
      </c>
      <c r="K11" s="565">
        <v>85261.66</v>
      </c>
      <c r="L11" s="48">
        <v>0.20349026018775776</v>
      </c>
      <c r="M11" s="224">
        <f t="shared" si="3"/>
        <v>-0.87082798997814492</v>
      </c>
      <c r="N11" s="565">
        <v>988.57</v>
      </c>
      <c r="O11" s="48">
        <v>2.3593766121116065E-3</v>
      </c>
      <c r="P11" s="224">
        <f t="shared" si="4"/>
        <v>2.4810281517747854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224" t="s">
        <v>129</v>
      </c>
      <c r="N12" s="569"/>
      <c r="O12" s="521"/>
      <c r="P12" s="559" t="s">
        <v>129</v>
      </c>
    </row>
    <row r="13" spans="1:16" ht="15" customHeight="1" x14ac:dyDescent="0.2">
      <c r="A13" s="9"/>
      <c r="B13" s="2" t="s">
        <v>7</v>
      </c>
      <c r="C13" s="162">
        <f>SUM(C11:C12)</f>
        <v>232973.89</v>
      </c>
      <c r="D13" s="152">
        <f t="shared" ref="D13:I13" si="6">SUM(D11:D12)</f>
        <v>532973.89</v>
      </c>
      <c r="E13" s="84">
        <f t="shared" si="6"/>
        <v>26013.42</v>
      </c>
      <c r="F13" s="90">
        <f t="shared" si="0"/>
        <v>4.8808056995062174E-2</v>
      </c>
      <c r="G13" s="84">
        <f t="shared" si="6"/>
        <v>11013.42</v>
      </c>
      <c r="H13" s="90">
        <f t="shared" si="1"/>
        <v>2.0664089192061547E-2</v>
      </c>
      <c r="I13" s="84">
        <f t="shared" si="6"/>
        <v>3441.24</v>
      </c>
      <c r="J13" s="170">
        <f t="shared" si="2"/>
        <v>6.4566765174931921E-3</v>
      </c>
      <c r="K13" s="568">
        <f>SUM(K11:K12)</f>
        <v>85261.66</v>
      </c>
      <c r="L13" s="90">
        <v>0.20349026018775776</v>
      </c>
      <c r="M13" s="213">
        <f t="shared" si="3"/>
        <v>-0.87082798997814492</v>
      </c>
      <c r="N13" s="568">
        <f>SUM(N11:N12)</f>
        <v>988.57</v>
      </c>
      <c r="O13" s="90">
        <v>2.3593766121116065E-3</v>
      </c>
      <c r="P13" s="213">
        <f t="shared" si="4"/>
        <v>2.4810281517747854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16505587.580000002</v>
      </c>
      <c r="E17" s="155">
        <f t="shared" si="8"/>
        <v>11950744.99</v>
      </c>
      <c r="F17" s="181">
        <f t="shared" si="0"/>
        <v>0.72404238456078029</v>
      </c>
      <c r="G17" s="155">
        <f t="shared" si="8"/>
        <v>11008216.5</v>
      </c>
      <c r="H17" s="181">
        <f t="shared" si="1"/>
        <v>0.66693878340561319</v>
      </c>
      <c r="I17" s="155">
        <f t="shared" si="8"/>
        <v>1454359.29</v>
      </c>
      <c r="J17" s="173">
        <f t="shared" si="2"/>
        <v>8.8113148529305491E-2</v>
      </c>
      <c r="K17" s="576">
        <f>K10+K13+K16</f>
        <v>10967102.280000001</v>
      </c>
      <c r="L17" s="181">
        <v>0.69675063331402187</v>
      </c>
      <c r="M17" s="607">
        <f t="shared" si="3"/>
        <v>3.7488681103099442E-3</v>
      </c>
      <c r="N17" s="576">
        <f>N10+N13+N16</f>
        <v>2381518.9599999995</v>
      </c>
      <c r="O17" s="181">
        <v>0.1513002068609641</v>
      </c>
      <c r="P17" s="607">
        <f t="shared" si="4"/>
        <v>-0.38931441889507346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workbookViewId="0">
      <selection activeCell="E1" sqref="E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topLeftCell="C1" zoomScaleNormal="100"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752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4017719</v>
      </c>
      <c r="D5" s="204">
        <v>4117127.04</v>
      </c>
      <c r="E5" s="30">
        <v>899984.64</v>
      </c>
      <c r="F5" s="48">
        <f>E5/D5</f>
        <v>0.21859530474920685</v>
      </c>
      <c r="G5" s="30">
        <v>899984.64</v>
      </c>
      <c r="H5" s="48">
        <f>G5/D5</f>
        <v>0.21859530474920685</v>
      </c>
      <c r="I5" s="30">
        <v>899984.64</v>
      </c>
      <c r="J5" s="153">
        <f>I5/D5</f>
        <v>0.21859530474920685</v>
      </c>
      <c r="K5" s="578">
        <v>982636.56</v>
      </c>
      <c r="L5" s="48">
        <v>0.23569234305683665</v>
      </c>
      <c r="M5" s="210">
        <f>+G5/K5-1</f>
        <v>-8.4112400621446537E-2</v>
      </c>
      <c r="N5" s="578">
        <v>982636.56</v>
      </c>
      <c r="O5" s="48">
        <v>0.23569234305683665</v>
      </c>
      <c r="P5" s="210">
        <f>+I5/N5-1</f>
        <v>-8.4112400621446537E-2</v>
      </c>
    </row>
    <row r="6" spans="1:16" ht="15" customHeight="1" x14ac:dyDescent="0.2">
      <c r="A6" s="23">
        <v>2</v>
      </c>
      <c r="B6" s="23" t="s">
        <v>1</v>
      </c>
      <c r="C6" s="159">
        <v>11569157.5</v>
      </c>
      <c r="D6" s="204">
        <v>11812703.85</v>
      </c>
      <c r="E6" s="30">
        <v>10312002.02</v>
      </c>
      <c r="F6" s="48">
        <f t="shared" ref="F6:F17" si="0">E6/D6</f>
        <v>0.8729586512066837</v>
      </c>
      <c r="G6" s="30">
        <v>10037298.539999999</v>
      </c>
      <c r="H6" s="280">
        <f t="shared" ref="H6:H17" si="1">G6/D6</f>
        <v>0.84970373146195477</v>
      </c>
      <c r="I6" s="30">
        <v>877317.64</v>
      </c>
      <c r="J6" s="178">
        <f t="shared" ref="J6:J17" si="2">I6/D6</f>
        <v>7.4268994731464463E-2</v>
      </c>
      <c r="K6" s="579">
        <v>9746083.5500000007</v>
      </c>
      <c r="L6" s="412">
        <v>0.83830788445030402</v>
      </c>
      <c r="M6" s="210">
        <f t="shared" ref="M6:M17" si="3">+G6/K6-1</f>
        <v>2.9880206598474901E-2</v>
      </c>
      <c r="N6" s="579">
        <v>915896.19</v>
      </c>
      <c r="O6" s="412">
        <v>7.8780670561252625E-2</v>
      </c>
      <c r="P6" s="210">
        <f>+I6/N6-1</f>
        <v>-4.2121094531466396E-2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5903469.7199999997</v>
      </c>
      <c r="D8" s="204">
        <v>5903469.7199999997</v>
      </c>
      <c r="E8" s="30">
        <v>5172961.8899999997</v>
      </c>
      <c r="F8" s="48">
        <f t="shared" si="0"/>
        <v>0.87625788482912725</v>
      </c>
      <c r="G8" s="30">
        <v>5031213.8899999997</v>
      </c>
      <c r="H8" s="48">
        <f t="shared" si="1"/>
        <v>0.85224692064652441</v>
      </c>
      <c r="I8" s="30">
        <v>564821.96</v>
      </c>
      <c r="J8" s="178">
        <f t="shared" si="2"/>
        <v>9.5676269514261184E-2</v>
      </c>
      <c r="K8" s="635">
        <v>1995262.06</v>
      </c>
      <c r="L8" s="414">
        <v>0.35237769263209945</v>
      </c>
      <c r="M8" s="443">
        <f t="shared" si="3"/>
        <v>1.5215804935417854</v>
      </c>
      <c r="N8" s="635">
        <v>234095.66</v>
      </c>
      <c r="O8" s="414">
        <v>4.1342984553111008E-2</v>
      </c>
      <c r="P8" s="443">
        <f t="shared" ref="P8:P17" si="4">+I8/N8-1</f>
        <v>1.4127827060100131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21490346.219999999</v>
      </c>
      <c r="D10" s="152">
        <f t="shared" ref="D10:E10" si="5">SUM(D5:D9)</f>
        <v>21833300.609999999</v>
      </c>
      <c r="E10" s="84">
        <f t="shared" si="5"/>
        <v>16384948.550000001</v>
      </c>
      <c r="F10" s="90">
        <f t="shared" si="0"/>
        <v>0.7504567835472129</v>
      </c>
      <c r="G10" s="84">
        <f>SUM(G5:G9)</f>
        <v>15968497.07</v>
      </c>
      <c r="H10" s="90">
        <f t="shared" si="1"/>
        <v>0.73138264137150999</v>
      </c>
      <c r="I10" s="84">
        <f>SUM(I5:I9)</f>
        <v>2342124.2400000002</v>
      </c>
      <c r="J10" s="170">
        <f t="shared" si="2"/>
        <v>0.10727302673271809</v>
      </c>
      <c r="K10" s="568">
        <f>SUM(K5:K9)</f>
        <v>12723982.170000002</v>
      </c>
      <c r="L10" s="90">
        <v>0.59298995495046591</v>
      </c>
      <c r="M10" s="213">
        <f t="shared" si="3"/>
        <v>0.25499209733645811</v>
      </c>
      <c r="N10" s="568">
        <f>SUM(N5:N9)</f>
        <v>2132628.41</v>
      </c>
      <c r="O10" s="90">
        <v>9.938926413726526E-2</v>
      </c>
      <c r="P10" s="213">
        <f t="shared" si="4"/>
        <v>9.8233629927118926E-2</v>
      </c>
    </row>
    <row r="11" spans="1:16" ht="15" customHeight="1" x14ac:dyDescent="0.2">
      <c r="A11" s="21">
        <v>6</v>
      </c>
      <c r="B11" s="21" t="s">
        <v>5</v>
      </c>
      <c r="C11" s="159">
        <v>596115.53</v>
      </c>
      <c r="D11" s="204">
        <v>1141120.8400000001</v>
      </c>
      <c r="E11" s="30">
        <v>274462.36</v>
      </c>
      <c r="F11" s="48">
        <f t="shared" si="0"/>
        <v>0.2405199785852653</v>
      </c>
      <c r="G11" s="30">
        <v>154902.93</v>
      </c>
      <c r="H11" s="48">
        <f t="shared" si="1"/>
        <v>0.13574629834996263</v>
      </c>
      <c r="I11" s="30">
        <v>0</v>
      </c>
      <c r="J11" s="153">
        <f t="shared" si="2"/>
        <v>0</v>
      </c>
      <c r="K11" s="565">
        <v>35382.65</v>
      </c>
      <c r="L11" s="48">
        <v>7.3747466110752197E-2</v>
      </c>
      <c r="M11" s="224">
        <f t="shared" si="3"/>
        <v>3.3779346657189322</v>
      </c>
      <c r="N11" s="565">
        <v>20037.580000000002</v>
      </c>
      <c r="O11" s="48">
        <v>4.1763993143291586E-2</v>
      </c>
      <c r="P11" s="224">
        <f t="shared" si="4"/>
        <v>-1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596115.53</v>
      </c>
      <c r="D13" s="152">
        <f t="shared" ref="D13:I13" si="6">SUM(D11:D12)</f>
        <v>1141120.8400000001</v>
      </c>
      <c r="E13" s="84">
        <f t="shared" si="6"/>
        <v>274462.36</v>
      </c>
      <c r="F13" s="90">
        <f t="shared" si="0"/>
        <v>0.2405199785852653</v>
      </c>
      <c r="G13" s="84">
        <f t="shared" si="6"/>
        <v>154902.93</v>
      </c>
      <c r="H13" s="90">
        <f t="shared" si="1"/>
        <v>0.13574629834996263</v>
      </c>
      <c r="I13" s="84">
        <f t="shared" si="6"/>
        <v>0</v>
      </c>
      <c r="J13" s="170">
        <f t="shared" si="2"/>
        <v>0</v>
      </c>
      <c r="K13" s="568">
        <f>SUM(K11:K12)</f>
        <v>35382.65</v>
      </c>
      <c r="L13" s="90">
        <v>7.3747466110752197E-2</v>
      </c>
      <c r="M13" s="213">
        <f t="shared" si="3"/>
        <v>3.3779346657189322</v>
      </c>
      <c r="N13" s="568">
        <f>SUM(N11:N12)</f>
        <v>20037.580000000002</v>
      </c>
      <c r="O13" s="90">
        <v>4.1763993143291586E-2</v>
      </c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22086461.75</v>
      </c>
      <c r="D17" s="154">
        <f t="shared" ref="D17:I17" si="8">+D10+D13+D16</f>
        <v>22974421.449999999</v>
      </c>
      <c r="E17" s="155">
        <f t="shared" si="8"/>
        <v>16659410.91</v>
      </c>
      <c r="F17" s="181">
        <f t="shared" si="0"/>
        <v>0.72512863691720952</v>
      </c>
      <c r="G17" s="155">
        <f t="shared" si="8"/>
        <v>16123400</v>
      </c>
      <c r="H17" s="181">
        <f t="shared" si="1"/>
        <v>0.70179786834196867</v>
      </c>
      <c r="I17" s="155">
        <f t="shared" si="8"/>
        <v>2342124.2400000002</v>
      </c>
      <c r="J17" s="173">
        <f t="shared" si="2"/>
        <v>0.10194486268554111</v>
      </c>
      <c r="K17" s="576">
        <f>K10+K13+K16</f>
        <v>12759364.820000002</v>
      </c>
      <c r="L17" s="181">
        <v>0.58163372951954473</v>
      </c>
      <c r="M17" s="607">
        <f t="shared" si="3"/>
        <v>0.26365224503393403</v>
      </c>
      <c r="N17" s="576">
        <f>N10+N13+N16</f>
        <v>2152665.9900000002</v>
      </c>
      <c r="O17" s="181">
        <v>9.8128955934468132E-2</v>
      </c>
      <c r="P17" s="607">
        <f t="shared" si="4"/>
        <v>8.8010983069417126E-2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B5" workbookViewId="0">
      <selection activeCell="E11" sqref="E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topLeftCell="A4" zoomScaleNormal="100" workbookViewId="0">
      <selection activeCell="A20" sqref="A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753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4102543.82</v>
      </c>
      <c r="D5" s="204">
        <v>4138812.57</v>
      </c>
      <c r="E5" s="30">
        <v>891903.15</v>
      </c>
      <c r="F5" s="48">
        <f>E5/D5</f>
        <v>0.21549735217896085</v>
      </c>
      <c r="G5" s="30">
        <v>891903.15</v>
      </c>
      <c r="H5" s="48">
        <f>G5/D5</f>
        <v>0.21549735217896085</v>
      </c>
      <c r="I5" s="30">
        <v>891903.15</v>
      </c>
      <c r="J5" s="153">
        <f>I5/D5</f>
        <v>0.21549735217896085</v>
      </c>
      <c r="K5" s="578">
        <v>951160.86</v>
      </c>
      <c r="L5" s="48">
        <v>0.23386270715631383</v>
      </c>
      <c r="M5" s="210">
        <f>+G5/K5-1</f>
        <v>-6.2300408366256721E-2</v>
      </c>
      <c r="N5" s="578">
        <v>951160.86</v>
      </c>
      <c r="O5" s="48">
        <v>0.23386270715631383</v>
      </c>
      <c r="P5" s="210">
        <f>+I5/N5-1</f>
        <v>-6.2300408366256721E-2</v>
      </c>
    </row>
    <row r="6" spans="1:16" ht="15" customHeight="1" x14ac:dyDescent="0.2">
      <c r="A6" s="23">
        <v>2</v>
      </c>
      <c r="B6" s="23" t="s">
        <v>1</v>
      </c>
      <c r="C6" s="159">
        <v>12035819.98</v>
      </c>
      <c r="D6" s="204">
        <v>12263057.74</v>
      </c>
      <c r="E6" s="30">
        <v>10038495.710000001</v>
      </c>
      <c r="F6" s="48">
        <f t="shared" ref="F6:F17" si="0">E6/D6</f>
        <v>0.81859646450624968</v>
      </c>
      <c r="G6" s="30">
        <v>9624688.0999999996</v>
      </c>
      <c r="H6" s="280">
        <f t="shared" ref="H6:H17" si="1">G6/D6</f>
        <v>0.78485222071538574</v>
      </c>
      <c r="I6" s="30">
        <v>1221313.71</v>
      </c>
      <c r="J6" s="178">
        <f t="shared" ref="J6:J17" si="2">I6/D6</f>
        <v>9.9592918495057164E-2</v>
      </c>
      <c r="K6" s="579">
        <v>10090843.91</v>
      </c>
      <c r="L6" s="412">
        <v>0.88426221678916428</v>
      </c>
      <c r="M6" s="210">
        <f t="shared" ref="M6:M17" si="3">+G6/K6-1</f>
        <v>-4.619591920731636E-2</v>
      </c>
      <c r="N6" s="579">
        <v>1018187.9</v>
      </c>
      <c r="O6" s="412">
        <v>8.9223963584419766E-2</v>
      </c>
      <c r="P6" s="210">
        <f>+I6/N6-1</f>
        <v>0.19949737175230609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8849400</v>
      </c>
      <c r="D8" s="204">
        <v>8855513.0999999996</v>
      </c>
      <c r="E8" s="30">
        <v>8437179.8000000007</v>
      </c>
      <c r="F8" s="48">
        <f t="shared" si="0"/>
        <v>0.952760128602825</v>
      </c>
      <c r="G8" s="30">
        <v>8115584.7999999998</v>
      </c>
      <c r="H8" s="48">
        <f t="shared" si="1"/>
        <v>0.91644433341756337</v>
      </c>
      <c r="I8" s="30">
        <v>1071268.48</v>
      </c>
      <c r="J8" s="178">
        <f t="shared" si="2"/>
        <v>0.12097192651660128</v>
      </c>
      <c r="K8" s="635">
        <v>5670742.3799999999</v>
      </c>
      <c r="L8" s="414">
        <v>0.92552594940288135</v>
      </c>
      <c r="M8" s="443">
        <f t="shared" si="3"/>
        <v>0.43113269060196657</v>
      </c>
      <c r="N8" s="635">
        <v>2447383.38</v>
      </c>
      <c r="O8" s="414">
        <v>0.39943920470027289</v>
      </c>
      <c r="P8" s="443">
        <f t="shared" ref="P8:P17" si="4">+I8/N8-1</f>
        <v>-0.56228007072598496</v>
      </c>
    </row>
    <row r="9" spans="1:16" ht="15" customHeight="1" x14ac:dyDescent="0.2">
      <c r="A9" s="55">
        <v>5</v>
      </c>
      <c r="B9" s="55" t="s">
        <v>453</v>
      </c>
      <c r="C9" s="176">
        <v>150000</v>
      </c>
      <c r="D9" s="516"/>
      <c r="E9" s="180"/>
      <c r="F9" s="390" t="s">
        <v>129</v>
      </c>
      <c r="G9" s="34"/>
      <c r="H9" s="78" t="s">
        <v>129</v>
      </c>
      <c r="I9" s="34">
        <v>0</v>
      </c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25257383.41</v>
      </c>
      <c r="E10" s="84">
        <f t="shared" si="5"/>
        <v>19367578.660000004</v>
      </c>
      <c r="F10" s="90">
        <f t="shared" si="0"/>
        <v>0.76680859397066115</v>
      </c>
      <c r="G10" s="84">
        <f>SUM(G5:G9)</f>
        <v>18632176.050000001</v>
      </c>
      <c r="H10" s="90">
        <f t="shared" si="1"/>
        <v>0.73769225210490641</v>
      </c>
      <c r="I10" s="84">
        <f>SUM(I5:I9)</f>
        <v>3184485.34</v>
      </c>
      <c r="J10" s="170">
        <f t="shared" si="2"/>
        <v>0.12608136354849753</v>
      </c>
      <c r="K10" s="568">
        <f>SUM(K5:K9)</f>
        <v>16712747.149999999</v>
      </c>
      <c r="L10" s="90">
        <v>0.77352981229809403</v>
      </c>
      <c r="M10" s="213">
        <f t="shared" si="3"/>
        <v>0.11484819837054761</v>
      </c>
      <c r="N10" s="568">
        <f>SUM(N5:N9)</f>
        <v>4416732.1399999997</v>
      </c>
      <c r="O10" s="90">
        <v>0.20442324368110595</v>
      </c>
      <c r="P10" s="213">
        <f t="shared" si="4"/>
        <v>-0.27899513960563616</v>
      </c>
    </row>
    <row r="11" spans="1:16" ht="15" customHeight="1" x14ac:dyDescent="0.2">
      <c r="A11" s="21">
        <v>6</v>
      </c>
      <c r="B11" s="21" t="s">
        <v>5</v>
      </c>
      <c r="C11" s="159">
        <v>533716.47</v>
      </c>
      <c r="D11" s="204">
        <v>533716.47</v>
      </c>
      <c r="E11" s="30">
        <v>46138.98</v>
      </c>
      <c r="F11" s="48">
        <f t="shared" si="0"/>
        <v>8.6448484529623018E-2</v>
      </c>
      <c r="G11" s="30">
        <v>21775.79</v>
      </c>
      <c r="H11" s="48">
        <f t="shared" si="1"/>
        <v>4.0800296082300028E-2</v>
      </c>
      <c r="I11" s="30">
        <v>636.80999999999995</v>
      </c>
      <c r="J11" s="153">
        <f t="shared" si="2"/>
        <v>1.1931616050746944E-3</v>
      </c>
      <c r="K11" s="565"/>
      <c r="L11" s="48"/>
      <c r="M11" s="224" t="s">
        <v>129</v>
      </c>
      <c r="N11" s="565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224" t="s">
        <v>129</v>
      </c>
      <c r="N12" s="569"/>
      <c r="O12" s="521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533716.47</v>
      </c>
      <c r="D13" s="152">
        <f t="shared" ref="D13:I13" si="6">SUM(D11:D12)</f>
        <v>533716.47</v>
      </c>
      <c r="E13" s="84">
        <f t="shared" si="6"/>
        <v>46138.98</v>
      </c>
      <c r="F13" s="90">
        <f t="shared" si="0"/>
        <v>8.6448484529623018E-2</v>
      </c>
      <c r="G13" s="84">
        <f t="shared" si="6"/>
        <v>21775.79</v>
      </c>
      <c r="H13" s="90">
        <f t="shared" si="1"/>
        <v>4.0800296082300028E-2</v>
      </c>
      <c r="I13" s="84">
        <f t="shared" si="6"/>
        <v>636.80999999999995</v>
      </c>
      <c r="J13" s="170">
        <f t="shared" si="2"/>
        <v>1.1931616050746944E-3</v>
      </c>
      <c r="K13" s="568">
        <f>SUM(K11:K12)</f>
        <v>0</v>
      </c>
      <c r="L13" s="90"/>
      <c r="M13" s="213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25671480.27</v>
      </c>
      <c r="D17" s="154">
        <f t="shared" ref="D17:I17" si="8">+D10+D13+D16</f>
        <v>25791099.879999999</v>
      </c>
      <c r="E17" s="155">
        <f t="shared" si="8"/>
        <v>19413717.640000004</v>
      </c>
      <c r="F17" s="181">
        <f t="shared" si="0"/>
        <v>0.75272934191746477</v>
      </c>
      <c r="G17" s="155">
        <f t="shared" si="8"/>
        <v>18653951.84</v>
      </c>
      <c r="H17" s="181">
        <f t="shared" si="1"/>
        <v>0.72327089293564473</v>
      </c>
      <c r="I17" s="155">
        <f t="shared" si="8"/>
        <v>3185122.15</v>
      </c>
      <c r="J17" s="173">
        <f t="shared" si="2"/>
        <v>0.12349694913437713</v>
      </c>
      <c r="K17" s="576">
        <f>K10+K13+K16</f>
        <v>16712747.149999999</v>
      </c>
      <c r="L17" s="181">
        <v>0.77352981229809403</v>
      </c>
      <c r="M17" s="607">
        <f t="shared" si="3"/>
        <v>0.1161511433504816</v>
      </c>
      <c r="N17" s="576">
        <f>N10+N13+N16</f>
        <v>4416732.1399999997</v>
      </c>
      <c r="O17" s="181">
        <v>0.20442324368110595</v>
      </c>
      <c r="P17" s="607">
        <f t="shared" si="4"/>
        <v>-0.27885095834677442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13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topLeftCell="E1" workbookViewId="0">
      <selection activeCell="I8" sqref="I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754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942221.53</v>
      </c>
      <c r="F5" s="48">
        <f>E5/D5</f>
        <v>0.22089620555175582</v>
      </c>
      <c r="G5" s="30">
        <v>942221.53</v>
      </c>
      <c r="H5" s="48">
        <f>G5/D5</f>
        <v>0.22089620555175582</v>
      </c>
      <c r="I5" s="30">
        <v>942221.53</v>
      </c>
      <c r="J5" s="153">
        <f>I5/D5</f>
        <v>0.22089620555175582</v>
      </c>
      <c r="K5" s="578">
        <v>928554.81</v>
      </c>
      <c r="L5" s="48">
        <v>0.2397130611185653</v>
      </c>
      <c r="M5" s="210">
        <f>+G5/K5-1</f>
        <v>1.4718269565584308E-2</v>
      </c>
      <c r="N5" s="578">
        <v>928554.81</v>
      </c>
      <c r="O5" s="48">
        <v>0.2397130611185653</v>
      </c>
      <c r="P5" s="210">
        <f>+I5/N5-1</f>
        <v>1.4718269565584308E-2</v>
      </c>
    </row>
    <row r="6" spans="1:16" ht="15" customHeight="1" x14ac:dyDescent="0.2">
      <c r="A6" s="23">
        <v>2</v>
      </c>
      <c r="B6" s="23" t="s">
        <v>1</v>
      </c>
      <c r="C6" s="159">
        <v>13635192.460000001</v>
      </c>
      <c r="D6" s="204">
        <v>13928887.26</v>
      </c>
      <c r="E6" s="30">
        <v>11951576.720000001</v>
      </c>
      <c r="F6" s="48">
        <f t="shared" ref="F6:F17" si="0">E6/D6</f>
        <v>0.85804246218014124</v>
      </c>
      <c r="G6" s="30">
        <v>11054373.9</v>
      </c>
      <c r="H6" s="280">
        <f t="shared" ref="H6:H17" si="1">G6/D6</f>
        <v>0.79362936131626072</v>
      </c>
      <c r="I6" s="30">
        <v>1433106.04</v>
      </c>
      <c r="J6" s="178">
        <f t="shared" ref="J6:J17" si="2">I6/D6</f>
        <v>0.10288733143210178</v>
      </c>
      <c r="K6" s="579">
        <v>11392487.43</v>
      </c>
      <c r="L6" s="412">
        <v>0.8969131164064631</v>
      </c>
      <c r="M6" s="210">
        <f t="shared" ref="M6:M17" si="3">+G6/K6-1</f>
        <v>-2.9678639724423972E-2</v>
      </c>
      <c r="N6" s="579">
        <v>1175262.7</v>
      </c>
      <c r="O6" s="412">
        <v>9.2526635410408717E-2</v>
      </c>
      <c r="P6" s="210">
        <f>+I6/N6-1</f>
        <v>0.21939208995571802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13307434.48</v>
      </c>
      <c r="D8" s="204">
        <v>13133864.48</v>
      </c>
      <c r="E8" s="30">
        <v>12786102.300000001</v>
      </c>
      <c r="F8" s="48">
        <f t="shared" si="0"/>
        <v>0.97352171704454804</v>
      </c>
      <c r="G8" s="30">
        <v>12406102.300000001</v>
      </c>
      <c r="H8" s="48">
        <f t="shared" si="1"/>
        <v>0.94458887701268568</v>
      </c>
      <c r="I8" s="30">
        <v>399886.83</v>
      </c>
      <c r="J8" s="178">
        <f t="shared" si="2"/>
        <v>3.044700442957517E-2</v>
      </c>
      <c r="K8" s="635">
        <v>8352862</v>
      </c>
      <c r="L8" s="414">
        <v>0.93597089860292326</v>
      </c>
      <c r="M8" s="443">
        <f t="shared" si="3"/>
        <v>0.48525167780815726</v>
      </c>
      <c r="N8" s="635">
        <v>481013.34</v>
      </c>
      <c r="O8" s="414">
        <v>5.3899428492867892E-2</v>
      </c>
      <c r="P8" s="443">
        <f t="shared" ref="P8:P17" si="4">+I8/N8-1</f>
        <v>-0.16865750542386204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31142719.07</v>
      </c>
      <c r="D10" s="152">
        <f t="shared" ref="D10:E10" si="5">SUM(D5:D9)</f>
        <v>31328200.879999999</v>
      </c>
      <c r="E10" s="84">
        <f t="shared" si="5"/>
        <v>25679900.550000001</v>
      </c>
      <c r="F10" s="90">
        <f t="shared" si="0"/>
        <v>0.81970556331545086</v>
      </c>
      <c r="G10" s="84">
        <f>SUM(G5:G9)</f>
        <v>24402697.73</v>
      </c>
      <c r="H10" s="90">
        <f t="shared" si="1"/>
        <v>0.7789370932430002</v>
      </c>
      <c r="I10" s="84">
        <f>SUM(I5:I9)</f>
        <v>2775214.4000000004</v>
      </c>
      <c r="J10" s="170">
        <f t="shared" si="2"/>
        <v>8.858518274414233E-2</v>
      </c>
      <c r="K10" s="568">
        <f>SUM(K5:K9)</f>
        <v>20673904.240000002</v>
      </c>
      <c r="L10" s="90">
        <v>0.81074865220059378</v>
      </c>
      <c r="M10" s="213">
        <f t="shared" si="3"/>
        <v>0.18036232763357329</v>
      </c>
      <c r="N10" s="568">
        <f>SUM(N5:N9)</f>
        <v>2584830.8499999996</v>
      </c>
      <c r="O10" s="90">
        <v>0.1013668295778086</v>
      </c>
      <c r="P10" s="213">
        <f t="shared" si="4"/>
        <v>7.3654161934813223E-2</v>
      </c>
    </row>
    <row r="11" spans="1:16" ht="15" customHeight="1" x14ac:dyDescent="0.2">
      <c r="A11" s="21">
        <v>6</v>
      </c>
      <c r="B11" s="21" t="s">
        <v>5</v>
      </c>
      <c r="C11" s="159">
        <v>771687.76</v>
      </c>
      <c r="D11" s="204">
        <v>944632.09</v>
      </c>
      <c r="E11" s="30">
        <v>302367.44</v>
      </c>
      <c r="F11" s="48">
        <f t="shared" si="0"/>
        <v>0.32009016335661433</v>
      </c>
      <c r="G11" s="30">
        <v>228195.54</v>
      </c>
      <c r="H11" s="48">
        <f t="shared" si="1"/>
        <v>0.24157081091750759</v>
      </c>
      <c r="I11" s="30">
        <v>8072.45</v>
      </c>
      <c r="J11" s="153">
        <f t="shared" si="2"/>
        <v>8.5456021296079401E-3</v>
      </c>
      <c r="K11" s="565">
        <v>205806.74</v>
      </c>
      <c r="L11" s="48">
        <v>0.30421907289420852</v>
      </c>
      <c r="M11" s="224">
        <f t="shared" si="3"/>
        <v>0.10878555289297154</v>
      </c>
      <c r="N11" s="565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0</v>
      </c>
      <c r="J12" s="153">
        <f t="shared" si="2"/>
        <v>0</v>
      </c>
      <c r="K12" s="569"/>
      <c r="L12" s="390"/>
      <c r="M12" s="559" t="s">
        <v>129</v>
      </c>
      <c r="N12" s="569"/>
      <c r="O12" s="390"/>
      <c r="P12" s="559" t="s">
        <v>129</v>
      </c>
    </row>
    <row r="13" spans="1:16" ht="15" customHeight="1" x14ac:dyDescent="0.2">
      <c r="A13" s="9"/>
      <c r="B13" s="2" t="s">
        <v>7</v>
      </c>
      <c r="C13" s="162">
        <f>SUM(C11:C12)</f>
        <v>771687.76</v>
      </c>
      <c r="D13" s="152">
        <f t="shared" ref="D13:I13" si="6">SUM(D11:D12)</f>
        <v>1157824.0899999999</v>
      </c>
      <c r="E13" s="84">
        <f t="shared" si="6"/>
        <v>515559.44</v>
      </c>
      <c r="F13" s="90">
        <f t="shared" si="0"/>
        <v>0.44528304813557651</v>
      </c>
      <c r="G13" s="84">
        <f t="shared" si="6"/>
        <v>441387.54000000004</v>
      </c>
      <c r="H13" s="90">
        <f t="shared" si="1"/>
        <v>0.38122158954215585</v>
      </c>
      <c r="I13" s="84">
        <f t="shared" si="6"/>
        <v>8072.45</v>
      </c>
      <c r="J13" s="170">
        <f t="shared" si="2"/>
        <v>6.9720867528330673E-3</v>
      </c>
      <c r="K13" s="568">
        <f>SUM(K11:K12)</f>
        <v>205806.74</v>
      </c>
      <c r="L13" s="90">
        <v>0.30421907289420852</v>
      </c>
      <c r="M13" s="629">
        <f t="shared" si="3"/>
        <v>1.1446699947727663</v>
      </c>
      <c r="N13" s="568">
        <f>SUM(N11:N12)</f>
        <v>0</v>
      </c>
      <c r="O13" s="90" t="s">
        <v>129</v>
      </c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32486024.969999999</v>
      </c>
      <c r="E17" s="155">
        <f t="shared" si="8"/>
        <v>26195459.990000002</v>
      </c>
      <c r="F17" s="181">
        <f t="shared" si="0"/>
        <v>0.80636088946526485</v>
      </c>
      <c r="G17" s="155">
        <f t="shared" si="8"/>
        <v>24844085.27</v>
      </c>
      <c r="H17" s="181">
        <f t="shared" si="1"/>
        <v>0.76476224139281024</v>
      </c>
      <c r="I17" s="155">
        <f t="shared" si="8"/>
        <v>2783286.8500000006</v>
      </c>
      <c r="J17" s="173">
        <f t="shared" si="2"/>
        <v>8.567643633132381E-2</v>
      </c>
      <c r="K17" s="576">
        <f>K10+K13+K16</f>
        <v>20879710.98</v>
      </c>
      <c r="L17" s="181">
        <v>0.7976577353369565</v>
      </c>
      <c r="M17" s="607">
        <f t="shared" si="3"/>
        <v>0.18986729719570095</v>
      </c>
      <c r="N17" s="576">
        <f>N10+N13+N16</f>
        <v>2584830.8499999996</v>
      </c>
      <c r="O17" s="181">
        <v>9.8747071930978439E-2</v>
      </c>
      <c r="P17" s="607">
        <f t="shared" si="4"/>
        <v>7.677717093170755E-2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13" workbookViewId="0">
      <selection activeCell="F17" sqref="F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workbookViewId="0">
      <selection activeCell="I11" sqref="I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755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3911994.03</v>
      </c>
      <c r="D5" s="204">
        <v>3916460.54</v>
      </c>
      <c r="E5" s="30">
        <v>868383.3</v>
      </c>
      <c r="F5" s="48">
        <f>E5/D5</f>
        <v>0.22172655415034515</v>
      </c>
      <c r="G5" s="30">
        <v>868383.3</v>
      </c>
      <c r="H5" s="48">
        <f>G5/D5</f>
        <v>0.22172655415034515</v>
      </c>
      <c r="I5" s="30">
        <v>868383.3</v>
      </c>
      <c r="J5" s="153">
        <f>I5/D5</f>
        <v>0.22172655415034515</v>
      </c>
      <c r="K5" s="578">
        <v>885889</v>
      </c>
      <c r="L5" s="48">
        <v>0.2245569415491023</v>
      </c>
      <c r="M5" s="210">
        <f>+G5/K5-1</f>
        <v>-1.976060206188357E-2</v>
      </c>
      <c r="N5" s="578">
        <v>885889</v>
      </c>
      <c r="O5" s="48">
        <v>0.2245569415491023</v>
      </c>
      <c r="P5" s="210">
        <f>+I5/N5-1</f>
        <v>-1.976060206188357E-2</v>
      </c>
    </row>
    <row r="6" spans="1:16" ht="15" customHeight="1" x14ac:dyDescent="0.2">
      <c r="A6" s="23">
        <v>2</v>
      </c>
      <c r="B6" s="23" t="s">
        <v>1</v>
      </c>
      <c r="C6" s="159">
        <v>15815035.859999999</v>
      </c>
      <c r="D6" s="204">
        <v>16703133.060000001</v>
      </c>
      <c r="E6" s="30">
        <v>12538811.18</v>
      </c>
      <c r="F6" s="48">
        <f t="shared" ref="F6:F17" si="0">E6/D6</f>
        <v>0.75068618174559398</v>
      </c>
      <c r="G6" s="30">
        <v>11975911.449999999</v>
      </c>
      <c r="H6" s="280">
        <f t="shared" ref="H6:H17" si="1">G6/D6</f>
        <v>0.71698593353599249</v>
      </c>
      <c r="I6" s="30">
        <v>1679576.35</v>
      </c>
      <c r="J6" s="178">
        <f t="shared" ref="J6:J17" si="2">I6/D6</f>
        <v>0.1005545692515725</v>
      </c>
      <c r="K6" s="579">
        <v>11824768.949999999</v>
      </c>
      <c r="L6" s="412">
        <v>0.86652205624658618</v>
      </c>
      <c r="M6" s="210">
        <f t="shared" ref="M6:M17" si="3">+G6/K6-1</f>
        <v>1.2781856511454359E-2</v>
      </c>
      <c r="N6" s="579">
        <v>967311</v>
      </c>
      <c r="O6" s="412">
        <v>7.0884794476254148E-2</v>
      </c>
      <c r="P6" s="210">
        <f>+I6/N6-1</f>
        <v>0.73633541849518935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14580370.869999999</v>
      </c>
      <c r="D8" s="204">
        <v>14194349.51</v>
      </c>
      <c r="E8" s="30">
        <v>13451932.720000001</v>
      </c>
      <c r="F8" s="48">
        <f t="shared" si="0"/>
        <v>0.94769631468656157</v>
      </c>
      <c r="G8" s="30">
        <v>12847757.73</v>
      </c>
      <c r="H8" s="48">
        <f t="shared" si="1"/>
        <v>0.90513184284694992</v>
      </c>
      <c r="I8" s="30">
        <v>2992867.09</v>
      </c>
      <c r="J8" s="178">
        <f t="shared" si="2"/>
        <v>0.21084918952372619</v>
      </c>
      <c r="K8" s="635">
        <v>8386148.5700000003</v>
      </c>
      <c r="L8" s="414">
        <v>0.8549022721397197</v>
      </c>
      <c r="M8" s="443">
        <f t="shared" si="3"/>
        <v>0.5320212398765074</v>
      </c>
      <c r="N8" s="635">
        <v>2002898.43</v>
      </c>
      <c r="O8" s="414">
        <v>0.2041798334932286</v>
      </c>
      <c r="P8" s="443">
        <f t="shared" ref="P8:P17" si="4">+I8/N8-1</f>
        <v>0.49426802935783409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34307400.759999998</v>
      </c>
      <c r="D10" s="152">
        <f t="shared" ref="D10:E10" si="5">SUM(D5:D9)</f>
        <v>34813943.109999999</v>
      </c>
      <c r="E10" s="84">
        <f t="shared" si="5"/>
        <v>26859127.200000003</v>
      </c>
      <c r="F10" s="90">
        <f t="shared" si="0"/>
        <v>0.77150488570439912</v>
      </c>
      <c r="G10" s="84">
        <f>SUM(G5:G9)</f>
        <v>25692052.48</v>
      </c>
      <c r="H10" s="90">
        <f t="shared" si="1"/>
        <v>0.73798168736077996</v>
      </c>
      <c r="I10" s="84">
        <f>SUM(I5:I9)</f>
        <v>5540826.7400000002</v>
      </c>
      <c r="J10" s="170">
        <f t="shared" si="2"/>
        <v>0.15915539134687809</v>
      </c>
      <c r="K10" s="568">
        <f>SUM(K5:K9)</f>
        <v>21096806.52</v>
      </c>
      <c r="L10" s="90">
        <v>0.76993463295379483</v>
      </c>
      <c r="M10" s="213">
        <f t="shared" si="3"/>
        <v>0.21781713529219027</v>
      </c>
      <c r="N10" s="568">
        <f>SUM(N5:N9)</f>
        <v>3856098.4299999997</v>
      </c>
      <c r="O10" s="90">
        <v>0.14072953299927948</v>
      </c>
      <c r="P10" s="213">
        <f t="shared" si="4"/>
        <v>0.43689971627617408</v>
      </c>
    </row>
    <row r="11" spans="1:16" ht="15" customHeight="1" x14ac:dyDescent="0.2">
      <c r="A11" s="21">
        <v>6</v>
      </c>
      <c r="B11" s="21" t="s">
        <v>5</v>
      </c>
      <c r="C11" s="159">
        <v>2057308.75</v>
      </c>
      <c r="D11" s="204">
        <v>3790716.95</v>
      </c>
      <c r="E11" s="30">
        <v>1292353.26</v>
      </c>
      <c r="F11" s="48">
        <f t="shared" si="0"/>
        <v>0.34092581351926049</v>
      </c>
      <c r="G11" s="30">
        <v>602086.01</v>
      </c>
      <c r="H11" s="48">
        <f t="shared" si="1"/>
        <v>0.158831698051209</v>
      </c>
      <c r="I11" s="30">
        <v>33944.629999999997</v>
      </c>
      <c r="J11" s="153">
        <f t="shared" si="2"/>
        <v>8.9546728093217298E-3</v>
      </c>
      <c r="K11" s="565">
        <v>82168.5</v>
      </c>
      <c r="L11" s="48">
        <v>2.2496647084178437E-2</v>
      </c>
      <c r="M11" s="224">
        <f t="shared" si="3"/>
        <v>6.3274552900442389</v>
      </c>
      <c r="N11" s="565">
        <v>10495.5</v>
      </c>
      <c r="O11" s="48">
        <v>2.8735289006370421E-3</v>
      </c>
      <c r="P11" s="224">
        <f t="shared" si="4"/>
        <v>2.2342079939021482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559" t="s">
        <v>129</v>
      </c>
    </row>
    <row r="13" spans="1:16" ht="15" customHeight="1" x14ac:dyDescent="0.2">
      <c r="A13" s="9"/>
      <c r="B13" s="2" t="s">
        <v>7</v>
      </c>
      <c r="C13" s="162">
        <f>SUM(C11:C12)</f>
        <v>2057308.75</v>
      </c>
      <c r="D13" s="152">
        <f t="shared" ref="D13:I13" si="6">SUM(D11:D12)</f>
        <v>3790716.95</v>
      </c>
      <c r="E13" s="84">
        <f t="shared" si="6"/>
        <v>1292353.26</v>
      </c>
      <c r="F13" s="90">
        <f t="shared" si="0"/>
        <v>0.34092581351926049</v>
      </c>
      <c r="G13" s="84">
        <f t="shared" si="6"/>
        <v>602086.01</v>
      </c>
      <c r="H13" s="90">
        <f t="shared" si="1"/>
        <v>0.158831698051209</v>
      </c>
      <c r="I13" s="84">
        <f t="shared" si="6"/>
        <v>33944.629999999997</v>
      </c>
      <c r="J13" s="170">
        <f t="shared" si="2"/>
        <v>8.9546728093217298E-3</v>
      </c>
      <c r="K13" s="568">
        <f>SUM(K11:K12)</f>
        <v>82168.5</v>
      </c>
      <c r="L13" s="90">
        <v>2.2496647084178437E-2</v>
      </c>
      <c r="M13" s="629">
        <f t="shared" si="3"/>
        <v>6.3274552900442389</v>
      </c>
      <c r="N13" s="568">
        <f>SUM(N11:N12)</f>
        <v>10495.5</v>
      </c>
      <c r="O13" s="90">
        <v>2.8735289006370421E-3</v>
      </c>
      <c r="P13" s="213">
        <f t="shared" si="4"/>
        <v>2.2342079939021482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38604660.060000002</v>
      </c>
      <c r="E17" s="155">
        <f t="shared" si="8"/>
        <v>28151480.460000005</v>
      </c>
      <c r="F17" s="181">
        <f t="shared" si="0"/>
        <v>0.72922492818863083</v>
      </c>
      <c r="G17" s="155">
        <f t="shared" si="8"/>
        <v>26294138.490000002</v>
      </c>
      <c r="H17" s="181">
        <f t="shared" si="1"/>
        <v>0.68111306896973622</v>
      </c>
      <c r="I17" s="155">
        <f t="shared" si="8"/>
        <v>5574771.3700000001</v>
      </c>
      <c r="J17" s="173">
        <f t="shared" si="2"/>
        <v>0.14440669497764255</v>
      </c>
      <c r="K17" s="576">
        <f>K10+K13+K16</f>
        <v>21178975.02</v>
      </c>
      <c r="L17" s="181">
        <v>0.68202112357323541</v>
      </c>
      <c r="M17" s="607">
        <f t="shared" si="3"/>
        <v>0.24152082266349462</v>
      </c>
      <c r="N17" s="576">
        <f>N10+N13+N16</f>
        <v>3866593.9299999997</v>
      </c>
      <c r="O17" s="181">
        <v>0.1245149368205852</v>
      </c>
      <c r="P17" s="607">
        <f t="shared" si="4"/>
        <v>0.44177833796992494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Q137"/>
  <sheetViews>
    <sheetView topLeftCell="C16" zoomScaleNormal="100" workbookViewId="0">
      <selection activeCell="J31" sqref="J3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767</v>
      </c>
      <c r="D2" s="742" t="s">
        <v>781</v>
      </c>
      <c r="E2" s="740"/>
      <c r="F2" s="740"/>
      <c r="G2" s="740"/>
      <c r="H2" s="741"/>
      <c r="I2" s="736" t="s">
        <v>783</v>
      </c>
      <c r="J2" s="737"/>
      <c r="K2" s="197"/>
    </row>
    <row r="3" spans="1:13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766</v>
      </c>
      <c r="L4" s="58" t="s">
        <v>163</v>
      </c>
    </row>
    <row r="5" spans="1:13" ht="15" customHeight="1" x14ac:dyDescent="0.2">
      <c r="A5" s="21"/>
      <c r="B5" s="21" t="s">
        <v>215</v>
      </c>
      <c r="C5" s="159">
        <v>100040</v>
      </c>
      <c r="D5" s="150">
        <v>100040</v>
      </c>
      <c r="E5" s="136">
        <v>402809.55</v>
      </c>
      <c r="F5" s="48">
        <f t="shared" ref="F5:F13" si="0">+E5/D5</f>
        <v>4.0264849060375845</v>
      </c>
      <c r="G5" s="136">
        <v>238473.78</v>
      </c>
      <c r="H5" s="153">
        <f>+G5/E5</f>
        <v>0.5920261324489452</v>
      </c>
      <c r="I5" s="30">
        <v>45329.88</v>
      </c>
      <c r="J5" s="52">
        <v>0.45320815836832629</v>
      </c>
      <c r="K5" s="145">
        <f>+E5/I5-1</f>
        <v>7.8861816973704766</v>
      </c>
      <c r="L5" s="59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">
      <c r="A7" s="24"/>
      <c r="B7" s="24" t="s">
        <v>217</v>
      </c>
      <c r="C7" s="161">
        <v>3921363</v>
      </c>
      <c r="D7" s="540">
        <v>3921363</v>
      </c>
      <c r="E7" s="137">
        <v>95859.06</v>
      </c>
      <c r="F7" s="390">
        <f>+E7/D7</f>
        <v>2.4445342091512567E-2</v>
      </c>
      <c r="G7" s="137">
        <v>95859.06</v>
      </c>
      <c r="H7" s="392">
        <f>+G7/E7</f>
        <v>1</v>
      </c>
      <c r="I7" s="206">
        <v>25198.47</v>
      </c>
      <c r="J7" s="329">
        <v>503.96940000000001</v>
      </c>
      <c r="K7" s="145">
        <f>+E7/I7-1</f>
        <v>2.8041619193546272</v>
      </c>
      <c r="L7" s="60" t="s">
        <v>225</v>
      </c>
    </row>
    <row r="8" spans="1:13" ht="15" customHeight="1" thickBot="1" x14ac:dyDescent="0.25">
      <c r="A8" s="9"/>
      <c r="B8" s="518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498668.61</v>
      </c>
      <c r="F8" s="90">
        <f>+E8/D8</f>
        <v>0.12400333166476558</v>
      </c>
      <c r="G8" s="84">
        <f t="shared" si="1"/>
        <v>334332.83999999997</v>
      </c>
      <c r="H8" s="170" t="s">
        <v>129</v>
      </c>
      <c r="I8" s="84">
        <f t="shared" ref="I8" si="2">SUM(I5:I7)</f>
        <v>70528.350000000006</v>
      </c>
      <c r="J8" s="43">
        <v>0.70499999999999996</v>
      </c>
      <c r="K8" s="231">
        <f>+E8/I8-1</f>
        <v>6.070470385313139</v>
      </c>
      <c r="M8" s="340"/>
    </row>
    <row r="9" spans="1:13" ht="15" customHeight="1" x14ac:dyDescent="0.2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>
        <v>0</v>
      </c>
      <c r="J9" s="52" t="s">
        <v>129</v>
      </c>
      <c r="K9" s="145" t="s">
        <v>129</v>
      </c>
      <c r="L9" s="59">
        <v>72</v>
      </c>
    </row>
    <row r="10" spans="1:13" ht="15" customHeight="1" x14ac:dyDescent="0.2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">
      <c r="A12" s="21"/>
      <c r="B12" s="21" t="s">
        <v>222</v>
      </c>
      <c r="C12" s="159">
        <v>4582347.55</v>
      </c>
      <c r="D12" s="150">
        <v>4582347.55</v>
      </c>
      <c r="E12" s="136">
        <v>0</v>
      </c>
      <c r="F12" s="48">
        <f t="shared" si="0"/>
        <v>0</v>
      </c>
      <c r="G12" s="136">
        <v>0</v>
      </c>
      <c r="H12" s="348" t="s">
        <v>129</v>
      </c>
      <c r="I12" s="136">
        <v>0</v>
      </c>
      <c r="J12" s="52">
        <v>0</v>
      </c>
      <c r="K12" s="145" t="s">
        <v>129</v>
      </c>
      <c r="L12" s="60" t="s">
        <v>226</v>
      </c>
    </row>
    <row r="13" spans="1:13" ht="15" customHeight="1" x14ac:dyDescent="0.2">
      <c r="A13" s="21"/>
      <c r="B13" s="21" t="s">
        <v>223</v>
      </c>
      <c r="C13" s="159">
        <v>3200000</v>
      </c>
      <c r="D13" s="150">
        <v>4034982.14</v>
      </c>
      <c r="E13" s="136">
        <v>1093220.83</v>
      </c>
      <c r="F13" s="48">
        <f t="shared" si="0"/>
        <v>0.27093572959408441</v>
      </c>
      <c r="G13" s="136">
        <v>1093220.83</v>
      </c>
      <c r="H13" s="348">
        <f>+G13/E13</f>
        <v>1</v>
      </c>
      <c r="I13" s="136">
        <v>0</v>
      </c>
      <c r="J13" s="52">
        <v>0</v>
      </c>
      <c r="K13" s="145" t="s">
        <v>129</v>
      </c>
      <c r="L13" s="59">
        <v>761</v>
      </c>
    </row>
    <row r="14" spans="1:13" ht="15" customHeight="1" x14ac:dyDescent="0.2">
      <c r="A14" s="21"/>
      <c r="B14" s="21" t="s">
        <v>197</v>
      </c>
      <c r="C14" s="159">
        <v>1192039</v>
      </c>
      <c r="D14" s="150">
        <v>1192039</v>
      </c>
      <c r="E14" s="136">
        <v>0</v>
      </c>
      <c r="F14" s="48">
        <f>E14/D14</f>
        <v>0</v>
      </c>
      <c r="G14" s="136">
        <v>0</v>
      </c>
      <c r="H14" s="348" t="s">
        <v>129</v>
      </c>
      <c r="I14" s="136">
        <v>0</v>
      </c>
      <c r="J14" s="52">
        <v>0</v>
      </c>
      <c r="K14" s="145" t="s">
        <v>129</v>
      </c>
      <c r="L14" s="59">
        <v>79</v>
      </c>
    </row>
    <row r="15" spans="1:13" ht="15" customHeight="1" x14ac:dyDescent="0.2">
      <c r="A15" s="55"/>
      <c r="B15" s="55" t="s">
        <v>224</v>
      </c>
      <c r="C15" s="176">
        <v>10</v>
      </c>
      <c r="D15" s="540">
        <v>10</v>
      </c>
      <c r="E15" s="137">
        <v>0</v>
      </c>
      <c r="F15" s="521" t="s">
        <v>129</v>
      </c>
      <c r="G15" s="137">
        <v>0</v>
      </c>
      <c r="H15" s="510" t="s">
        <v>129</v>
      </c>
      <c r="I15" s="540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25">
      <c r="A16" s="542"/>
      <c r="B16" s="541" t="s">
        <v>6</v>
      </c>
      <c r="C16" s="519">
        <f>SUM(C9:C15)</f>
        <v>15057423.99</v>
      </c>
      <c r="D16" s="152">
        <f>SUM(D9:D15)</f>
        <v>16041795.24</v>
      </c>
      <c r="E16" s="84">
        <f>SUM(E9:E15)</f>
        <v>1093220.83</v>
      </c>
      <c r="F16" s="90">
        <f>E16/D16</f>
        <v>6.8148284755191774E-2</v>
      </c>
      <c r="G16" s="84">
        <f>SUM(G9:G15)</f>
        <v>1093220.83</v>
      </c>
      <c r="H16" s="171">
        <f>+G16/E16</f>
        <v>1</v>
      </c>
      <c r="I16" s="84">
        <f>SUM(I9:I15)</f>
        <v>0</v>
      </c>
      <c r="J16" s="561">
        <v>0</v>
      </c>
      <c r="K16" s="231" t="s">
        <v>129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1591889.44</v>
      </c>
      <c r="F17" s="181">
        <f>E17/D17</f>
        <v>7.9343713176751623E-2</v>
      </c>
      <c r="G17" s="155">
        <f t="shared" si="3"/>
        <v>1427553.67</v>
      </c>
      <c r="H17" s="173">
        <f>+G17/E17</f>
        <v>0.89676684456176803</v>
      </c>
      <c r="I17" s="147">
        <f t="shared" ref="I17" si="4">+I8+I16</f>
        <v>70528.350000000006</v>
      </c>
      <c r="J17" s="183">
        <v>3.690956853825486E-3</v>
      </c>
      <c r="K17" s="146">
        <f>+E17/I17-1</f>
        <v>21.570915667245863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767</v>
      </c>
      <c r="D20" s="739" t="s">
        <v>781</v>
      </c>
      <c r="E20" s="740"/>
      <c r="F20" s="740"/>
      <c r="G20" s="740"/>
      <c r="H20" s="741"/>
      <c r="I20" s="743" t="s">
        <v>782</v>
      </c>
      <c r="J20" s="727"/>
      <c r="K20" s="407"/>
    </row>
    <row r="21" spans="1:17" x14ac:dyDescent="0.2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766</v>
      </c>
      <c r="L22" s="58" t="s">
        <v>163</v>
      </c>
    </row>
    <row r="23" spans="1:17" s="91" customFormat="1" x14ac:dyDescent="0.2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">
      <c r="A24" s="21"/>
      <c r="B24" s="509" t="s">
        <v>532</v>
      </c>
      <c r="C24" s="159">
        <v>0</v>
      </c>
      <c r="D24" s="168"/>
      <c r="E24" s="136"/>
      <c r="F24" s="48" t="s">
        <v>129</v>
      </c>
      <c r="G24" s="136"/>
      <c r="H24" s="153" t="s">
        <v>129</v>
      </c>
      <c r="I24" s="136">
        <v>24492.98</v>
      </c>
      <c r="J24" s="52" t="s">
        <v>129</v>
      </c>
      <c r="K24" s="94">
        <f>+E24/I24-1</f>
        <v>-1</v>
      </c>
      <c r="L24" s="59">
        <v>85001</v>
      </c>
      <c r="N24"/>
      <c r="O24"/>
      <c r="P24"/>
      <c r="Q24"/>
    </row>
    <row r="25" spans="1:17" s="91" customFormat="1" x14ac:dyDescent="0.2">
      <c r="A25" s="21"/>
      <c r="B25" s="509" t="s">
        <v>423</v>
      </c>
      <c r="C25" s="159">
        <v>0</v>
      </c>
      <c r="D25" s="168"/>
      <c r="E25" s="136"/>
      <c r="F25" s="48" t="s">
        <v>129</v>
      </c>
      <c r="G25" s="136"/>
      <c r="H25" s="348" t="s">
        <v>129</v>
      </c>
      <c r="I25" s="136"/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">
      <c r="A26" s="21"/>
      <c r="B26" s="511" t="s">
        <v>503</v>
      </c>
      <c r="C26" s="159">
        <v>0</v>
      </c>
      <c r="D26" s="168">
        <v>1946205.88</v>
      </c>
      <c r="E26" s="136">
        <v>0</v>
      </c>
      <c r="F26" s="48">
        <f t="shared" ref="F26:F27" si="6">+E26/D26</f>
        <v>0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">
      <c r="A27" s="21"/>
      <c r="B27" s="21" t="s">
        <v>410</v>
      </c>
      <c r="C27" s="159">
        <v>0</v>
      </c>
      <c r="D27" s="168">
        <v>11670158.68</v>
      </c>
      <c r="E27" s="136">
        <v>0</v>
      </c>
      <c r="F27" s="48">
        <f t="shared" si="6"/>
        <v>0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163073.32999999999</v>
      </c>
      <c r="F28" s="48">
        <f>+E28/D28</f>
        <v>1.0871555333333331</v>
      </c>
      <c r="G28" s="136">
        <v>163073.32999999999</v>
      </c>
      <c r="H28" s="348">
        <f>+G28/E28</f>
        <v>1</v>
      </c>
      <c r="I28" s="30">
        <v>0</v>
      </c>
      <c r="J28" s="52">
        <v>0</v>
      </c>
      <c r="K28" s="244" t="s">
        <v>129</v>
      </c>
      <c r="L28" s="59">
        <v>94101</v>
      </c>
    </row>
    <row r="29" spans="1:17" ht="15" customHeight="1" x14ac:dyDescent="0.2">
      <c r="A29" s="65"/>
      <c r="B29" s="65" t="s">
        <v>231</v>
      </c>
      <c r="C29" s="177">
        <v>1450000</v>
      </c>
      <c r="D29" s="389">
        <v>1450000</v>
      </c>
      <c r="E29" s="66">
        <v>748256.28</v>
      </c>
      <c r="F29" s="383">
        <f>+E29/D29</f>
        <v>0.51603881379310346</v>
      </c>
      <c r="G29" s="66">
        <v>748256.28</v>
      </c>
      <c r="H29" s="406">
        <f t="shared" ref="H29" si="7">+G29/E29</f>
        <v>1</v>
      </c>
      <c r="I29" s="179">
        <v>576275.85</v>
      </c>
      <c r="J29" s="67">
        <v>0.41162560714285712</v>
      </c>
      <c r="K29" s="98">
        <f>+E29/I29-1</f>
        <v>0.29843421340665244</v>
      </c>
      <c r="L29" s="60">
        <v>94102</v>
      </c>
    </row>
    <row r="30" spans="1:17" ht="15" customHeight="1" thickBot="1" x14ac:dyDescent="0.25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210833195.34</v>
      </c>
      <c r="D31" s="154">
        <f>SUM(D23:D30)</f>
        <v>224449559.90000001</v>
      </c>
      <c r="E31" s="155">
        <f>SUM(E23:E30)</f>
        <v>911329.61</v>
      </c>
      <c r="F31" s="181">
        <f>+E31/(D31-D27-D26)</f>
        <v>4.3225148133354662E-3</v>
      </c>
      <c r="G31" s="155">
        <f>SUM(G23:G30)</f>
        <v>911329.61</v>
      </c>
      <c r="H31" s="173">
        <f>+G31/E31</f>
        <v>1</v>
      </c>
      <c r="I31" s="354">
        <f>SUM(I23:I30)</f>
        <v>625768.82999999996</v>
      </c>
      <c r="J31" s="181">
        <v>4.0000000000000001E-3</v>
      </c>
      <c r="K31" s="95">
        <f>+E31/I31-1</f>
        <v>0.45633589643638861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6"/>
    </row>
    <row r="136" spans="12:15" x14ac:dyDescent="0.2">
      <c r="L136" s="688"/>
      <c r="O136" s="689">
        <v>0.58699999999999997</v>
      </c>
    </row>
    <row r="137" spans="12:15" x14ac:dyDescent="0.2">
      <c r="L137" s="688"/>
      <c r="O137" s="689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5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workbookViewId="0">
      <selection activeCell="I27" sqref="I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756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766</v>
      </c>
      <c r="N4" s="631" t="s">
        <v>17</v>
      </c>
      <c r="O4" s="89" t="s">
        <v>18</v>
      </c>
      <c r="P4" s="587" t="s">
        <v>766</v>
      </c>
    </row>
    <row r="5" spans="1:16" ht="15" customHeight="1" x14ac:dyDescent="0.2">
      <c r="A5" s="21">
        <v>1</v>
      </c>
      <c r="B5" s="21" t="s">
        <v>0</v>
      </c>
      <c r="C5" s="159">
        <v>4156868.9</v>
      </c>
      <c r="D5" s="204">
        <v>4225151.3499999996</v>
      </c>
      <c r="E5" s="30">
        <v>898463.06</v>
      </c>
      <c r="F5" s="48">
        <f>E5/D5</f>
        <v>0.21264636117709729</v>
      </c>
      <c r="G5" s="30">
        <v>898463.06</v>
      </c>
      <c r="H5" s="48">
        <f>G5/D5</f>
        <v>0.21264636117709729</v>
      </c>
      <c r="I5" s="30">
        <v>898463.06</v>
      </c>
      <c r="J5" s="153">
        <f>I5/D5</f>
        <v>0.21264636117709729</v>
      </c>
      <c r="K5" s="578">
        <v>1007167.41</v>
      </c>
      <c r="L5" s="48">
        <v>0.23640711792850264</v>
      </c>
      <c r="M5" s="210">
        <f>+G5/K5-1</f>
        <v>-0.10793076594883066</v>
      </c>
      <c r="N5" s="578">
        <v>1007167.41</v>
      </c>
      <c r="O5" s="48">
        <v>0.23640711792850264</v>
      </c>
      <c r="P5" s="210">
        <f>+I5/N5-1</f>
        <v>-0.10793076594883066</v>
      </c>
    </row>
    <row r="6" spans="1:16" ht="15" customHeight="1" x14ac:dyDescent="0.2">
      <c r="A6" s="23">
        <v>2</v>
      </c>
      <c r="B6" s="23" t="s">
        <v>1</v>
      </c>
      <c r="C6" s="159">
        <v>15344411.630000001</v>
      </c>
      <c r="D6" s="204">
        <v>15492201.33</v>
      </c>
      <c r="E6" s="30">
        <v>11424283.609999999</v>
      </c>
      <c r="F6" s="48">
        <f t="shared" ref="F6:F17" si="0">E6/D6</f>
        <v>0.73742158177852701</v>
      </c>
      <c r="G6" s="30">
        <v>10799410.51</v>
      </c>
      <c r="H6" s="280">
        <f t="shared" ref="H6:H17" si="1">G6/D6</f>
        <v>0.69708689423544945</v>
      </c>
      <c r="I6" s="30">
        <v>1441110.54</v>
      </c>
      <c r="J6" s="178">
        <f t="shared" ref="J6:J17" si="2">I6/D6</f>
        <v>9.3021676474688578E-2</v>
      </c>
      <c r="K6" s="579">
        <v>11441530.16</v>
      </c>
      <c r="L6" s="412">
        <v>0.79859223946209745</v>
      </c>
      <c r="M6" s="210">
        <f t="shared" ref="M6:M17" si="3">+G6/K6-1</f>
        <v>-5.6121833445396452E-2</v>
      </c>
      <c r="N6" s="579">
        <v>1351079.58</v>
      </c>
      <c r="O6" s="412">
        <v>9.4302217657547135E-2</v>
      </c>
      <c r="P6" s="210">
        <f>+I6/N6-1</f>
        <v>6.6636311681951277E-2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9172408.4100000001</v>
      </c>
      <c r="D8" s="204">
        <v>9172408.4100000001</v>
      </c>
      <c r="E8" s="30">
        <v>8287688.46</v>
      </c>
      <c r="F8" s="48">
        <f t="shared" si="0"/>
        <v>0.90354551275372175</v>
      </c>
      <c r="G8" s="30">
        <v>7807125.2400000002</v>
      </c>
      <c r="H8" s="48">
        <f t="shared" si="1"/>
        <v>0.85115325125388741</v>
      </c>
      <c r="I8" s="30">
        <v>927031.61</v>
      </c>
      <c r="J8" s="178">
        <f t="shared" si="2"/>
        <v>0.10106741529185789</v>
      </c>
      <c r="K8" s="635">
        <v>4932081.7699999996</v>
      </c>
      <c r="L8" s="414">
        <v>0.94038459036692201</v>
      </c>
      <c r="M8" s="443">
        <f t="shared" si="3"/>
        <v>0.58292696757134288</v>
      </c>
      <c r="N8" s="635">
        <v>2939109.2</v>
      </c>
      <c r="O8" s="414">
        <v>0.56039074978386916</v>
      </c>
      <c r="P8" s="443">
        <f t="shared" ref="P8:P17" si="4">+I8/N8-1</f>
        <v>-0.68458755802608495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28673688.940000001</v>
      </c>
      <c r="D10" s="152">
        <f t="shared" ref="D10:E10" si="5">SUM(D5:D9)</f>
        <v>28889761.09</v>
      </c>
      <c r="E10" s="84">
        <f t="shared" si="5"/>
        <v>20610435.129999999</v>
      </c>
      <c r="F10" s="90">
        <f t="shared" si="0"/>
        <v>0.71341659994322915</v>
      </c>
      <c r="G10" s="84">
        <f>SUM(G5:G9)</f>
        <v>19504998.810000002</v>
      </c>
      <c r="H10" s="90">
        <f t="shared" si="1"/>
        <v>0.67515265180754747</v>
      </c>
      <c r="I10" s="84">
        <f>SUM(I5:I9)</f>
        <v>3266605.21</v>
      </c>
      <c r="J10" s="170">
        <f t="shared" si="2"/>
        <v>0.11307138192744397</v>
      </c>
      <c r="K10" s="568">
        <f>SUM(K5:K9)</f>
        <v>17380779.34</v>
      </c>
      <c r="L10" s="90">
        <v>0.72929866955897282</v>
      </c>
      <c r="M10" s="213">
        <f t="shared" si="3"/>
        <v>0.12221658352864195</v>
      </c>
      <c r="N10" s="568">
        <f>SUM(N5:N9)</f>
        <v>5297356.1900000004</v>
      </c>
      <c r="O10" s="90">
        <v>0.22227742185621635</v>
      </c>
      <c r="P10" s="213">
        <f t="shared" si="4"/>
        <v>-0.38335179043340872</v>
      </c>
    </row>
    <row r="11" spans="1:16" ht="15" customHeight="1" x14ac:dyDescent="0.2">
      <c r="A11" s="21">
        <v>6</v>
      </c>
      <c r="B11" s="21" t="s">
        <v>5</v>
      </c>
      <c r="C11" s="159">
        <v>574199.64</v>
      </c>
      <c r="D11" s="204">
        <v>1001507.14</v>
      </c>
      <c r="E11" s="30">
        <v>147397.54</v>
      </c>
      <c r="F11" s="48">
        <f t="shared" si="0"/>
        <v>0.14717572557695396</v>
      </c>
      <c r="G11" s="30">
        <v>147397.54</v>
      </c>
      <c r="H11" s="48">
        <f t="shared" si="1"/>
        <v>0.14717572557695396</v>
      </c>
      <c r="I11" s="30">
        <v>0</v>
      </c>
      <c r="J11" s="153">
        <f t="shared" si="2"/>
        <v>0</v>
      </c>
      <c r="K11" s="565">
        <v>376671.04</v>
      </c>
      <c r="L11" s="48">
        <v>0.32615715115092192</v>
      </c>
      <c r="M11" s="224">
        <f t="shared" si="3"/>
        <v>-0.60868364077047166</v>
      </c>
      <c r="N11" s="565"/>
      <c r="O11" s="48"/>
      <c r="P11" s="224" t="s">
        <v>129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559" t="s">
        <v>129</v>
      </c>
    </row>
    <row r="13" spans="1:16" ht="15" customHeight="1" x14ac:dyDescent="0.2">
      <c r="A13" s="9"/>
      <c r="B13" s="2" t="s">
        <v>7</v>
      </c>
      <c r="C13" s="162">
        <f>SUM(C11:C12)</f>
        <v>574199.64</v>
      </c>
      <c r="D13" s="152">
        <f t="shared" ref="D13:I13" si="6">SUM(D11:D12)</f>
        <v>1001507.14</v>
      </c>
      <c r="E13" s="84">
        <f t="shared" si="6"/>
        <v>147397.54</v>
      </c>
      <c r="F13" s="90">
        <f t="shared" si="0"/>
        <v>0.14717572557695396</v>
      </c>
      <c r="G13" s="84">
        <f t="shared" si="6"/>
        <v>147397.54</v>
      </c>
      <c r="H13" s="90">
        <f t="shared" si="1"/>
        <v>0.14717572557695396</v>
      </c>
      <c r="I13" s="84">
        <f t="shared" si="6"/>
        <v>0</v>
      </c>
      <c r="J13" s="170">
        <f t="shared" si="2"/>
        <v>0</v>
      </c>
      <c r="K13" s="568">
        <f>SUM(K11:K12)</f>
        <v>376671.04</v>
      </c>
      <c r="L13" s="90">
        <v>0.32615715115092192</v>
      </c>
      <c r="M13" s="629" t="s">
        <v>129</v>
      </c>
      <c r="N13" s="568">
        <f>SUM(N11:N12)</f>
        <v>0</v>
      </c>
      <c r="O13" s="90"/>
      <c r="P13" s="213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29891268.23</v>
      </c>
      <c r="E17" s="155">
        <f t="shared" si="8"/>
        <v>20757832.669999998</v>
      </c>
      <c r="F17" s="181">
        <f t="shared" si="0"/>
        <v>0.69444469569767731</v>
      </c>
      <c r="G17" s="155">
        <f t="shared" si="8"/>
        <v>19652396.350000001</v>
      </c>
      <c r="H17" s="181">
        <f t="shared" si="1"/>
        <v>0.6574627813976831</v>
      </c>
      <c r="I17" s="155">
        <f t="shared" si="8"/>
        <v>3266605.21</v>
      </c>
      <c r="J17" s="173">
        <f t="shared" si="2"/>
        <v>0.1092829245271538</v>
      </c>
      <c r="K17" s="576">
        <f>K10+K13+K16</f>
        <v>17757450.379999999</v>
      </c>
      <c r="L17" s="181">
        <v>0.7106658871324788</v>
      </c>
      <c r="M17" s="607">
        <f t="shared" si="3"/>
        <v>0.10671272786628516</v>
      </c>
      <c r="N17" s="576">
        <f>N10+N13+N16</f>
        <v>5297356.1900000004</v>
      </c>
      <c r="O17" s="181">
        <v>0.21200399019349975</v>
      </c>
      <c r="P17" s="607">
        <f t="shared" si="4"/>
        <v>-0.38335179043340872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37"/>
  <sheetViews>
    <sheetView workbookViewId="0">
      <selection activeCell="I11" sqref="I1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757</v>
      </c>
    </row>
    <row r="2" spans="1:16" x14ac:dyDescent="0.2">
      <c r="A2" s="8" t="s">
        <v>20</v>
      </c>
      <c r="C2" s="164" t="s">
        <v>767</v>
      </c>
      <c r="D2" s="742" t="s">
        <v>781</v>
      </c>
      <c r="E2" s="740"/>
      <c r="F2" s="740"/>
      <c r="G2" s="740"/>
      <c r="H2" s="740"/>
      <c r="I2" s="740"/>
      <c r="J2" s="741"/>
      <c r="K2" s="751" t="s">
        <v>782</v>
      </c>
      <c r="L2" s="749"/>
      <c r="M2" s="749"/>
      <c r="N2" s="749"/>
      <c r="O2" s="749"/>
      <c r="P2" s="752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545</v>
      </c>
      <c r="L3" s="88" t="s">
        <v>546</v>
      </c>
      <c r="M3" s="88" t="s">
        <v>547</v>
      </c>
      <c r="N3" s="217" t="s">
        <v>39</v>
      </c>
      <c r="O3" s="88" t="s">
        <v>40</v>
      </c>
      <c r="P3" s="611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1" t="s">
        <v>17</v>
      </c>
      <c r="O4" s="89" t="s">
        <v>18</v>
      </c>
      <c r="P4" s="587" t="s">
        <v>508</v>
      </c>
    </row>
    <row r="5" spans="1:16" ht="15" customHeight="1" x14ac:dyDescent="0.2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1014440.19</v>
      </c>
      <c r="F5" s="48">
        <f>E5/D5</f>
        <v>0.21384132872667994</v>
      </c>
      <c r="G5" s="30">
        <v>1014440.19</v>
      </c>
      <c r="H5" s="48">
        <f>G5/D5</f>
        <v>0.21384132872667994</v>
      </c>
      <c r="I5" s="30">
        <v>1014440.19</v>
      </c>
      <c r="J5" s="153">
        <f>I5/D5</f>
        <v>0.21384132872667994</v>
      </c>
      <c r="K5" s="578">
        <v>1089339.95</v>
      </c>
      <c r="L5" s="48">
        <v>0.228770689531825</v>
      </c>
      <c r="M5" s="210">
        <f>+G5/K5-1</f>
        <v>-6.8757011986937622E-2</v>
      </c>
      <c r="N5" s="578">
        <v>1089339.95</v>
      </c>
      <c r="O5" s="48">
        <v>0.228770689531825</v>
      </c>
      <c r="P5" s="210">
        <f>+I5/N5-1</f>
        <v>-6.8757011986937622E-2</v>
      </c>
    </row>
    <row r="6" spans="1:16" ht="15" customHeight="1" x14ac:dyDescent="0.2">
      <c r="A6" s="23">
        <v>2</v>
      </c>
      <c r="B6" s="23" t="s">
        <v>1</v>
      </c>
      <c r="C6" s="159">
        <v>23321068.489999998</v>
      </c>
      <c r="D6" s="204">
        <v>23271973.25</v>
      </c>
      <c r="E6" s="30">
        <v>22450710.920000002</v>
      </c>
      <c r="F6" s="48">
        <f>E6/D6</f>
        <v>0.964710240890295</v>
      </c>
      <c r="G6" s="30">
        <v>21783683.890000001</v>
      </c>
      <c r="H6" s="280">
        <f>G6/D6</f>
        <v>0.93604799455499543</v>
      </c>
      <c r="I6" s="30">
        <v>2201265.48</v>
      </c>
      <c r="J6" s="178">
        <f>I6/D6</f>
        <v>9.4588690711906009E-2</v>
      </c>
      <c r="K6" s="579">
        <v>19922510.93</v>
      </c>
      <c r="L6" s="412">
        <v>0.93084736847887894</v>
      </c>
      <c r="M6" s="210">
        <f t="shared" ref="M6:M17" si="0">+G6/K6-1</f>
        <v>9.34206017775292E-2</v>
      </c>
      <c r="N6" s="579">
        <v>2000848.83</v>
      </c>
      <c r="O6" s="412">
        <v>9.3486452318866611E-2</v>
      </c>
      <c r="P6" s="210">
        <f>+I6/N6-1</f>
        <v>0.10016581312642181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">
      <c r="A8" s="235">
        <v>4</v>
      </c>
      <c r="B8" s="560" t="s">
        <v>3</v>
      </c>
      <c r="C8" s="159">
        <v>16012218.74</v>
      </c>
      <c r="D8" s="204">
        <v>16050028.74</v>
      </c>
      <c r="E8" s="30">
        <v>15016011.460000001</v>
      </c>
      <c r="F8" s="48">
        <f t="shared" ref="F8:F17" si="1">E8/D8</f>
        <v>0.93557536271427266</v>
      </c>
      <c r="G8" s="30">
        <v>15012011.460000001</v>
      </c>
      <c r="H8" s="48">
        <f t="shared" ref="H8:H17" si="2">G8/D8</f>
        <v>0.93532614197674024</v>
      </c>
      <c r="I8" s="30">
        <v>4220222.12</v>
      </c>
      <c r="J8" s="178">
        <f t="shared" ref="J8:J17" si="3">I8/D8</f>
        <v>0.26294171732430183</v>
      </c>
      <c r="K8" s="635">
        <v>10071364.710000001</v>
      </c>
      <c r="L8" s="414">
        <v>0.93638829219966935</v>
      </c>
      <c r="M8" s="443">
        <f t="shared" si="0"/>
        <v>0.49056378080463725</v>
      </c>
      <c r="N8" s="635">
        <v>2319725.2799999998</v>
      </c>
      <c r="O8" s="414">
        <v>0.21567718535253</v>
      </c>
      <c r="P8" s="443">
        <f t="shared" ref="P8:P17" si="4">+I8/N8-1</f>
        <v>0.81927668607379256</v>
      </c>
    </row>
    <row r="9" spans="1:16" ht="15" customHeight="1" x14ac:dyDescent="0.2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44042057.960000001</v>
      </c>
      <c r="D10" s="152">
        <f>SUM(D5:D9)</f>
        <v>44065894.090000004</v>
      </c>
      <c r="E10" s="84">
        <f>SUM(E5:E9)</f>
        <v>38481162.570000008</v>
      </c>
      <c r="F10" s="90">
        <f t="shared" si="1"/>
        <v>0.87326408245356912</v>
      </c>
      <c r="G10" s="84">
        <f>SUM(G5:G9)</f>
        <v>37810135.540000007</v>
      </c>
      <c r="H10" s="90">
        <f t="shared" si="2"/>
        <v>0.85803627319524567</v>
      </c>
      <c r="I10" s="84">
        <f>SUM(I5:I9)</f>
        <v>7435927.79</v>
      </c>
      <c r="J10" s="170">
        <f t="shared" si="3"/>
        <v>0.16874564657221958</v>
      </c>
      <c r="K10" s="568">
        <f>SUM(K5:K9)</f>
        <v>31083215.59</v>
      </c>
      <c r="L10" s="90">
        <v>0.84191162134967112</v>
      </c>
      <c r="M10" s="213">
        <f t="shared" si="0"/>
        <v>0.21641647501116879</v>
      </c>
      <c r="N10" s="568">
        <f>SUM(N5:N9)</f>
        <v>5409914.0600000005</v>
      </c>
      <c r="O10" s="90">
        <v>0.14653147787844373</v>
      </c>
      <c r="P10" s="213">
        <f t="shared" si="4"/>
        <v>0.37450016904704753</v>
      </c>
    </row>
    <row r="11" spans="1:16" ht="15" customHeight="1" x14ac:dyDescent="0.2">
      <c r="A11" s="21">
        <v>6</v>
      </c>
      <c r="B11" s="21" t="s">
        <v>5</v>
      </c>
      <c r="C11" s="159">
        <v>737665.31</v>
      </c>
      <c r="D11" s="204">
        <v>860154.23</v>
      </c>
      <c r="E11" s="30">
        <v>306107.2</v>
      </c>
      <c r="F11" s="48">
        <f t="shared" si="1"/>
        <v>0.35587478306070763</v>
      </c>
      <c r="G11" s="30">
        <v>282409.27</v>
      </c>
      <c r="H11" s="48">
        <f t="shared" si="2"/>
        <v>0.32832399138466134</v>
      </c>
      <c r="I11" s="30">
        <v>55770.71</v>
      </c>
      <c r="J11" s="153">
        <f t="shared" si="3"/>
        <v>6.4838034918458756E-2</v>
      </c>
      <c r="K11" s="565">
        <v>6514</v>
      </c>
      <c r="L11" s="48">
        <v>8.4379898614844497E-3</v>
      </c>
      <c r="M11" s="224">
        <f t="shared" si="0"/>
        <v>42.354201719373663</v>
      </c>
      <c r="N11" s="565">
        <v>464</v>
      </c>
      <c r="O11" s="48">
        <v>6.010480957520394E-4</v>
      </c>
      <c r="P11" s="224">
        <f t="shared" si="4"/>
        <v>119.19549568965517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559" t="s">
        <v>129</v>
      </c>
      <c r="N12" s="569"/>
      <c r="O12" s="390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737665.31</v>
      </c>
      <c r="D13" s="152">
        <f t="shared" ref="D13:I13" si="5">SUM(D11:D12)</f>
        <v>860154.23</v>
      </c>
      <c r="E13" s="84">
        <f t="shared" si="5"/>
        <v>306107.2</v>
      </c>
      <c r="F13" s="90">
        <f t="shared" si="1"/>
        <v>0.35587478306070763</v>
      </c>
      <c r="G13" s="84">
        <f t="shared" si="5"/>
        <v>282409.27</v>
      </c>
      <c r="H13" s="90">
        <f t="shared" si="2"/>
        <v>0.32832399138466134</v>
      </c>
      <c r="I13" s="84">
        <f t="shared" si="5"/>
        <v>55770.71</v>
      </c>
      <c r="J13" s="170">
        <f t="shared" si="3"/>
        <v>6.4838034918458756E-2</v>
      </c>
      <c r="K13" s="568">
        <f>SUM(K11:K12)</f>
        <v>6514</v>
      </c>
      <c r="L13" s="90">
        <v>8.4379898614844497E-3</v>
      </c>
      <c r="M13" s="629" t="s">
        <v>129</v>
      </c>
      <c r="N13" s="568">
        <f>SUM(N11:N12)</f>
        <v>464</v>
      </c>
      <c r="O13" s="90">
        <v>6.010480957520394E-4</v>
      </c>
      <c r="P13" s="90" t="s">
        <v>129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25">
      <c r="A16" s="9"/>
      <c r="B16" s="2" t="s">
        <v>10</v>
      </c>
      <c r="C16" s="519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44926048.32</v>
      </c>
      <c r="E17" s="155">
        <f t="shared" si="7"/>
        <v>38787269.770000011</v>
      </c>
      <c r="F17" s="181">
        <f t="shared" si="1"/>
        <v>0.86335814567365021</v>
      </c>
      <c r="G17" s="155">
        <f t="shared" si="7"/>
        <v>38092544.81000001</v>
      </c>
      <c r="H17" s="181">
        <f t="shared" si="2"/>
        <v>0.84789440056409593</v>
      </c>
      <c r="I17" s="155">
        <f t="shared" si="7"/>
        <v>7491698.5</v>
      </c>
      <c r="J17" s="173">
        <f t="shared" si="3"/>
        <v>0.16675623118770666</v>
      </c>
      <c r="K17" s="576">
        <f>K10+K13+K16</f>
        <v>31089729.59</v>
      </c>
      <c r="L17" s="181">
        <v>0.82484082339896059</v>
      </c>
      <c r="M17" s="607">
        <f t="shared" si="0"/>
        <v>0.22524529200963084</v>
      </c>
      <c r="N17" s="576">
        <f>N10+N13+N16</f>
        <v>5410378.0600000005</v>
      </c>
      <c r="O17" s="181">
        <v>0.14354260242088104</v>
      </c>
      <c r="P17" s="607">
        <f t="shared" si="4"/>
        <v>0.38469038890047536</v>
      </c>
    </row>
    <row r="136" spans="12:15" x14ac:dyDescent="0.2">
      <c r="L136" s="687"/>
      <c r="O136" s="687"/>
    </row>
    <row r="137" spans="12:15" x14ac:dyDescent="0.2">
      <c r="L137" s="687"/>
      <c r="O137" s="687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"/>
  <sheetViews>
    <sheetView topLeftCell="A2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J4" sqref="J4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5"/>
  <sheetViews>
    <sheetView zoomScaleNormal="100"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S137"/>
  <sheetViews>
    <sheetView topLeftCell="H1" zoomScaleNormal="100" workbookViewId="0">
      <selection activeCell="L8" sqref="L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7.7109375" style="9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767</v>
      </c>
      <c r="D2" s="267" t="s">
        <v>148</v>
      </c>
      <c r="E2" s="745" t="s">
        <v>781</v>
      </c>
      <c r="F2" s="746"/>
      <c r="G2" s="746"/>
      <c r="H2" s="746"/>
      <c r="I2" s="746"/>
      <c r="J2" s="746"/>
      <c r="K2" s="746"/>
      <c r="L2" s="746"/>
      <c r="M2" s="747"/>
      <c r="N2" s="745" t="s">
        <v>782</v>
      </c>
      <c r="O2" s="746"/>
      <c r="P2" s="746"/>
      <c r="Q2" s="746"/>
      <c r="R2" s="746"/>
      <c r="S2" s="747"/>
    </row>
    <row r="3" spans="1:19" x14ac:dyDescent="0.2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545</v>
      </c>
      <c r="O3" s="88" t="s">
        <v>546</v>
      </c>
      <c r="P3" s="88" t="s">
        <v>547</v>
      </c>
      <c r="Q3" s="87" t="s">
        <v>39</v>
      </c>
      <c r="R3" s="88" t="s">
        <v>40</v>
      </c>
      <c r="S3" s="570" t="s">
        <v>362</v>
      </c>
    </row>
    <row r="4" spans="1:19" ht="25.5" x14ac:dyDescent="0.2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766</v>
      </c>
      <c r="Q4" s="564" t="s">
        <v>17</v>
      </c>
      <c r="R4" s="89" t="s">
        <v>18</v>
      </c>
      <c r="S4" s="571" t="s">
        <v>766</v>
      </c>
    </row>
    <row r="5" spans="1:19" ht="15" customHeight="1" x14ac:dyDescent="0.2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374689890.01999998</v>
      </c>
      <c r="F5" s="262">
        <f>E5/E17</f>
        <v>0.13620310390834647</v>
      </c>
      <c r="G5" s="136">
        <v>78692194.75</v>
      </c>
      <c r="H5" s="48">
        <f>+G5/E5</f>
        <v>0.21001953040633045</v>
      </c>
      <c r="I5" s="136">
        <v>78353919.859999999</v>
      </c>
      <c r="J5" s="48">
        <f t="shared" ref="J5:J17" si="0">+I5/E5</f>
        <v>0.20911671744283697</v>
      </c>
      <c r="K5" s="136">
        <v>77326934.180000007</v>
      </c>
      <c r="L5" s="262">
        <f>K5/K17</f>
        <v>0.17153842154814722</v>
      </c>
      <c r="M5" s="153">
        <f t="shared" ref="M5:M17" si="1">+K5/E5</f>
        <v>0.20637582235237917</v>
      </c>
      <c r="N5" s="565">
        <v>83418251.049999997</v>
      </c>
      <c r="O5" s="48">
        <v>0.23445497457515418</v>
      </c>
      <c r="P5" s="572">
        <f>+I5/N5-1</f>
        <v>-6.0710109913051147E-2</v>
      </c>
      <c r="Q5" s="565">
        <v>83084182.769999996</v>
      </c>
      <c r="R5" s="48">
        <v>0.23351604371640458</v>
      </c>
      <c r="S5" s="572">
        <f>+K5/Q5-1</f>
        <v>-6.9294159225681273E-2</v>
      </c>
    </row>
    <row r="6" spans="1:19" ht="15" customHeight="1" x14ac:dyDescent="0.2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671563363.53999996</v>
      </c>
      <c r="F6" s="262">
        <f>E6/E17</f>
        <v>0.24411924906859611</v>
      </c>
      <c r="G6" s="136">
        <v>540114097.35000002</v>
      </c>
      <c r="H6" s="280">
        <f t="shared" ref="H6:H10" si="2">+G6/E6</f>
        <v>0.80426379203133747</v>
      </c>
      <c r="I6" s="136">
        <v>512407145.60000002</v>
      </c>
      <c r="J6" s="280">
        <f t="shared" si="0"/>
        <v>0.76300640180690826</v>
      </c>
      <c r="K6" s="136">
        <v>59320776.119999997</v>
      </c>
      <c r="L6" s="410">
        <f>K6/K17</f>
        <v>0.13159441026006322</v>
      </c>
      <c r="M6" s="178">
        <f t="shared" si="1"/>
        <v>8.8332359000799943E-2</v>
      </c>
      <c r="N6" s="566">
        <v>498259714.06</v>
      </c>
      <c r="O6" s="280">
        <v>0.82695212337742519</v>
      </c>
      <c r="P6" s="572">
        <f t="shared" ref="P6:P17" si="3">+I6/N6-1</f>
        <v>2.8393689356744689E-2</v>
      </c>
      <c r="Q6" s="566">
        <v>55176732.130000003</v>
      </c>
      <c r="R6" s="280">
        <v>9.1575767633576652E-2</v>
      </c>
      <c r="S6" s="573">
        <f>+K6/Q6-1</f>
        <v>7.5104918867546555E-2</v>
      </c>
    </row>
    <row r="7" spans="1:19" ht="15" customHeight="1" x14ac:dyDescent="0.2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8.0335463447219948E-3</v>
      </c>
      <c r="G7" s="136">
        <v>3018479.13</v>
      </c>
      <c r="H7" s="280">
        <f t="shared" si="2"/>
        <v>0.1365827660633484</v>
      </c>
      <c r="I7" s="136">
        <v>3018479.13</v>
      </c>
      <c r="J7" s="280">
        <f t="shared" si="0"/>
        <v>0.1365827660633484</v>
      </c>
      <c r="K7" s="136">
        <v>3018479.13</v>
      </c>
      <c r="L7" s="410">
        <f>K7/K17</f>
        <v>6.6960516529846557E-3</v>
      </c>
      <c r="M7" s="178">
        <f>+K7/E7</f>
        <v>0.1365827660633484</v>
      </c>
      <c r="N7" s="566">
        <v>4739155.2</v>
      </c>
      <c r="O7" s="280">
        <v>0.13654457288651495</v>
      </c>
      <c r="P7" s="572">
        <f t="shared" si="3"/>
        <v>-0.36307653946424889</v>
      </c>
      <c r="Q7" s="566">
        <v>4739155.2</v>
      </c>
      <c r="R7" s="280">
        <v>0.13654457288651495</v>
      </c>
      <c r="S7" s="573">
        <f>+K7/Q7-1</f>
        <v>-0.36307653946424889</v>
      </c>
    </row>
    <row r="8" spans="1:19" ht="15" customHeight="1" x14ac:dyDescent="0.2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1086728335.77</v>
      </c>
      <c r="F8" s="410">
        <f>E8/E17</f>
        <v>0.39503540495614931</v>
      </c>
      <c r="G8" s="136">
        <v>878950508.71000004</v>
      </c>
      <c r="H8" s="280">
        <f t="shared" si="2"/>
        <v>0.80880426117463922</v>
      </c>
      <c r="I8" s="136">
        <v>851240523.89999998</v>
      </c>
      <c r="J8" s="280">
        <f t="shared" si="0"/>
        <v>0.78330572221332073</v>
      </c>
      <c r="K8" s="136">
        <v>219285266.44</v>
      </c>
      <c r="L8" s="410">
        <f>K8/K17</f>
        <v>0.48645208649189586</v>
      </c>
      <c r="M8" s="427">
        <f t="shared" si="1"/>
        <v>0.20178480602939805</v>
      </c>
      <c r="N8" s="566">
        <v>754782869.23000002</v>
      </c>
      <c r="O8" s="280">
        <v>0.75365876748519223</v>
      </c>
      <c r="P8" s="572">
        <f t="shared" si="3"/>
        <v>0.12779523569262019</v>
      </c>
      <c r="Q8" s="566">
        <v>245022380.65000001</v>
      </c>
      <c r="R8" s="280">
        <v>0.2446574676441092</v>
      </c>
      <c r="S8" s="573">
        <f>+K8/Q8-1</f>
        <v>-0.10503985040764074</v>
      </c>
    </row>
    <row r="9" spans="1:19" ht="15" customHeight="1" x14ac:dyDescent="0.2">
      <c r="A9" s="55">
        <v>5</v>
      </c>
      <c r="B9" s="55" t="s">
        <v>453</v>
      </c>
      <c r="C9" s="176">
        <v>13647818.9</v>
      </c>
      <c r="D9" s="537">
        <f>C9/C17</f>
        <v>4.9879030893436021E-3</v>
      </c>
      <c r="E9" s="539">
        <v>10266413.83</v>
      </c>
      <c r="F9" s="686">
        <f>E9/E17</f>
        <v>3.731932637891395E-3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7">
        <v>0</v>
      </c>
      <c r="O9" s="78" t="s">
        <v>129</v>
      </c>
      <c r="P9" s="572" t="s">
        <v>129</v>
      </c>
      <c r="Q9" s="567">
        <v>0</v>
      </c>
      <c r="R9" s="78" t="s">
        <v>129</v>
      </c>
      <c r="S9" s="685" t="s">
        <v>129</v>
      </c>
    </row>
    <row r="10" spans="1:19" ht="15" customHeight="1" x14ac:dyDescent="0.2">
      <c r="A10" s="9"/>
      <c r="B10" s="2" t="s">
        <v>4</v>
      </c>
      <c r="C10" s="162">
        <f>SUM(C5:C9)</f>
        <v>2151399911.2599998</v>
      </c>
      <c r="D10" s="538">
        <f>C10/C17</f>
        <v>0.78627759808472431</v>
      </c>
      <c r="E10" s="152">
        <f>SUM(E5:E9)</f>
        <v>2165348003.1599998</v>
      </c>
      <c r="F10" s="263">
        <f>E10/E17</f>
        <v>0.78712323691570518</v>
      </c>
      <c r="G10" s="84">
        <f>SUM(G5:G9)</f>
        <v>1500775279.9400001</v>
      </c>
      <c r="H10" s="90">
        <f t="shared" si="2"/>
        <v>0.69308733642344977</v>
      </c>
      <c r="I10" s="84">
        <f>SUM(I5:I9)</f>
        <v>1445020068.49</v>
      </c>
      <c r="J10" s="90">
        <f t="shared" si="0"/>
        <v>0.66733849080203755</v>
      </c>
      <c r="K10" s="84">
        <f>SUM(K5:K8)</f>
        <v>358951455.87</v>
      </c>
      <c r="L10" s="263">
        <f>K10/K17</f>
        <v>0.79628096995309094</v>
      </c>
      <c r="M10" s="170">
        <f t="shared" si="1"/>
        <v>0.1657707931224747</v>
      </c>
      <c r="N10" s="568">
        <f>SUM(N5:N9)</f>
        <v>1341199989.54</v>
      </c>
      <c r="O10" s="90">
        <v>0.67</v>
      </c>
      <c r="P10" s="574">
        <f t="shared" si="3"/>
        <v>7.7408350551514626E-2</v>
      </c>
      <c r="Q10" s="568">
        <f>SUM(Q5:Q8)</f>
        <v>388022450.75</v>
      </c>
      <c r="R10" s="90">
        <v>0.19395314160218552</v>
      </c>
      <c r="S10" s="574">
        <f>+K10/Q10-1</f>
        <v>-7.4920909405652436E-2</v>
      </c>
    </row>
    <row r="11" spans="1:19" ht="15" customHeight="1" x14ac:dyDescent="0.2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399164850.19</v>
      </c>
      <c r="F11" s="262">
        <f>E11/E17</f>
        <v>0.14509996937490394</v>
      </c>
      <c r="G11" s="136">
        <v>145857783.78999999</v>
      </c>
      <c r="H11" s="48">
        <f t="shared" ref="H11:H17" si="4">+G11/E11</f>
        <v>0.36540738424380953</v>
      </c>
      <c r="I11" s="136">
        <v>139587733.44999999</v>
      </c>
      <c r="J11" s="48">
        <f t="shared" si="0"/>
        <v>0.34969946222358278</v>
      </c>
      <c r="K11" s="136">
        <v>45417302.170000002</v>
      </c>
      <c r="L11" s="262">
        <f>K11/K17</f>
        <v>0.10075159978645673</v>
      </c>
      <c r="M11" s="153">
        <f t="shared" si="1"/>
        <v>0.11378081549109759</v>
      </c>
      <c r="N11" s="565">
        <v>88183799.620000005</v>
      </c>
      <c r="O11" s="48">
        <v>0.32584821629259397</v>
      </c>
      <c r="P11" s="572">
        <f t="shared" si="3"/>
        <v>0.58291811025958129</v>
      </c>
      <c r="Q11" s="565">
        <v>47279336.689999998</v>
      </c>
      <c r="R11" s="48">
        <v>0.1747020154985412</v>
      </c>
      <c r="S11" s="572">
        <f t="shared" ref="S11:S17" si="5">+K11/Q11-1</f>
        <v>-3.9383685355167675E-2</v>
      </c>
    </row>
    <row r="12" spans="1:19" ht="15" customHeight="1" x14ac:dyDescent="0.2">
      <c r="A12" s="24">
        <v>7</v>
      </c>
      <c r="B12" s="24" t="s">
        <v>6</v>
      </c>
      <c r="C12" s="176">
        <v>17224944.199999999</v>
      </c>
      <c r="D12" s="537">
        <f>C12/C17</f>
        <v>6.2952441718691883E-3</v>
      </c>
      <c r="E12" s="540">
        <v>30771469.530000001</v>
      </c>
      <c r="F12" s="264">
        <f>E12/E17</f>
        <v>1.1185702559477635E-2</v>
      </c>
      <c r="G12" s="137">
        <v>2517798.75</v>
      </c>
      <c r="H12" s="390">
        <f t="shared" si="4"/>
        <v>8.1822505991965208E-2</v>
      </c>
      <c r="I12" s="137">
        <v>2367798.75</v>
      </c>
      <c r="J12" s="390">
        <f t="shared" si="0"/>
        <v>7.6947860669818319E-2</v>
      </c>
      <c r="K12" s="137">
        <v>62894.25</v>
      </c>
      <c r="L12" s="264">
        <f>K12/K17</f>
        <v>1.3952163607496276E-4</v>
      </c>
      <c r="M12" s="392">
        <f t="shared" si="1"/>
        <v>2.0439144103495794E-3</v>
      </c>
      <c r="N12" s="569">
        <v>5710100.4900000002</v>
      </c>
      <c r="O12" s="390">
        <v>0.36101867558850054</v>
      </c>
      <c r="P12" s="575">
        <f t="shared" si="3"/>
        <v>-0.58533150963863334</v>
      </c>
      <c r="Q12" s="569">
        <v>56316.62</v>
      </c>
      <c r="R12" s="390">
        <v>3.560594354097061E-3</v>
      </c>
      <c r="S12" s="572">
        <f t="shared" si="5"/>
        <v>0.1167973148956738</v>
      </c>
    </row>
    <row r="13" spans="1:19" ht="15" customHeight="1" x14ac:dyDescent="0.2">
      <c r="A13" s="9"/>
      <c r="B13" s="2" t="s">
        <v>7</v>
      </c>
      <c r="C13" s="162">
        <f>SUM(C11:C12)</f>
        <v>429103665.46999997</v>
      </c>
      <c r="D13" s="538">
        <f>C13/C17</f>
        <v>0.15682560813043001</v>
      </c>
      <c r="E13" s="152">
        <f>SUM(E11:E12)</f>
        <v>429936319.72000003</v>
      </c>
      <c r="F13" s="263">
        <f>E13/E17</f>
        <v>0.15628567193438159</v>
      </c>
      <c r="G13" s="84">
        <f>SUM(G11:G12)</f>
        <v>148375582.53999999</v>
      </c>
      <c r="H13" s="90">
        <f t="shared" si="4"/>
        <v>0.34511060297634533</v>
      </c>
      <c r="I13" s="84">
        <f>SUM(I11:I12)</f>
        <v>141955532.19999999</v>
      </c>
      <c r="J13" s="90">
        <f t="shared" si="0"/>
        <v>0.33017804193060457</v>
      </c>
      <c r="K13" s="84">
        <f>SUM(K11:K12)</f>
        <v>45480196.420000002</v>
      </c>
      <c r="L13" s="263">
        <f>K13/K17</f>
        <v>0.10089112142253169</v>
      </c>
      <c r="M13" s="170">
        <f t="shared" si="1"/>
        <v>0.10578356452792682</v>
      </c>
      <c r="N13" s="568">
        <f>SUM(N11:N12)</f>
        <v>93893900.109999999</v>
      </c>
      <c r="O13" s="90">
        <v>0.32800000000000001</v>
      </c>
      <c r="P13" s="574">
        <f t="shared" si="3"/>
        <v>0.51187171939491383</v>
      </c>
      <c r="Q13" s="568">
        <f>SUM(Q11:Q12)</f>
        <v>47335653.309999995</v>
      </c>
      <c r="R13" s="90">
        <v>0.16525210199055582</v>
      </c>
      <c r="S13" s="574">
        <f t="shared" si="5"/>
        <v>-3.9197872222205388E-2</v>
      </c>
    </row>
    <row r="14" spans="1:19" ht="15" customHeight="1" x14ac:dyDescent="0.2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1.0161918892916831E-2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10900399.48</v>
      </c>
      <c r="L14" s="262">
        <f>K14/K17</f>
        <v>2.4180931791384318E-2</v>
      </c>
      <c r="M14" s="153">
        <f t="shared" si="1"/>
        <v>0.38992557370198577</v>
      </c>
      <c r="N14" s="565">
        <v>10043728.939999999</v>
      </c>
      <c r="O14" s="48">
        <v>0.4247946237874608</v>
      </c>
      <c r="P14" s="572">
        <f t="shared" si="3"/>
        <v>1.2855134031524353</v>
      </c>
      <c r="Q14" s="565">
        <v>10043728.939999999</v>
      </c>
      <c r="R14" s="48">
        <v>0.4247946237874608</v>
      </c>
      <c r="S14" s="572">
        <f t="shared" si="5"/>
        <v>8.5294072064035609E-2</v>
      </c>
    </row>
    <row r="15" spans="1:19" ht="15" customHeight="1" x14ac:dyDescent="0.2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40">
        <v>127725000</v>
      </c>
      <c r="F15" s="264">
        <f>E15/E17</f>
        <v>4.6429172256996228E-2</v>
      </c>
      <c r="G15" s="137">
        <v>35452871.409999996</v>
      </c>
      <c r="H15" s="390">
        <f t="shared" si="4"/>
        <v>0.27757190377764729</v>
      </c>
      <c r="I15" s="137">
        <v>35452871.409999996</v>
      </c>
      <c r="J15" s="390">
        <f t="shared" si="0"/>
        <v>0.27757190377764729</v>
      </c>
      <c r="K15" s="137">
        <v>35452871.409999996</v>
      </c>
      <c r="L15" s="264">
        <f>K15/K17</f>
        <v>7.8646976832993015E-2</v>
      </c>
      <c r="M15" s="392">
        <f t="shared" si="1"/>
        <v>0.27757190377764729</v>
      </c>
      <c r="N15" s="569">
        <v>125560633.83</v>
      </c>
      <c r="O15" s="390">
        <v>0.79615521854891236</v>
      </c>
      <c r="P15" s="575">
        <f t="shared" si="3"/>
        <v>-0.71764341793622499</v>
      </c>
      <c r="Q15" s="569">
        <v>125560633.83</v>
      </c>
      <c r="R15" s="390">
        <v>0.79615521854891236</v>
      </c>
      <c r="S15" s="575">
        <f t="shared" si="5"/>
        <v>-0.71764341793622499</v>
      </c>
    </row>
    <row r="16" spans="1:19" ht="15" customHeight="1" thickBot="1" x14ac:dyDescent="0.25">
      <c r="A16" s="9"/>
      <c r="B16" s="2" t="s">
        <v>10</v>
      </c>
      <c r="C16" s="519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5.6591091149913064E-2</v>
      </c>
      <c r="G16" s="84">
        <f>SUM(G14:G15)</f>
        <v>58407948.519999996</v>
      </c>
      <c r="H16" s="90">
        <f t="shared" si="4"/>
        <v>0.37517933960637917</v>
      </c>
      <c r="I16" s="84">
        <f>SUM(I14:I15)</f>
        <v>58407948.519999996</v>
      </c>
      <c r="J16" s="90">
        <f t="shared" si="0"/>
        <v>0.37517933960637917</v>
      </c>
      <c r="K16" s="84">
        <f>SUM(K14:K15)</f>
        <v>46353270.890000001</v>
      </c>
      <c r="L16" s="263">
        <f>K16/K17</f>
        <v>0.10282790862437734</v>
      </c>
      <c r="M16" s="170">
        <f t="shared" si="1"/>
        <v>0.29774696769483117</v>
      </c>
      <c r="N16" s="568">
        <f>SUM(N14:N15)</f>
        <v>135604362.77000001</v>
      </c>
      <c r="O16" s="90">
        <v>0.74773928328858486</v>
      </c>
      <c r="P16" s="574">
        <f t="shared" si="3"/>
        <v>-0.56927677453072556</v>
      </c>
      <c r="Q16" s="568">
        <f>SUM(Q14:Q15)</f>
        <v>135604362.77000001</v>
      </c>
      <c r="R16" s="90">
        <v>0.74773928328858486</v>
      </c>
      <c r="S16" s="574">
        <f t="shared" si="5"/>
        <v>-0.65817271698978985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2750964399.9900002</v>
      </c>
      <c r="F17" s="265"/>
      <c r="G17" s="155">
        <f>+G10+G13+G16</f>
        <v>1707558811</v>
      </c>
      <c r="H17" s="181">
        <f t="shared" si="4"/>
        <v>0.62071279839397664</v>
      </c>
      <c r="I17" s="155">
        <f>+I10+I13+I16</f>
        <v>1645383549.21</v>
      </c>
      <c r="J17" s="181">
        <f t="shared" si="0"/>
        <v>0.59811153834487318</v>
      </c>
      <c r="K17" s="155">
        <f>+K10+K13+K16</f>
        <v>450784923.18000001</v>
      </c>
      <c r="L17" s="265"/>
      <c r="M17" s="173">
        <f t="shared" si="1"/>
        <v>0.16386432451893548</v>
      </c>
      <c r="N17" s="576">
        <f>N10+N13+N16</f>
        <v>1570698252.4199998</v>
      </c>
      <c r="O17" s="181">
        <v>0.6363233178687312</v>
      </c>
      <c r="P17" s="577">
        <f t="shared" si="3"/>
        <v>4.7549105421700988E-2</v>
      </c>
      <c r="Q17" s="576">
        <f>+Q10+Q13+Q16</f>
        <v>570962466.83000004</v>
      </c>
      <c r="R17" s="181">
        <v>0.2313090567917887</v>
      </c>
      <c r="S17" s="577">
        <f t="shared" si="5"/>
        <v>-0.21048238830343646</v>
      </c>
    </row>
    <row r="18" spans="1:19" x14ac:dyDescent="0.2">
      <c r="D18" s="476"/>
      <c r="E18" s="46"/>
      <c r="G18" s="46"/>
      <c r="I18" s="46"/>
      <c r="K18" s="46"/>
    </row>
    <row r="19" spans="1:19" x14ac:dyDescent="0.2">
      <c r="A19" s="8" t="s">
        <v>784</v>
      </c>
      <c r="F19" s="411"/>
      <c r="G19" s="254"/>
      <c r="H19" s="411"/>
      <c r="K19" s="744"/>
      <c r="L19" s="744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8.25" x14ac:dyDescent="0.2">
      <c r="A21" s="1"/>
      <c r="B21" s="2" t="s">
        <v>12</v>
      </c>
      <c r="C21" s="3" t="s">
        <v>533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 t="s">
        <v>18</v>
      </c>
    </row>
    <row r="22" spans="1:19" x14ac:dyDescent="0.2">
      <c r="A22" s="21">
        <v>1</v>
      </c>
      <c r="B22" s="21" t="s">
        <v>0</v>
      </c>
      <c r="C22" s="136">
        <v>0</v>
      </c>
      <c r="D22" s="136"/>
      <c r="E22" s="136">
        <v>27481626.559999999</v>
      </c>
      <c r="F22" s="48"/>
      <c r="G22" s="136">
        <v>27275055</v>
      </c>
      <c r="H22" s="48"/>
      <c r="I22" s="136">
        <v>0</v>
      </c>
      <c r="J22" s="48"/>
      <c r="K22" s="30"/>
      <c r="L22" s="30"/>
      <c r="M22" s="30"/>
      <c r="N22" s="337"/>
      <c r="O22" s="136"/>
      <c r="P22" s="48"/>
    </row>
    <row r="23" spans="1:19" x14ac:dyDescent="0.2">
      <c r="A23" s="23">
        <v>2</v>
      </c>
      <c r="B23" s="23" t="s">
        <v>1</v>
      </c>
      <c r="C23" s="133">
        <v>590045.22</v>
      </c>
      <c r="D23" s="133"/>
      <c r="E23" s="133">
        <v>5699751.0499999998</v>
      </c>
      <c r="F23" s="280"/>
      <c r="G23" s="133">
        <v>1487882.27</v>
      </c>
      <c r="H23" s="280"/>
      <c r="I23" s="133">
        <v>1698246.61</v>
      </c>
      <c r="J23" s="280"/>
      <c r="K23" s="32"/>
      <c r="L23" s="32"/>
      <c r="M23" s="32"/>
      <c r="N23" s="133"/>
      <c r="O23" s="133"/>
      <c r="P23" s="48"/>
    </row>
    <row r="24" spans="1:19" x14ac:dyDescent="0.2">
      <c r="A24" s="23">
        <v>3</v>
      </c>
      <c r="B24" s="23" t="s">
        <v>2</v>
      </c>
      <c r="C24" s="133"/>
      <c r="D24" s="133"/>
      <c r="E24" s="133"/>
      <c r="F24" s="280"/>
      <c r="G24" s="133"/>
      <c r="H24" s="280"/>
      <c r="I24" s="133"/>
      <c r="J24" s="280"/>
      <c r="K24" s="32"/>
      <c r="L24" s="32"/>
      <c r="M24" s="32"/>
      <c r="N24" s="133"/>
      <c r="O24" s="133"/>
      <c r="P24" s="48"/>
    </row>
    <row r="25" spans="1:19" x14ac:dyDescent="0.2">
      <c r="A25" s="23">
        <v>4</v>
      </c>
      <c r="B25" s="23" t="s">
        <v>3</v>
      </c>
      <c r="C25" s="133">
        <v>2130404.62</v>
      </c>
      <c r="D25" s="133"/>
      <c r="E25" s="133">
        <v>9648284.1099999994</v>
      </c>
      <c r="F25" s="280"/>
      <c r="G25" s="133">
        <v>7800747.1100000003</v>
      </c>
      <c r="H25" s="280"/>
      <c r="I25" s="133">
        <v>6644823.1799999997</v>
      </c>
      <c r="J25" s="280"/>
      <c r="K25" s="32"/>
      <c r="L25" s="32"/>
      <c r="M25" s="465"/>
      <c r="N25" s="446"/>
      <c r="O25" s="133"/>
      <c r="P25" s="280"/>
    </row>
    <row r="26" spans="1:19" x14ac:dyDescent="0.2">
      <c r="A26" s="55">
        <v>5</v>
      </c>
      <c r="B26" s="55" t="s">
        <v>453</v>
      </c>
      <c r="C26" s="56">
        <v>0</v>
      </c>
      <c r="D26" s="56"/>
      <c r="E26" s="133">
        <v>0</v>
      </c>
      <c r="F26" s="78"/>
      <c r="G26" s="137">
        <v>3381405.07</v>
      </c>
      <c r="H26" s="78"/>
      <c r="I26" s="56">
        <v>0</v>
      </c>
      <c r="J26" s="78"/>
      <c r="K26" s="180"/>
      <c r="L26" s="180"/>
      <c r="M26" s="466"/>
      <c r="N26" s="338"/>
      <c r="O26" s="56"/>
      <c r="P26" s="78"/>
    </row>
    <row r="27" spans="1:19" x14ac:dyDescent="0.2">
      <c r="A27" s="9"/>
      <c r="B27" s="2" t="s">
        <v>4</v>
      </c>
      <c r="C27" s="19">
        <f>SUM(C22:C26)</f>
        <v>2720449.84</v>
      </c>
      <c r="D27" s="19">
        <f>SUM(D22:D26)</f>
        <v>0</v>
      </c>
      <c r="E27" s="84">
        <f>SUM(E22:E26)</f>
        <v>42829661.719999999</v>
      </c>
      <c r="F27" s="44"/>
      <c r="G27" s="19">
        <f>SUM(G22:G26)</f>
        <v>39945089.450000003</v>
      </c>
      <c r="H27" s="44"/>
      <c r="I27" s="19">
        <f>SUM(I22:I26)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84">
        <f>+C27+D27+E27-G27+I27+K27-M27+L27</f>
        <v>13948091.899999999</v>
      </c>
      <c r="P27" s="90"/>
      <c r="Q27" s="46"/>
    </row>
    <row r="28" spans="1:19" x14ac:dyDescent="0.2">
      <c r="A28" s="21">
        <v>6</v>
      </c>
      <c r="B28" s="21" t="s">
        <v>5</v>
      </c>
      <c r="C28" s="136">
        <v>0</v>
      </c>
      <c r="D28" s="136"/>
      <c r="E28" s="136">
        <v>181937755.30000001</v>
      </c>
      <c r="F28" s="48"/>
      <c r="G28" s="136">
        <v>198155660.90000001</v>
      </c>
      <c r="H28" s="48"/>
      <c r="I28" s="136">
        <v>3504034.52</v>
      </c>
      <c r="J28" s="48"/>
      <c r="K28" s="180"/>
      <c r="L28" s="180"/>
      <c r="M28" s="30"/>
      <c r="N28" s="136"/>
      <c r="O28" s="136"/>
      <c r="P28" s="48"/>
    </row>
    <row r="29" spans="1:19" x14ac:dyDescent="0.2">
      <c r="A29" s="24">
        <v>7</v>
      </c>
      <c r="B29" s="24" t="s">
        <v>6</v>
      </c>
      <c r="C29" s="137">
        <v>213192</v>
      </c>
      <c r="D29" s="137"/>
      <c r="E29" s="56">
        <v>31196732.579999998</v>
      </c>
      <c r="F29" s="390"/>
      <c r="G29" s="56">
        <v>17863399.25</v>
      </c>
      <c r="H29" s="390"/>
      <c r="I29" s="137">
        <v>0</v>
      </c>
      <c r="J29" s="390"/>
      <c r="K29" s="34"/>
      <c r="L29" s="34"/>
      <c r="M29" s="466"/>
      <c r="N29" s="338"/>
      <c r="O29" s="137"/>
      <c r="P29" s="264"/>
    </row>
    <row r="30" spans="1:19" x14ac:dyDescent="0.2">
      <c r="A30" s="9"/>
      <c r="B30" s="2" t="s">
        <v>7</v>
      </c>
      <c r="C30" s="19">
        <f>SUM(C28:C29)</f>
        <v>213192</v>
      </c>
      <c r="D30" s="19">
        <f>SUM(D28:D29)</f>
        <v>0</v>
      </c>
      <c r="E30" s="19">
        <f>SUM(E28:E29)</f>
        <v>213134487.88</v>
      </c>
      <c r="F30" s="44"/>
      <c r="G30" s="19">
        <f>SUM(G28:G29)</f>
        <v>216019060.15000001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84">
        <f>+C30+D30+E30-G30+I30+K30-M30+L30</f>
        <v>832654.24999998929</v>
      </c>
      <c r="P30" s="90"/>
      <c r="Q30" s="46"/>
    </row>
    <row r="31" spans="1:19" x14ac:dyDescent="0.2">
      <c r="A31" s="21">
        <v>8</v>
      </c>
      <c r="B31" s="21" t="s">
        <v>8</v>
      </c>
      <c r="C31" s="22"/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">
      <c r="A32" s="24">
        <v>9</v>
      </c>
      <c r="B32" s="24" t="s">
        <v>9</v>
      </c>
      <c r="C32" s="25"/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5" thickBot="1" x14ac:dyDescent="0.25">
      <c r="A34" s="5"/>
      <c r="B34" s="4" t="s">
        <v>11</v>
      </c>
      <c r="C34" s="20">
        <f>+C27+C30+C33</f>
        <v>2933641.84</v>
      </c>
      <c r="D34" s="20">
        <f>+D27+D30+D33</f>
        <v>0</v>
      </c>
      <c r="E34" s="20">
        <f>+E27+E30+E33</f>
        <v>255964149.59999999</v>
      </c>
      <c r="F34" s="45"/>
      <c r="G34" s="20">
        <f>+G27+G30+G33</f>
        <v>255964149.60000002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14780746.149999987</v>
      </c>
      <c r="P34" s="45"/>
    </row>
    <row r="36" spans="1:16" x14ac:dyDescent="0.2">
      <c r="N36" s="46"/>
    </row>
    <row r="37" spans="1:16" x14ac:dyDescent="0.2">
      <c r="B37" s="46"/>
    </row>
    <row r="136" spans="12:15" x14ac:dyDescent="0.2">
      <c r="L136" s="687"/>
      <c r="O136" s="687"/>
    </row>
    <row r="137" spans="12:15" x14ac:dyDescent="0.2">
      <c r="L137" s="687"/>
      <c r="N137" s="46"/>
      <c r="O137" s="687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P56"/>
  <sheetViews>
    <sheetView zoomScaleNormal="100" workbookViewId="0">
      <selection activeCell="E1" sqref="E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10.5703125" style="9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Març&amp;R&amp;"Arial,Negreta"&amp;8&amp;K03+000Direcció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2017-04-13T07:55:41Z</cp:lastPrinted>
  <dcterms:created xsi:type="dcterms:W3CDTF">2011-01-04T08:57:13Z</dcterms:created>
  <dcterms:modified xsi:type="dcterms:W3CDTF">2017-04-26T09:34:43Z</dcterms:modified>
</cp:coreProperties>
</file>