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64" tabRatio="931" firstSheet="29" activeTab="38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6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4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63" hidden="1">"1_1_2_2_1"</definedName>
    <definedName name="__FPMExcelClient_CellBasedFunctionStatus" localSheetId="2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9" hidden="1">"1_1_2_2_1"</definedName>
    <definedName name="__FPMExcelClient_CellBasedFunctionStatus" localSheetId="21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DDetallCorrent!$A$1:$P$140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DDetallCorrent!$A$1:$P$140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P22" i="103" l="1"/>
  <c r="P21" i="103"/>
  <c r="N22" i="103" l="1"/>
  <c r="N21" i="103"/>
  <c r="P21" i="28"/>
  <c r="P20" i="28"/>
  <c r="N21" i="28"/>
  <c r="N20" i="28"/>
  <c r="E21" i="28"/>
  <c r="F21" i="28"/>
  <c r="G21" i="28"/>
  <c r="H21" i="28"/>
  <c r="I21" i="28"/>
  <c r="E20" i="28"/>
  <c r="F20" i="28"/>
  <c r="G20" i="28"/>
  <c r="H20" i="28"/>
  <c r="I20" i="28"/>
  <c r="E22" i="103"/>
  <c r="F22" i="103"/>
  <c r="G22" i="103"/>
  <c r="H22" i="103"/>
  <c r="E21" i="103"/>
  <c r="F21" i="103"/>
  <c r="G21" i="103"/>
  <c r="H21" i="103"/>
  <c r="I21" i="103"/>
  <c r="J21" i="28" l="1"/>
  <c r="D21" i="28"/>
  <c r="J20" i="28"/>
  <c r="D20" i="28"/>
  <c r="J22" i="103"/>
  <c r="I22" i="103"/>
  <c r="D22" i="103"/>
  <c r="J21" i="103"/>
  <c r="D21" i="103"/>
  <c r="J12" i="85" l="1"/>
  <c r="H12" i="85"/>
  <c r="F12" i="85"/>
  <c r="J13" i="86"/>
  <c r="F13" i="86"/>
  <c r="H13" i="86"/>
  <c r="F13" i="84"/>
  <c r="J11" i="84"/>
  <c r="H11" i="84"/>
  <c r="F11" i="84"/>
  <c r="J11" i="81"/>
  <c r="H11" i="81"/>
  <c r="F11" i="81"/>
  <c r="J11" i="80"/>
  <c r="H11" i="80"/>
  <c r="J12" i="28"/>
  <c r="H12" i="28"/>
  <c r="F12" i="28"/>
  <c r="P129" i="45" l="1"/>
  <c r="P128" i="45"/>
  <c r="J115" i="45"/>
  <c r="H115" i="45"/>
  <c r="M111" i="45"/>
  <c r="M100" i="45"/>
  <c r="I105" i="45"/>
  <c r="P77" i="45"/>
  <c r="K13" i="44" l="1"/>
  <c r="H8" i="44"/>
  <c r="H59" i="43" l="1"/>
  <c r="K21" i="43"/>
  <c r="K44" i="43"/>
  <c r="H44" i="43"/>
  <c r="H28" i="43"/>
  <c r="H21" i="43"/>
  <c r="H14" i="43"/>
  <c r="E14" i="15" l="1"/>
  <c r="P166" i="78" l="1"/>
  <c r="P165" i="16"/>
  <c r="K148" i="16"/>
  <c r="P11" i="88"/>
  <c r="P11" i="85"/>
  <c r="P11" i="80"/>
  <c r="M11" i="80"/>
  <c r="P11" i="79"/>
  <c r="M11" i="79"/>
  <c r="S14" i="1" l="1"/>
  <c r="S12" i="1"/>
  <c r="P12" i="22"/>
  <c r="P11" i="22"/>
  <c r="P12" i="23"/>
  <c r="P12" i="25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5" i="45"/>
  <c r="M110" i="45"/>
  <c r="P90" i="45"/>
  <c r="P91" i="45"/>
  <c r="P94" i="45"/>
  <c r="P83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M3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O13" i="103" s="1"/>
  <c r="K13" i="103"/>
  <c r="L13" i="103" s="1"/>
  <c r="I13" i="103"/>
  <c r="G13" i="103"/>
  <c r="E13" i="103"/>
  <c r="D13" i="103"/>
  <c r="C13" i="103"/>
  <c r="P11" i="103"/>
  <c r="M11" i="103"/>
  <c r="J11" i="103"/>
  <c r="H11" i="103"/>
  <c r="F11" i="103"/>
  <c r="N10" i="103"/>
  <c r="O10" i="103" s="1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G17" i="103" l="1"/>
  <c r="H16" i="103"/>
  <c r="D17" i="103"/>
  <c r="H17" i="103" s="1"/>
  <c r="F16" i="103"/>
  <c r="J16" i="103"/>
  <c r="L16" i="103"/>
  <c r="M16" i="103"/>
  <c r="O16" i="103"/>
  <c r="P16" i="103"/>
  <c r="M13" i="103"/>
  <c r="C17" i="103"/>
  <c r="N17" i="103"/>
  <c r="O17" i="103" s="1"/>
  <c r="P13" i="103"/>
  <c r="P10" i="103"/>
  <c r="K17" i="103"/>
  <c r="L17" i="103" s="1"/>
  <c r="M10" i="103"/>
  <c r="F13" i="103"/>
  <c r="F10" i="103"/>
  <c r="H10" i="103"/>
  <c r="H13" i="103"/>
  <c r="E17" i="103"/>
  <c r="I17" i="103"/>
  <c r="J10" i="103"/>
  <c r="J13" i="103"/>
  <c r="H5" i="44"/>
  <c r="H13" i="44"/>
  <c r="F17" i="103" l="1"/>
  <c r="M17" i="103"/>
  <c r="P17" i="103"/>
  <c r="J17" i="103"/>
  <c r="J11" i="88"/>
  <c r="H11" i="88"/>
  <c r="F11" i="88"/>
  <c r="P11" i="82"/>
  <c r="M11" i="82"/>
  <c r="J11" i="86"/>
  <c r="F11" i="86"/>
  <c r="H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8" i="20"/>
  <c r="N190" i="78" l="1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2" i="45" l="1"/>
  <c r="H82" i="45"/>
  <c r="F82" i="45"/>
  <c r="P136" i="45"/>
  <c r="M136" i="45"/>
  <c r="M134" i="45"/>
  <c r="P130" i="45"/>
  <c r="M129" i="45"/>
  <c r="M128" i="45"/>
  <c r="M127" i="45"/>
  <c r="P122" i="45"/>
  <c r="M123" i="45"/>
  <c r="P120" i="45"/>
  <c r="P115" i="45"/>
  <c r="P110" i="45"/>
  <c r="P103" i="45"/>
  <c r="M103" i="45"/>
  <c r="M90" i="45"/>
  <c r="M91" i="45"/>
  <c r="P87" i="45"/>
  <c r="M87" i="45"/>
  <c r="M86" i="45"/>
  <c r="P86" i="45"/>
  <c r="P85" i="45"/>
  <c r="M85" i="45"/>
  <c r="M83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C17" i="100" s="1"/>
  <c r="J8" i="100"/>
  <c r="H8" i="100"/>
  <c r="F8" i="100"/>
  <c r="J6" i="100"/>
  <c r="H6" i="100"/>
  <c r="F6" i="100"/>
  <c r="J5" i="100"/>
  <c r="H5" i="100"/>
  <c r="F5" i="100"/>
  <c r="F10" i="100" l="1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N27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8" i="45"/>
  <c r="C138" i="45"/>
  <c r="C105" i="45"/>
  <c r="F88" i="45"/>
  <c r="J88" i="45"/>
  <c r="H88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4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6" i="45" l="1"/>
  <c r="H86" i="45"/>
  <c r="J86" i="45"/>
  <c r="F87" i="45"/>
  <c r="H87" i="45"/>
  <c r="J87" i="45"/>
  <c r="F89" i="45"/>
  <c r="H89" i="45"/>
  <c r="J89" i="45"/>
  <c r="F90" i="45"/>
  <c r="H90" i="45"/>
  <c r="J90" i="45"/>
  <c r="F91" i="45"/>
  <c r="H91" i="45"/>
  <c r="J91" i="45"/>
  <c r="F94" i="45"/>
  <c r="H94" i="45"/>
  <c r="J94" i="45"/>
  <c r="F99" i="45"/>
  <c r="H99" i="45"/>
  <c r="J99" i="45"/>
  <c r="F100" i="45"/>
  <c r="H100" i="45"/>
  <c r="J100" i="45"/>
  <c r="F102" i="45"/>
  <c r="H102" i="45"/>
  <c r="J102" i="45"/>
  <c r="F103" i="45"/>
  <c r="H103" i="45"/>
  <c r="J103" i="45"/>
  <c r="D105" i="45"/>
  <c r="E105" i="45"/>
  <c r="G105" i="45"/>
  <c r="E8" i="44"/>
  <c r="D60" i="43"/>
  <c r="I11" i="15"/>
  <c r="H5" i="1"/>
  <c r="F105" i="45" l="1"/>
  <c r="J105" i="45"/>
  <c r="H105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N6" i="78"/>
  <c r="K6" i="78"/>
  <c r="K6" i="16"/>
  <c r="N61" i="45"/>
  <c r="N138" i="45"/>
  <c r="K138" i="45"/>
  <c r="N65" i="45"/>
  <c r="K65" i="45"/>
  <c r="N139" i="45" l="1"/>
  <c r="N140" i="45" s="1"/>
  <c r="K139" i="45"/>
  <c r="K140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4" i="45" l="1"/>
  <c r="H134" i="45"/>
  <c r="F134" i="45"/>
  <c r="J129" i="45"/>
  <c r="J130" i="45"/>
  <c r="J131" i="45"/>
  <c r="J132" i="45"/>
  <c r="H129" i="45"/>
  <c r="H130" i="45"/>
  <c r="H131" i="45"/>
  <c r="H132" i="45"/>
  <c r="F129" i="45"/>
  <c r="F130" i="45"/>
  <c r="F131" i="45"/>
  <c r="F132" i="45"/>
  <c r="J126" i="45"/>
  <c r="H126" i="45"/>
  <c r="F126" i="45"/>
  <c r="J123" i="45"/>
  <c r="H123" i="45"/>
  <c r="F123" i="45"/>
  <c r="J111" i="45"/>
  <c r="H111" i="45"/>
  <c r="F111" i="45"/>
  <c r="J83" i="45"/>
  <c r="J85" i="45"/>
  <c r="H83" i="45"/>
  <c r="H84" i="45"/>
  <c r="H85" i="45"/>
  <c r="F83" i="45"/>
  <c r="F84" i="45"/>
  <c r="F85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7" i="45" l="1"/>
  <c r="H137" i="45"/>
  <c r="F137" i="45"/>
  <c r="F14" i="44" l="1"/>
  <c r="F7" i="44"/>
  <c r="G14" i="43"/>
  <c r="E14" i="43"/>
  <c r="D14" i="43"/>
  <c r="F14" i="43" l="1"/>
  <c r="E16" i="15"/>
  <c r="I10" i="79" l="1"/>
  <c r="K149" i="78"/>
  <c r="N65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K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N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N148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N17" i="86" s="1"/>
  <c r="K10" i="86"/>
  <c r="K17" i="86" s="1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E13" i="83"/>
  <c r="D13" i="83"/>
  <c r="C13" i="83"/>
  <c r="J11" i="83"/>
  <c r="H11" i="83"/>
  <c r="F11" i="83"/>
  <c r="N10" i="83"/>
  <c r="K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M13" i="84" s="1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2" l="1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F13" i="81" s="1"/>
  <c r="D13" i="81"/>
  <c r="C13" i="81"/>
  <c r="N10" i="81"/>
  <c r="N17" i="81" s="1"/>
  <c r="K10" i="81"/>
  <c r="K17" i="81" s="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N17" i="80" l="1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P13" i="79" s="1"/>
  <c r="G13" i="79"/>
  <c r="M13" i="79" s="1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F17" i="81" l="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M12" i="76" s="1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N211" i="78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5" i="45"/>
  <c r="M133" i="45"/>
  <c r="M132" i="45"/>
  <c r="M131" i="45"/>
  <c r="M130" i="45"/>
  <c r="M126" i="45"/>
  <c r="M124" i="45"/>
  <c r="M122" i="45"/>
  <c r="M120" i="45"/>
  <c r="M119" i="45"/>
  <c r="M117" i="45"/>
  <c r="M116" i="45"/>
  <c r="M94" i="45"/>
  <c r="M84" i="45"/>
  <c r="M81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0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P12" i="76" s="1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E16" i="76" l="1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F8" i="44" l="1"/>
  <c r="P11" i="23" l="1"/>
  <c r="P6" i="23"/>
  <c r="H8" i="27" l="1"/>
  <c r="I14" i="15" l="1"/>
  <c r="P8" i="27" l="1"/>
  <c r="P8" i="26"/>
  <c r="P35" i="16" l="1"/>
  <c r="J55" i="16" l="1"/>
  <c r="J48" i="16"/>
  <c r="J40" i="16"/>
  <c r="J41" i="16"/>
  <c r="J42" i="16"/>
  <c r="J122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6" i="45" l="1"/>
  <c r="P81" i="45"/>
  <c r="P63" i="45"/>
  <c r="K43" i="43"/>
  <c r="J8" i="24" l="1"/>
  <c r="H8" i="24"/>
  <c r="F133" i="45" l="1"/>
  <c r="H122" i="45"/>
  <c r="H124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H12" i="24" s="1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2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4" i="45" l="1"/>
  <c r="J116" i="45"/>
  <c r="J117" i="45"/>
  <c r="J119" i="45"/>
  <c r="J120" i="45"/>
  <c r="I27" i="1" l="1"/>
  <c r="E27" i="1"/>
  <c r="G27" i="1"/>
  <c r="O27" i="1" l="1"/>
  <c r="J5" i="20"/>
  <c r="J6" i="20"/>
  <c r="J10" i="20"/>
  <c r="H10" i="20" l="1"/>
  <c r="J39" i="45"/>
  <c r="J40" i="45"/>
  <c r="H39" i="45"/>
  <c r="H40" i="45"/>
  <c r="P132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8" i="45"/>
  <c r="I138" i="45"/>
  <c r="G138" i="45"/>
  <c r="M138" i="45" s="1"/>
  <c r="G6" i="14"/>
  <c r="G7" i="14" s="1"/>
  <c r="D139" i="45" l="1"/>
  <c r="F138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0" i="45"/>
  <c r="F110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7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M17" i="28" s="1"/>
  <c r="D17" i="28"/>
  <c r="P16" i="23"/>
  <c r="F10" i="28"/>
  <c r="P10" i="28"/>
  <c r="J13" i="28"/>
  <c r="I17" i="28"/>
  <c r="P17" i="28" s="1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7" i="28" l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E59" i="13"/>
  <c r="D59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6" i="45"/>
  <c r="H136" i="45"/>
  <c r="F136" i="45"/>
  <c r="P135" i="45"/>
  <c r="J135" i="45"/>
  <c r="H135" i="45"/>
  <c r="F135" i="45"/>
  <c r="P133" i="45"/>
  <c r="J133" i="45"/>
  <c r="H133" i="45"/>
  <c r="J127" i="45"/>
  <c r="H127" i="45"/>
  <c r="F127" i="45"/>
  <c r="J128" i="45"/>
  <c r="H128" i="45"/>
  <c r="F128" i="45"/>
  <c r="J124" i="45"/>
  <c r="F124" i="45"/>
  <c r="P131" i="45"/>
  <c r="H120" i="45"/>
  <c r="F120" i="45"/>
  <c r="P119" i="45"/>
  <c r="H119" i="45"/>
  <c r="F119" i="45"/>
  <c r="H117" i="45"/>
  <c r="F117" i="45"/>
  <c r="H116" i="45"/>
  <c r="F116" i="45"/>
  <c r="F80" i="16" l="1"/>
  <c r="J80" i="16"/>
  <c r="H80" i="16"/>
  <c r="P79" i="16"/>
  <c r="P138" i="45"/>
  <c r="J138" i="45"/>
  <c r="H138" i="45"/>
  <c r="E139" i="45" l="1"/>
  <c r="F139" i="45" s="1"/>
  <c r="C139" i="45"/>
  <c r="G139" i="45" l="1"/>
  <c r="M139" i="45" s="1"/>
  <c r="M105" i="45"/>
  <c r="I139" i="45"/>
  <c r="P105" i="45"/>
  <c r="J81" i="45"/>
  <c r="H81" i="45"/>
  <c r="F81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39" i="45" l="1"/>
  <c r="P139" i="45"/>
  <c r="J139" i="45"/>
  <c r="I65" i="45"/>
  <c r="P65" i="45" s="1"/>
  <c r="G65" i="45"/>
  <c r="M65" i="45" s="1"/>
  <c r="E65" i="45"/>
  <c r="D65" i="45"/>
  <c r="C65" i="45"/>
  <c r="C140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1" i="45"/>
  <c r="D140" i="45" s="1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0" i="45"/>
  <c r="S16" i="1"/>
  <c r="E17" i="1"/>
  <c r="C4" i="42" s="1"/>
  <c r="H16" i="1"/>
  <c r="H13" i="1"/>
  <c r="G140" i="45"/>
  <c r="M140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0" i="45"/>
  <c r="F140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H16" i="44" s="1"/>
  <c r="D16" i="44"/>
  <c r="C16" i="44"/>
  <c r="C8" i="44"/>
  <c r="F16" i="44" l="1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0" i="45" l="1"/>
  <c r="J140" i="45" l="1"/>
  <c r="P140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<sst xmlns="http://schemas.openxmlformats.org/spreadsheetml/2006/main" count="3939" uniqueCount="787">
  <si>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</si>
  <si>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</si>
  <si>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</si>
  <si>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</si>
  <si>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</si>
  <si>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</si>
  <si>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</si>
  <si>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</si>
  <si>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</si>
  <si>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</si>
  <si>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</si>
  <si>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</si>
  <si>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</si>
  <si>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</si>
  <si>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</si>
  <si>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</si>
  <si>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</si>
  <si>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</si>
  <si>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</si>
  <si>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</si>
  <si>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</si>
  <si>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</si>
  <si>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</si>
  <si>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</si>
  <si>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</si>
  <si>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</si>
  <si>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</si>
  <si>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</si>
  <si>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</si>
  <si>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</si>
  <si>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</si>
  <si>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</si>
  <si>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</si>
  <si>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</si>
  <si>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</si>
  <si>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</si>
  <si>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</si>
  <si>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</si>
  <si>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</si>
  <si>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</si>
  <si>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</si>
  <si>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</si>
  <si>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</si>
  <si>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</si>
  <si>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</si>
  <si>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</si>
  <si>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</si>
  <si>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</si>
  <si>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</si>
  <si>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</si>
  <si>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</si>
  <si>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</si>
  <si>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</si>
  <si>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</si>
  <si>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</si>
  <si>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</si>
  <si>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</si>
  <si>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</si>
  <si>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</si>
  <si>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</si>
  <si>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</si>
  <si>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</si>
  <si>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</si>
  <si>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</si>
  <si>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</si>
  <si>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</si>
  <si>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</si>
  <si>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</si>
  <si>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</si>
  <si>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</si>
  <si>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</si>
  <si>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</si>
  <si>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</si>
  <si>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</si>
  <si>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</si>
  <si>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</si>
  <si>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</si>
  <si>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</si>
  <si>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</si>
  <si>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</si>
  <si>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</si>
  <si>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</si>
  <si>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</si>
  <si>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</si>
  <si>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</si>
  <si>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</si>
  <si>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</si>
  <si>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</si>
  <si>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</si>
  <si>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</si>
  <si>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</si>
  <si>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</si>
  <si>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</si>
  <si>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</si>
  <si>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</si>
  <si>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</si>
  <si>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</si>
  <si>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</si>
  <si>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</si>
  <si>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</si>
  <si>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</si>
  <si>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</si>
  <si>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</si>
  <si>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</si>
  <si>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</si>
  <si>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</si>
  <si>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</si>
  <si>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</si>
  <si>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</si>
  <si>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</si>
  <si>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</si>
  <si>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</si>
  <si>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</si>
  <si>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</si>
  <si>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</si>
  <si>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</si>
  <si>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</si>
  <si>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</si>
  <si>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</si>
  <si>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</si>
  <si>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</si>
  <si>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</si>
  <si>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</si>
  <si>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</si>
  <si>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</si>
  <si>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</si>
  <si>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</si>
  <si>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</si>
  <si>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</si>
  <si>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</si>
  <si>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</si>
  <si>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</si>
  <si>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</si>
  <si>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</si>
  <si>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</si>
  <si>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</si>
  <si>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</si>
  <si>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</si>
  <si>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</si>
  <si>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</si>
  <si>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</si>
  <si>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</si>
  <si>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</si>
  <si>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</si>
  <si>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</si>
  <si>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</si>
  <si>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</si>
  <si>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</si>
  <si>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</si>
  <si>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</si>
  <si>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</si>
  <si>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</si>
  <si>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</si>
  <si>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</si>
  <si>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</si>
  <si>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</si>
  <si>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</si>
  <si>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</si>
  <si>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</si>
  <si>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</si>
  <si>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</si>
  <si>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</si>
  <si>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</si>
  <si>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</si>
  <si>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</si>
  <si>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</si>
  <si>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</si>
  <si>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</si>
  <si>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</si>
  <si>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</si>
  <si>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</si>
  <si>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</si>
  <si>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</si>
  <si>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</si>
  <si>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</si>
  <si>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</si>
  <si>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</si>
  <si>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</si>
  <si>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</si>
  <si>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</si>
  <si>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</si>
  <si>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</si>
  <si>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</si>
  <si>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</si>
  <si>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</si>
  <si>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</si>
  <si>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</si>
  <si>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</si>
  <si>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</si>
  <si>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</si>
  <si>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</si>
  <si>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</si>
  <si>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</si>
  <si>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</si>
  <si>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</si>
  <si>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</si>
  <si>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</si>
  <si>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</si>
  <si>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</si>
  <si>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</si>
  <si>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</si>
  <si>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</si>
  <si>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</si>
  <si>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</si>
  <si>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</si>
  <si>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</si>
  <si>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</si>
  <si>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</si>
  <si>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</si>
  <si>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</si>
  <si>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</si>
  <si>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</si>
  <si>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</si>
  <si>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</si>
  <si>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</si>
  <si>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</si>
  <si>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</si>
  <si>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</si>
  <si>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</si>
  <si>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</si>
  <si>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</si>
  <si>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</si>
  <si>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</si>
  <si>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</si>
  <si>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</si>
  <si>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</si>
  <si>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</si>
  <si>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</si>
  <si>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</si>
  <si>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</si>
  <si>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</si>
  <si>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</si>
  <si>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</si>
  <si>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</si>
  <si>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</si>
  <si>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</si>
  <si>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</si>
  <si>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</si>
  <si>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</si>
  <si>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</si>
  <si>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</si>
  <si>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</si>
  <si>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</si>
  <si>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</si>
  <si>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</si>
  <si>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</si>
  <si>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</si>
  <si>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</si>
  <si>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</si>
  <si>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</si>
  <si>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</si>
  <si>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</si>
  <si>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</si>
  <si>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</si>
  <si>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</si>
  <si>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</si>
  <si>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</si>
  <si>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</si>
  <si>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</si>
  <si>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</si>
  <si>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</si>
  <si>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</si>
  <si>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</si>
  <si>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</si>
  <si>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</si>
  <si>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</si>
  <si>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</si>
  <si>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</si>
  <si>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</si>
  <si>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</si>
  <si>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</si>
  <si>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</si>
  <si>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</si>
  <si>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</si>
  <si>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</si>
  <si>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</si>
  <si>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</si>
  <si>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</si>
  <si>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</si>
  <si>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</si>
  <si>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</si>
  <si>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</si>
  <si>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</si>
  <si>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</si>
  <si>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</si>
  <si>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</si>
  <si>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</si>
  <si>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</si>
  <si>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</si>
  <si>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</si>
  <si>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</si>
  <si>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</si>
  <si>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</si>
  <si>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</si>
  <si>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</si>
  <si>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</si>
  <si>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</si>
  <si>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</si>
  <si>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</si>
  <si>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</si>
  <si>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</si>
  <si>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</si>
  <si>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</si>
  <si>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</si>
  <si>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</si>
  <si>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</si>
  <si>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</si>
  <si>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</si>
  <si>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</si>
  <si>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</si>
  <si>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</si>
  <si>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</si>
  <si>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</si>
  <si>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</si>
  <si>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</si>
  <si>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</si>
  <si>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</si>
  <si>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</si>
  <si>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</si>
  <si>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</si>
  <si>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</si>
  <si>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</si>
  <si>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</si>
  <si>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</si>
  <si>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</si>
  <si>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</si>
  <si>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</si>
  <si>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</si>
  <si>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</si>
  <si>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</si>
  <si>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</si>
  <si>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</si>
  <si>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</si>
  <si>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</si>
  <si>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</si>
  <si>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</si>
  <si>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</si>
  <si>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</si>
  <si>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</si>
  <si>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</si>
  <si>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</si>
  <si>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</si>
  <si>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</si>
  <si>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</si>
  <si>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</si>
  <si>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</si>
  <si>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</si>
  <si>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</si>
  <si>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</si>
  <si>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</si>
  <si>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</si>
  <si>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</si>
  <si>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</si>
  <si>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</si>
  <si>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</si>
  <si>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</si>
  <si>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</si>
  <si>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</si>
  <si>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</si>
  <si>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</si>
  <si>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</si>
  <si>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</si>
  <si>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</si>
  <si>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</si>
  <si>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</si>
  <si>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</si>
  <si>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</si>
  <si>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</si>
  <si>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</si>
  <si>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</si>
  <si>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</si>
  <si>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</si>
  <si>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</si>
  <si>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</si>
  <si>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</si>
  <si>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</si>
  <si>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</si>
  <si>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</si>
  <si>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</si>
  <si>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</si>
  <si>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</si>
  <si>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</si>
  <si>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</si>
  <si>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</si>
  <si>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</si>
  <si>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</si>
  <si>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</si>
  <si>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</si>
  <si>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</si>
  <si>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</si>
  <si>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</si>
  <si>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</si>
  <si>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</si>
  <si>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</si>
  <si>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</si>
  <si>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</si>
  <si>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</si>
  <si>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</si>
  <si>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</si>
  <si>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</si>
  <si>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</si>
  <si>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</si>
  <si>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</si>
  <si>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</si>
  <si>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</si>
  <si>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</si>
  <si>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</si>
  <si>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</si>
  <si>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</si>
  <si>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</si>
  <si>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</si>
  <si>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</si>
  <si>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</si>
  <si>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</si>
  <si>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</si>
  <si>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</si>
  <si>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</si>
  <si>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</si>
  <si>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</si>
  <si>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</si>
  <si>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</si>
  <si>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</si>
  <si>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</si>
  <si>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</si>
  <si>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</si>
  <si>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</si>
  <si>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</si>
  <si>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</si>
  <si>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</si>
  <si>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</si>
  <si>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</si>
  <si>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</si>
  <si>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</si>
  <si>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</si>
  <si>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</si>
  <si>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</si>
  <si>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</si>
  <si>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</si>
  <si>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</si>
  <si>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</si>
  <si>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</si>
  <si>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</si>
  <si>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</si>
  <si>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</si>
  <si>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</si>
  <si>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</si>
  <si>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</si>
  <si>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</si>
  <si>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</si>
  <si>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</si>
  <si>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</si>
  <si>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</si>
  <si>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</si>
  <si>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</si>
  <si>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</si>
  <si>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</si>
  <si>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</si>
  <si>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</si>
  <si>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</si>
  <si>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</si>
  <si>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</si>
  <si>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</si>
  <si>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</si>
  <si>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</si>
  <si>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</si>
  <si>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</si>
  <si>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</si>
  <si>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</si>
  <si>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</si>
  <si>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</si>
  <si>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</si>
  <si>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</si>
  <si>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</si>
  <si>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</si>
  <si>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</si>
  <si>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</si>
  <si>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</si>
  <si>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</si>
  <si>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</si>
  <si>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</si>
  <si>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</si>
  <si>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</si>
  <si>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</si>
  <si>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</si>
  <si>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</si>
  <si>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</si>
  <si>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</si>
  <si>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</si>
  <si>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</si>
  <si>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</si>
  <si>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</si>
  <si>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</si>
  <si>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</si>
  <si>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</si>
  <si>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</si>
  <si>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</si>
  <si>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</si>
  <si>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</si>
  <si>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</si>
  <si>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</si>
  <si>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</si>
  <si>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</si>
  <si>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</si>
  <si>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</si>
  <si>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</si>
  <si>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</si>
  <si>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</si>
  <si>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</si>
  <si>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</si>
  <si>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</si>
  <si>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</si>
  <si>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</si>
  <si>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</si>
  <si>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</si>
  <si>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</si>
  <si>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</si>
  <si>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</si>
  <si>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</si>
  <si>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</si>
  <si>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</si>
  <si>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</si>
  <si>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</si>
  <si>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</si>
  <si>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</si>
  <si>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</si>
  <si>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</si>
  <si>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</si>
  <si>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</si>
  <si>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</si>
  <si>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</si>
  <si>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</si>
  <si>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</si>
  <si>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</si>
  <si>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</si>
  <si>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</si>
  <si>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</si>
  <si>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</si>
  <si>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</si>
  <si>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</si>
  <si>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</si>
  <si>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</si>
  <si>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</si>
  <si>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</si>
  <si>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</si>
  <si>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</si>
  <si>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</si>
  <si>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</si>
  <si>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</si>
  <si>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</si>
  <si>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</si>
  <si>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</si>
  <si>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</si>
  <si>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</si>
  <si>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</si>
  <si>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</si>
  <si>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</si>
  <si>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</si>
  <si>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</si>
  <si>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</si>
  <si>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</si>
  <si>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</si>
  <si>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</si>
  <si>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</si>
  <si>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</si>
  <si>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</si>
  <si>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</si>
  <si>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</si>
  <si>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</si>
  <si>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</si>
  <si>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</si>
  <si>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</si>
  <si>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</si>
  <si>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</si>
  <si>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</si>
  <si>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</si>
  <si>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</si>
  <si>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</si>
  <si>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</si>
  <si>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</si>
  <si>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</si>
  <si>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</si>
  <si>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</si>
  <si>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</si>
  <si>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</si>
  <si>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</si>
  <si>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</si>
  <si>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</si>
  <si>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</si>
  <si>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</si>
  <si>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</si>
  <si>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</si>
  <si>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</si>
  <si>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</si>
  <si>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</si>
  <si>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</si>
  <si>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</si>
  <si>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</si>
  <si>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</si>
  <si>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</si>
  <si>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</si>
  <si>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</si>
  <si>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</si>
  <si>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</si>
  <si>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</si>
  <si>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</si>
  <si>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</si>
  <si>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</si>
  <si>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</si>
  <si>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</si>
  <si>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</si>
  <si>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</si>
  <si>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</si>
  <si>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</si>
  <si>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</si>
  <si>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</si>
  <si>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</si>
  <si>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</si>
  <si>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</si>
  <si>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</si>
  <si>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</si>
  <si>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</si>
  <si>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</si>
  <si>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</si>
  <si>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</si>
  <si>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</si>
  <si>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</si>
  <si>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</si>
  <si>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</si>
  <si>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</si>
  <si>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</si>
  <si>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</si>
  <si>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</si>
  <si>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</si>
  <si>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</si>
  <si>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</si>
  <si>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</si>
  <si>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</si>
  <si>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</si>
  <si>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</si>
  <si>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</si>
  <si>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</si>
  <si>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</si>
  <si>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</si>
  <si>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</si>
  <si>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</si>
  <si>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</si>
  <si>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</si>
  <si>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</si>
  <si>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</si>
  <si>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</si>
  <si>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</si>
  <si>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</si>
  <si>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</si>
  <si>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</si>
  <si>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</si>
  <si>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</si>
  <si>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</si>
  <si>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</si>
  <si>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</si>
  <si>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</si>
  <si>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</si>
  <si>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</si>
  <si>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</si>
  <si>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</si>
  <si>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</si>
  <si>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</si>
  <si>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</si>
  <si>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</si>
  <si>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</si>
  <si>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</si>
  <si>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</si>
  <si>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</si>
  <si>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</si>
  <si>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</si>
  <si>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</si>
  <si>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</si>
  <si>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</si>
  <si>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</si>
  <si>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</si>
  <si>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</si>
  <si>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</si>
  <si>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</si>
  <si>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</si>
  <si>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</si>
  <si>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</si>
  <si>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</si>
  <si>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</si>
  <si>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</si>
  <si>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</si>
  <si>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</si>
  <si>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</si>
  <si>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</si>
  <si>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</si>
  <si>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</si>
  <si>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</si>
  <si>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</si>
  <si>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</si>
  <si>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</si>
  <si>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</si>
  <si>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</si>
  <si>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</si>
  <si>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</si>
  <si>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</si>
  <si>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</si>
  <si>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</si>
  <si>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</si>
  <si>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</si>
  <si>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</si>
  <si>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</si>
  <si>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</si>
  <si>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</si>
  <si>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</si>
  <si>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</si>
  <si>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</si>
  <si>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</si>
  <si>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</si>
  <si>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</si>
  <si>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</si>
  <si>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</si>
  <si>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</si>
  <si>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</si>
  <si>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</si>
  <si>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</si>
  <si>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</si>
  <si>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</si>
  <si>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</si>
  <si>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</si>
  <si>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</si>
  <si>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</si>
  <si>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</si>
  <si>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</si>
  <si>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</si>
  <si>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</si>
  <si>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</si>
  <si>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</si>
  <si>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</si>
  <si>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</si>
  <si>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</si>
  <si>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</si>
  <si>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</si>
  <si>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</si>
  <si>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</si>
  <si>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</si>
  <si>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</si>
  <si>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</si>
  <si>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</si>
  <si>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</si>
  <si>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</si>
  <si>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</si>
  <si>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</si>
  <si>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</si>
  <si>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</si>
  <si>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</si>
  <si>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</si>
  <si>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</si>
  <si>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</si>
  <si>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</si>
  <si>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</si>
  <si>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</si>
  <si>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</si>
  <si>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</si>
  <si>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</si>
  <si>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</si>
  <si>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</si>
  <si>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</si>
  <si>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</si>
  <si>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</si>
  <si>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</si>
  <si>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</si>
  <si>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</si>
  <si>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</si>
  <si>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</si>
  <si>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</si>
  <si>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</si>
  <si>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</si>
  <si>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</si>
  <si>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</si>
  <si>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</si>
  <si>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</si>
  <si>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Abril 2017</t>
  </si>
  <si>
    <t>Abril 2016</t>
  </si>
  <si>
    <t xml:space="preserve">Abril 2016 </t>
  </si>
  <si>
    <t>Abril2016</t>
  </si>
  <si>
    <t>Anàlisi modificacions de crèdit per capítols Abril 2017</t>
  </si>
  <si>
    <t>A Abril</t>
  </si>
  <si>
    <t>Abril</t>
  </si>
  <si>
    <t>sense cap.1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</si>
</sst>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9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0" fontId="2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6" fillId="0" borderId="0"/>
    <xf numFmtId="0" fontId="42" fillId="0" borderId="0"/>
    <xf numFmtId="0" fontId="46" fillId="0" borderId="0"/>
    <xf numFmtId="0" fontId="42" fillId="0" borderId="0"/>
    <xf numFmtId="0" fontId="48" fillId="0" borderId="0"/>
    <xf numFmtId="0" fontId="42" fillId="0" borderId="0"/>
    <xf numFmtId="0" fontId="51" fillId="0" borderId="0" applyNumberFormat="0" applyFill="0" applyBorder="0" applyAlignment="0" applyProtection="0"/>
    <xf numFmtId="0" fontId="26" fillId="0" borderId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27" fillId="0" borderId="109" applyNumberFormat="0" applyFill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7" borderId="110" applyNumberFormat="0" applyAlignment="0" applyProtection="0"/>
    <xf numFmtId="0" fontId="73" fillId="8" borderId="111" applyNumberFormat="0" applyAlignment="0" applyProtection="0"/>
    <xf numFmtId="0" fontId="74" fillId="8" borderId="110" applyNumberFormat="0" applyAlignment="0" applyProtection="0"/>
    <xf numFmtId="0" fontId="75" fillId="0" borderId="112" applyNumberFormat="0" applyFill="0" applyAlignment="0" applyProtection="0"/>
    <xf numFmtId="0" fontId="28" fillId="9" borderId="11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115" applyNumberFormat="0" applyFill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0" borderId="0"/>
    <xf numFmtId="0" fontId="36" fillId="10" borderId="114" applyNumberFormat="0" applyFont="0" applyAlignment="0" applyProtection="0"/>
    <xf numFmtId="0" fontId="42" fillId="0" borderId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36" fillId="17" borderId="0" applyNumberFormat="0" applyBorder="0" applyAlignment="0" applyProtection="0"/>
    <xf numFmtId="0" fontId="36" fillId="10" borderId="114" applyNumberFormat="0" applyFon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114" applyNumberFormat="0" applyFon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6" fillId="10" borderId="114" applyNumberFormat="0" applyFont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6" fillId="34" borderId="0" applyNumberFormat="0" applyBorder="0" applyAlignment="0" applyProtection="0"/>
    <xf numFmtId="0" fontId="25" fillId="0" borderId="0"/>
    <xf numFmtId="0" fontId="42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8" fillId="0" borderId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6" fillId="34" borderId="0" applyNumberFormat="0" applyBorder="0" applyAlignment="0" applyProtection="0"/>
    <xf numFmtId="0" fontId="24" fillId="0" borderId="0"/>
    <xf numFmtId="0" fontId="24" fillId="10" borderId="114" applyNumberFormat="0" applyFont="0" applyAlignment="0" applyProtection="0"/>
    <xf numFmtId="0" fontId="81" fillId="0" borderId="0"/>
    <xf numFmtId="0" fontId="42" fillId="0" borderId="0"/>
    <xf numFmtId="43" fontId="36" fillId="0" borderId="0" applyFont="0" applyFill="0" applyBorder="0" applyAlignment="0" applyProtection="0"/>
    <xf numFmtId="0" fontId="83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4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0" borderId="0"/>
    <xf numFmtId="9" fontId="20" fillId="0" borderId="0" applyFont="0" applyFill="0" applyBorder="0" applyAlignment="0" applyProtection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8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36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0" borderId="0"/>
    <xf numFmtId="0" fontId="16" fillId="0" borderId="0"/>
    <xf numFmtId="0" fontId="15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91" fillId="0" borderId="0"/>
    <xf numFmtId="0" fontId="12" fillId="0" borderId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2" fillId="0" borderId="0"/>
    <xf numFmtId="0" fontId="9" fillId="10" borderId="114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93" fillId="0" borderId="0"/>
    <xf numFmtId="0" fontId="4" fillId="10" borderId="114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3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6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7" fillId="0" borderId="0"/>
  </cellStyleXfs>
  <cellXfs count="776">
    <xf numFmtId="0" fontId="0" fillId="0" borderId="0" xfId="0"/>
    <xf numFmtId="0" fontId="29" fillId="2" borderId="0" xfId="0" applyFont="1" applyFill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1"/>
    <xf numFmtId="0" fontId="30" fillId="0" borderId="0" xfId="1" applyFont="1"/>
    <xf numFmtId="0" fontId="29" fillId="2" borderId="0" xfId="0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5" xfId="0" quotePrefix="1" applyFont="1" applyBorder="1" applyAlignment="1">
      <alignment horizontal="center" vertical="center"/>
    </xf>
    <xf numFmtId="164" fontId="32" fillId="0" borderId="0" xfId="0" quotePrefix="1" applyNumberFormat="1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2" fillId="0" borderId="9" xfId="0" applyNumberFormat="1" applyFont="1" applyBorder="1" applyAlignment="1">
      <alignment horizontal="right" vertical="center"/>
    </xf>
    <xf numFmtId="0" fontId="32" fillId="0" borderId="8" xfId="0" quotePrefix="1" applyFont="1" applyBorder="1" applyAlignment="1">
      <alignment horizontal="center" vertical="center"/>
    </xf>
    <xf numFmtId="0" fontId="32" fillId="0" borderId="6" xfId="0" quotePrefix="1" applyFont="1" applyBorder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164" fontId="32" fillId="0" borderId="6" xfId="0" quotePrefix="1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164" fontId="32" fillId="0" borderId="8" xfId="0" quotePrefix="1" applyNumberFormat="1" applyFont="1" applyBorder="1" applyAlignment="1">
      <alignment vertical="center"/>
    </xf>
    <xf numFmtId="3" fontId="32" fillId="0" borderId="8" xfId="0" applyNumberFormat="1" applyFont="1" applyBorder="1" applyAlignment="1">
      <alignment vertical="center"/>
    </xf>
    <xf numFmtId="164" fontId="32" fillId="0" borderId="9" xfId="0" quotePrefix="1" applyNumberFormat="1" applyFont="1" applyBorder="1" applyAlignment="1">
      <alignment vertical="center"/>
    </xf>
    <xf numFmtId="3" fontId="32" fillId="0" borderId="9" xfId="0" applyNumberFormat="1" applyFont="1" applyBorder="1" applyAlignment="1">
      <alignment vertical="center"/>
    </xf>
    <xf numFmtId="164" fontId="32" fillId="0" borderId="8" xfId="0" applyNumberFormat="1" applyFont="1" applyBorder="1" applyAlignment="1">
      <alignment vertical="center"/>
    </xf>
    <xf numFmtId="164" fontId="32" fillId="0" borderId="9" xfId="0" applyNumberFormat="1" applyFont="1" applyBorder="1" applyAlignment="1">
      <alignment vertical="center"/>
    </xf>
    <xf numFmtId="164" fontId="32" fillId="0" borderId="6" xfId="0" quotePrefix="1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2" fillId="0" borderId="8" xfId="0" quotePrefix="1" applyNumberFormat="1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64" fontId="32" fillId="0" borderId="9" xfId="0" quotePrefix="1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65" fontId="34" fillId="2" borderId="5" xfId="2" applyNumberFormat="1" applyFont="1" applyFill="1" applyBorder="1" applyAlignment="1">
      <alignment horizontal="center" vertical="center" wrapText="1"/>
    </xf>
    <xf numFmtId="165" fontId="34" fillId="2" borderId="0" xfId="2" applyNumberFormat="1" applyFont="1" applyFill="1" applyAlignment="1">
      <alignment horizontal="center" vertical="center" wrapText="1"/>
    </xf>
    <xf numFmtId="165" fontId="3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8" fillId="2" borderId="0" xfId="0" applyNumberFormat="1" applyFont="1" applyFill="1" applyAlignment="1">
      <alignment horizontal="center" vertical="center" wrapText="1"/>
    </xf>
    <xf numFmtId="165" fontId="32" fillId="0" borderId="6" xfId="2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7" fillId="0" borderId="0" xfId="0" applyFont="1"/>
    <xf numFmtId="165" fontId="3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165" fontId="32" fillId="0" borderId="5" xfId="2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2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2" fillId="0" borderId="16" xfId="0" applyNumberFormat="1" applyFont="1" applyBorder="1" applyAlignment="1">
      <alignment horizontal="right" vertical="center"/>
    </xf>
    <xf numFmtId="165" fontId="32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2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2" fillId="0" borderId="20" xfId="0" applyNumberFormat="1" applyFont="1" applyBorder="1" applyAlignment="1">
      <alignment horizontal="right" vertical="center"/>
    </xf>
    <xf numFmtId="0" fontId="41" fillId="0" borderId="19" xfId="3" applyBorder="1" applyAlignment="1" applyProtection="1">
      <alignment vertical="center"/>
    </xf>
    <xf numFmtId="0" fontId="42" fillId="3" borderId="14" xfId="0" applyFont="1" applyFill="1" applyBorder="1" applyAlignment="1">
      <alignment vertical="center"/>
    </xf>
    <xf numFmtId="0" fontId="43" fillId="3" borderId="14" xfId="0" applyFont="1" applyFill="1" applyBorder="1" applyAlignment="1">
      <alignment vertical="center"/>
    </xf>
    <xf numFmtId="3" fontId="44" fillId="3" borderId="14" xfId="0" applyNumberFormat="1" applyFont="1" applyFill="1" applyBorder="1" applyAlignment="1">
      <alignment horizontal="right" vertical="center" wrapText="1"/>
    </xf>
    <xf numFmtId="165" fontId="32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2" fillId="0" borderId="22" xfId="0" applyNumberFormat="1" applyFont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3" fontId="34" fillId="2" borderId="0" xfId="0" applyNumberFormat="1" applyFont="1" applyFill="1" applyBorder="1" applyAlignment="1">
      <alignment horizontal="right" vertical="center" wrapText="1"/>
    </xf>
    <xf numFmtId="165" fontId="34" fillId="2" borderId="0" xfId="2" applyNumberFormat="1" applyFont="1" applyFill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quotePrefix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65" fontId="34" fillId="2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32" fillId="0" borderId="24" xfId="0" quotePrefix="1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165" fontId="32" fillId="0" borderId="25" xfId="2" quotePrefix="1" applyNumberFormat="1" applyFont="1" applyBorder="1" applyAlignment="1">
      <alignment horizontal="center" vertical="center"/>
    </xf>
    <xf numFmtId="165" fontId="34" fillId="2" borderId="26" xfId="2" applyNumberFormat="1" applyFont="1" applyFill="1" applyBorder="1" applyAlignment="1">
      <alignment horizontal="center" vertical="center" wrapText="1"/>
    </xf>
    <xf numFmtId="3" fontId="3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2" fillId="0" borderId="27" xfId="2" applyNumberFormat="1" applyFont="1" applyBorder="1" applyAlignment="1">
      <alignment horizontal="center" vertical="center"/>
    </xf>
    <xf numFmtId="3" fontId="34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3" fillId="0" borderId="4" xfId="0" applyFont="1" applyBorder="1" applyAlignment="1"/>
    <xf numFmtId="0" fontId="32" fillId="0" borderId="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31" fillId="0" borderId="4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5" fillId="2" borderId="0" xfId="0" applyNumberFormat="1" applyFont="1" applyFill="1" applyAlignment="1">
      <alignment horizontal="right" vertical="center" wrapText="1"/>
    </xf>
    <xf numFmtId="3" fontId="35" fillId="2" borderId="4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35" fillId="2" borderId="30" xfId="0" applyNumberFormat="1" applyFont="1" applyFill="1" applyBorder="1" applyAlignment="1">
      <alignment horizontal="right" vertical="center" wrapText="1"/>
    </xf>
    <xf numFmtId="3" fontId="35" fillId="2" borderId="31" xfId="0" applyNumberFormat="1" applyFont="1" applyFill="1" applyBorder="1" applyAlignment="1">
      <alignment horizontal="right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165" fontId="31" fillId="0" borderId="0" xfId="2" applyNumberFormat="1" applyFont="1" applyAlignment="1">
      <alignment horizontal="center"/>
    </xf>
    <xf numFmtId="165" fontId="31" fillId="0" borderId="35" xfId="2" applyNumberFormat="1" applyFont="1" applyBorder="1" applyAlignment="1">
      <alignment horizontal="center"/>
    </xf>
    <xf numFmtId="165" fontId="31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1" fillId="0" borderId="0" xfId="2" applyNumberFormat="1" applyFont="1" applyAlignment="1">
      <alignment horizontal="center" vertical="center"/>
    </xf>
    <xf numFmtId="165" fontId="31" fillId="0" borderId="37" xfId="2" applyNumberFormat="1" applyFont="1" applyBorder="1" applyAlignment="1">
      <alignment horizontal="center" vertical="center"/>
    </xf>
    <xf numFmtId="165" fontId="31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2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4" fillId="2" borderId="0" xfId="2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vertical="center"/>
    </xf>
    <xf numFmtId="3" fontId="44" fillId="3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Fill="1" applyBorder="1" applyAlignment="1"/>
    <xf numFmtId="165" fontId="32" fillId="0" borderId="19" xfId="2" applyNumberFormat="1" applyFont="1" applyBorder="1" applyAlignment="1">
      <alignment horizontal="center" vertical="center"/>
    </xf>
    <xf numFmtId="164" fontId="32" fillId="0" borderId="8" xfId="0" quotePrefix="1" applyNumberFormat="1" applyFont="1" applyBorder="1" applyAlignment="1">
      <alignment horizontal="right" vertical="center"/>
    </xf>
    <xf numFmtId="3" fontId="38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165" fontId="32" fillId="0" borderId="6" xfId="2" applyNumberFormat="1" applyFont="1" applyBorder="1" applyAlignment="1">
      <alignment vertical="center"/>
    </xf>
    <xf numFmtId="165" fontId="32" fillId="0" borderId="9" xfId="2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2" fillId="0" borderId="41" xfId="0" quotePrefix="1" applyFont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 wrapText="1"/>
    </xf>
    <xf numFmtId="165" fontId="32" fillId="0" borderId="42" xfId="2" applyNumberFormat="1" applyFont="1" applyBorder="1" applyAlignment="1">
      <alignment horizontal="center" vertical="center"/>
    </xf>
    <xf numFmtId="165" fontId="32" fillId="0" borderId="43" xfId="2" applyNumberFormat="1" applyFont="1" applyBorder="1" applyAlignment="1">
      <alignment horizontal="center" vertical="center"/>
    </xf>
    <xf numFmtId="165" fontId="32" fillId="0" borderId="44" xfId="2" applyNumberFormat="1" applyFont="1" applyBorder="1" applyAlignment="1">
      <alignment horizontal="center" vertical="center"/>
    </xf>
    <xf numFmtId="165" fontId="34" fillId="2" borderId="41" xfId="2" applyNumberFormat="1" applyFont="1" applyFill="1" applyBorder="1" applyAlignment="1">
      <alignment horizontal="center" vertical="center" wrapText="1"/>
    </xf>
    <xf numFmtId="165" fontId="32" fillId="0" borderId="42" xfId="2" quotePrefix="1" applyNumberFormat="1" applyFont="1" applyBorder="1" applyAlignment="1">
      <alignment horizontal="center" vertical="center"/>
    </xf>
    <xf numFmtId="165" fontId="34" fillId="2" borderId="46" xfId="2" applyNumberFormat="1" applyFont="1" applyFill="1" applyBorder="1" applyAlignment="1">
      <alignment horizontal="center" vertical="center" wrapText="1"/>
    </xf>
    <xf numFmtId="3" fontId="34" fillId="2" borderId="48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quotePrefix="1" applyFont="1" applyBorder="1" applyAlignment="1">
      <alignment horizontal="center" vertical="center"/>
    </xf>
    <xf numFmtId="3" fontId="32" fillId="0" borderId="50" xfId="0" applyNumberFormat="1" applyFont="1" applyBorder="1" applyAlignment="1">
      <alignment horizontal="right" vertical="center"/>
    </xf>
    <xf numFmtId="3" fontId="32" fillId="0" borderId="52" xfId="0" applyNumberFormat="1" applyFont="1" applyBorder="1" applyAlignment="1">
      <alignment horizontal="right" vertical="center"/>
    </xf>
    <xf numFmtId="3" fontId="34" fillId="2" borderId="35" xfId="0" applyNumberFormat="1" applyFont="1" applyFill="1" applyBorder="1" applyAlignment="1">
      <alignment horizontal="right" vertical="center" wrapText="1"/>
    </xf>
    <xf numFmtId="165" fontId="32" fillId="0" borderId="51" xfId="2" applyNumberFormat="1" applyFont="1" applyBorder="1" applyAlignment="1">
      <alignment horizontal="center" vertical="center"/>
    </xf>
    <xf numFmtId="3" fontId="34" fillId="2" borderId="56" xfId="0" applyNumberFormat="1" applyFont="1" applyFill="1" applyBorder="1" applyAlignment="1">
      <alignment horizontal="right" vertical="center" wrapText="1"/>
    </xf>
    <xf numFmtId="3" fontId="34" fillId="2" borderId="57" xfId="0" applyNumberFormat="1" applyFont="1" applyFill="1" applyBorder="1" applyAlignment="1">
      <alignment horizontal="right" vertical="center" wrapText="1"/>
    </xf>
    <xf numFmtId="165" fontId="34" fillId="2" borderId="57" xfId="2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 wrapText="1"/>
    </xf>
    <xf numFmtId="3" fontId="32" fillId="0" borderId="61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63" xfId="0" applyNumberFormat="1" applyFont="1" applyBorder="1" applyAlignment="1">
      <alignment horizontal="right" vertical="center"/>
    </xf>
    <xf numFmtId="3" fontId="34" fillId="2" borderId="60" xfId="0" applyNumberFormat="1" applyFont="1" applyFill="1" applyBorder="1" applyAlignment="1">
      <alignment horizontal="right" vertical="center" wrapText="1"/>
    </xf>
    <xf numFmtId="3" fontId="34" fillId="2" borderId="64" xfId="0" applyNumberFormat="1" applyFont="1" applyFill="1" applyBorder="1" applyAlignment="1">
      <alignment horizontal="right" vertical="center" wrapText="1"/>
    </xf>
    <xf numFmtId="0" fontId="39" fillId="0" borderId="59" xfId="0" applyFont="1" applyBorder="1" applyAlignment="1">
      <alignment horizontal="center"/>
    </xf>
    <xf numFmtId="165" fontId="32" fillId="0" borderId="41" xfId="2" applyNumberFormat="1" applyFont="1" applyBorder="1" applyAlignment="1">
      <alignment horizontal="center" vertical="center"/>
    </xf>
    <xf numFmtId="3" fontId="34" fillId="2" borderId="70" xfId="0" applyNumberFormat="1" applyFont="1" applyFill="1" applyBorder="1" applyAlignment="1">
      <alignment horizontal="right" vertical="center" wrapText="1"/>
    </xf>
    <xf numFmtId="3" fontId="32" fillId="0" borderId="71" xfId="0" applyNumberFormat="1" applyFont="1" applyBorder="1" applyAlignment="1">
      <alignment horizontal="right" vertical="center"/>
    </xf>
    <xf numFmtId="3" fontId="32" fillId="0" borderId="50" xfId="0" applyNumberFormat="1" applyFont="1" applyFill="1" applyBorder="1" applyAlignment="1">
      <alignment horizontal="right" vertical="center"/>
    </xf>
    <xf numFmtId="3" fontId="34" fillId="2" borderId="37" xfId="0" applyNumberFormat="1" applyFont="1" applyFill="1" applyBorder="1" applyAlignment="1">
      <alignment horizontal="right" vertical="center" wrapText="1"/>
    </xf>
    <xf numFmtId="165" fontId="34" fillId="2" borderId="36" xfId="2" applyNumberFormat="1" applyFont="1" applyFill="1" applyBorder="1" applyAlignment="1">
      <alignment horizontal="center" vertical="center" wrapText="1"/>
    </xf>
    <xf numFmtId="165" fontId="34" fillId="2" borderId="36" xfId="2" quotePrefix="1" applyNumberFormat="1" applyFont="1" applyFill="1" applyBorder="1" applyAlignment="1">
      <alignment horizontal="center" vertical="center" wrapText="1"/>
    </xf>
    <xf numFmtId="165" fontId="32" fillId="0" borderId="36" xfId="2" applyNumberFormat="1" applyFont="1" applyBorder="1" applyAlignment="1">
      <alignment horizontal="center" vertical="center"/>
    </xf>
    <xf numFmtId="165" fontId="34" fillId="2" borderId="58" xfId="2" applyNumberFormat="1" applyFont="1" applyFill="1" applyBorder="1" applyAlignment="1">
      <alignment horizontal="center" vertical="center" wrapText="1"/>
    </xf>
    <xf numFmtId="3" fontId="34" fillId="2" borderId="77" xfId="0" applyNumberFormat="1" applyFont="1" applyFill="1" applyBorder="1" applyAlignment="1">
      <alignment horizontal="right" vertical="center" wrapText="1"/>
    </xf>
    <xf numFmtId="165" fontId="34" fillId="2" borderId="38" xfId="2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horizontal="right" vertical="center"/>
    </xf>
    <xf numFmtId="3" fontId="32" fillId="0" borderId="78" xfId="0" applyNumberFormat="1" applyFont="1" applyBorder="1" applyAlignment="1">
      <alignment horizontal="right" vertical="center"/>
    </xf>
    <xf numFmtId="165" fontId="32" fillId="0" borderId="53" xfId="2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65" fontId="34" fillId="2" borderId="57" xfId="2" applyNumberFormat="1" applyFont="1" applyFill="1" applyBorder="1" applyAlignment="1">
      <alignment horizontal="center" vertical="center" wrapText="1"/>
    </xf>
    <xf numFmtId="165" fontId="34" fillId="2" borderId="83" xfId="2" applyNumberFormat="1" applyFont="1" applyFill="1" applyBorder="1" applyAlignment="1">
      <alignment horizontal="center" vertical="center" wrapText="1"/>
    </xf>
    <xf numFmtId="165" fontId="34" fillId="2" borderId="45" xfId="2" applyNumberFormat="1" applyFont="1" applyFill="1" applyBorder="1" applyAlignment="1">
      <alignment horizontal="center" vertical="center" wrapText="1"/>
    </xf>
    <xf numFmtId="3" fontId="32" fillId="0" borderId="85" xfId="0" applyNumberFormat="1" applyFont="1" applyBorder="1" applyAlignment="1">
      <alignment horizontal="right" vertical="center"/>
    </xf>
    <xf numFmtId="3" fontId="32" fillId="0" borderId="86" xfId="0" applyNumberFormat="1" applyFont="1" applyBorder="1" applyAlignment="1">
      <alignment horizontal="right" vertical="center"/>
    </xf>
    <xf numFmtId="3" fontId="32" fillId="0" borderId="87" xfId="0" applyNumberFormat="1" applyFont="1" applyBorder="1" applyAlignment="1">
      <alignment horizontal="right" vertical="center"/>
    </xf>
    <xf numFmtId="3" fontId="38" fillId="0" borderId="50" xfId="0" applyNumberFormat="1" applyFont="1" applyFill="1" applyBorder="1" applyAlignment="1">
      <alignment horizontal="right" vertical="center"/>
    </xf>
    <xf numFmtId="3" fontId="32" fillId="0" borderId="90" xfId="0" applyNumberFormat="1" applyFont="1" applyBorder="1" applyAlignment="1">
      <alignment horizontal="right" vertical="center"/>
    </xf>
    <xf numFmtId="3" fontId="32" fillId="0" borderId="92" xfId="0" applyNumberFormat="1" applyFont="1" applyBorder="1" applyAlignment="1">
      <alignment horizontal="right" vertical="center"/>
    </xf>
    <xf numFmtId="3" fontId="32" fillId="0" borderId="94" xfId="0" applyNumberFormat="1" applyFont="1" applyBorder="1" applyAlignment="1">
      <alignment horizontal="right" vertical="center"/>
    </xf>
    <xf numFmtId="3" fontId="32" fillId="0" borderId="96" xfId="0" applyNumberFormat="1" applyFont="1" applyBorder="1" applyAlignment="1">
      <alignment horizontal="right" vertical="center"/>
    </xf>
    <xf numFmtId="3" fontId="44" fillId="3" borderId="60" xfId="0" applyNumberFormat="1" applyFont="1" applyFill="1" applyBorder="1" applyAlignment="1">
      <alignment horizontal="right" vertical="center" wrapText="1"/>
    </xf>
    <xf numFmtId="3" fontId="44" fillId="3" borderId="69" xfId="0" applyNumberFormat="1" applyFont="1" applyFill="1" applyBorder="1" applyAlignment="1">
      <alignment horizontal="right" vertical="center" wrapText="1"/>
    </xf>
    <xf numFmtId="165" fontId="32" fillId="0" borderId="91" xfId="2" applyNumberFormat="1" applyFont="1" applyBorder="1" applyAlignment="1">
      <alignment horizontal="center" vertical="center"/>
    </xf>
    <xf numFmtId="165" fontId="32" fillId="0" borderId="97" xfId="2" applyNumberFormat="1" applyFont="1" applyBorder="1" applyAlignment="1">
      <alignment horizontal="center" vertical="center"/>
    </xf>
    <xf numFmtId="3" fontId="44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2" fillId="0" borderId="61" xfId="0" applyNumberFormat="1" applyFont="1" applyBorder="1" applyAlignment="1">
      <alignment vertical="center"/>
    </xf>
    <xf numFmtId="3" fontId="32" fillId="0" borderId="62" xfId="0" applyNumberFormat="1" applyFont="1" applyBorder="1" applyAlignment="1">
      <alignment vertical="center"/>
    </xf>
    <xf numFmtId="3" fontId="32" fillId="0" borderId="63" xfId="0" applyNumberFormat="1" applyFont="1" applyBorder="1" applyAlignment="1">
      <alignment vertical="center"/>
    </xf>
    <xf numFmtId="3" fontId="34" fillId="2" borderId="60" xfId="0" applyNumberFormat="1" applyFont="1" applyFill="1" applyBorder="1" applyAlignment="1">
      <alignment horizontal="center" vertical="center" wrapText="1"/>
    </xf>
    <xf numFmtId="3" fontId="34" fillId="2" borderId="64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32" fillId="0" borderId="50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3" fontId="32" fillId="0" borderId="54" xfId="0" applyNumberFormat="1" applyFont="1" applyBorder="1" applyAlignment="1">
      <alignment vertical="center"/>
    </xf>
    <xf numFmtId="3" fontId="34" fillId="2" borderId="35" xfId="0" applyNumberFormat="1" applyFont="1" applyFill="1" applyBorder="1" applyAlignment="1">
      <alignment horizontal="center" vertical="center" wrapText="1"/>
    </xf>
    <xf numFmtId="3" fontId="34" fillId="2" borderId="56" xfId="0" applyNumberFormat="1" applyFont="1" applyFill="1" applyBorder="1" applyAlignment="1">
      <alignment horizontal="center" vertical="center" wrapText="1"/>
    </xf>
    <xf numFmtId="3" fontId="34" fillId="2" borderId="57" xfId="0" applyNumberFormat="1" applyFont="1" applyFill="1" applyBorder="1" applyAlignment="1">
      <alignment horizontal="center" vertical="center" wrapText="1"/>
    </xf>
    <xf numFmtId="165" fontId="32" fillId="0" borderId="98" xfId="2" applyNumberFormat="1" applyFont="1" applyBorder="1" applyAlignment="1">
      <alignment horizontal="center" vertical="center"/>
    </xf>
    <xf numFmtId="165" fontId="32" fillId="0" borderId="99" xfId="2" applyNumberFormat="1" applyFont="1" applyBorder="1" applyAlignment="1">
      <alignment horizontal="center" vertical="center"/>
    </xf>
    <xf numFmtId="165" fontId="32" fillId="0" borderId="99" xfId="2" quotePrefix="1" applyNumberFormat="1" applyFont="1" applyBorder="1" applyAlignment="1">
      <alignment horizontal="center" vertical="center"/>
    </xf>
    <xf numFmtId="165" fontId="34" fillId="2" borderId="67" xfId="2" applyNumberFormat="1" applyFont="1" applyFill="1" applyBorder="1" applyAlignment="1">
      <alignment horizontal="center" vertical="center" wrapText="1"/>
    </xf>
    <xf numFmtId="0" fontId="32" fillId="0" borderId="98" xfId="0" quotePrefix="1" applyFont="1" applyBorder="1" applyAlignment="1">
      <alignment horizontal="center" vertical="center"/>
    </xf>
    <xf numFmtId="0" fontId="32" fillId="0" borderId="100" xfId="0" quotePrefix="1" applyFont="1" applyBorder="1" applyAlignment="1">
      <alignment horizontal="center" vertical="center"/>
    </xf>
    <xf numFmtId="0" fontId="34" fillId="2" borderId="67" xfId="0" quotePrefix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/>
    </xf>
    <xf numFmtId="3" fontId="28" fillId="2" borderId="35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165" fontId="32" fillId="0" borderId="98" xfId="2" quotePrefix="1" applyNumberFormat="1" applyFont="1" applyBorder="1" applyAlignment="1">
      <alignment horizontal="center" vertical="center"/>
    </xf>
    <xf numFmtId="165" fontId="34" fillId="2" borderId="67" xfId="2" quotePrefix="1" applyNumberFormat="1" applyFont="1" applyFill="1" applyBorder="1" applyAlignment="1">
      <alignment horizontal="center" vertical="center" wrapText="1"/>
    </xf>
    <xf numFmtId="0" fontId="32" fillId="0" borderId="51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4" fillId="2" borderId="0" xfId="0" quotePrefix="1" applyFont="1" applyFill="1" applyBorder="1" applyAlignment="1">
      <alignment horizontal="center" vertical="center" wrapText="1"/>
    </xf>
    <xf numFmtId="0" fontId="34" fillId="2" borderId="36" xfId="0" quotePrefix="1" applyFont="1" applyFill="1" applyBorder="1" applyAlignment="1">
      <alignment horizontal="center" vertical="center" wrapText="1"/>
    </xf>
    <xf numFmtId="0" fontId="32" fillId="0" borderId="53" xfId="0" quotePrefix="1" applyFont="1" applyBorder="1" applyAlignment="1">
      <alignment horizontal="center" vertical="center"/>
    </xf>
    <xf numFmtId="165" fontId="34" fillId="2" borderId="101" xfId="2" applyNumberFormat="1" applyFont="1" applyFill="1" applyBorder="1" applyAlignment="1">
      <alignment horizontal="center" vertical="center" wrapText="1"/>
    </xf>
    <xf numFmtId="9" fontId="34" fillId="2" borderId="0" xfId="2" applyFont="1" applyFill="1" applyBorder="1" applyAlignment="1">
      <alignment horizontal="center" vertical="center" wrapText="1"/>
    </xf>
    <xf numFmtId="0" fontId="45" fillId="0" borderId="91" xfId="6" applyFont="1" applyBorder="1"/>
    <xf numFmtId="0" fontId="42" fillId="0" borderId="95" xfId="10" applyFont="1" applyBorder="1"/>
    <xf numFmtId="0" fontId="0" fillId="0" borderId="106" xfId="0" applyBorder="1" applyAlignment="1">
      <alignment vertical="center"/>
    </xf>
    <xf numFmtId="3" fontId="32" fillId="0" borderId="105" xfId="0" applyNumberFormat="1" applyFont="1" applyBorder="1" applyAlignment="1">
      <alignment horizontal="right" vertical="center"/>
    </xf>
    <xf numFmtId="3" fontId="32" fillId="0" borderId="106" xfId="0" applyNumberFormat="1" applyFont="1" applyBorder="1" applyAlignment="1">
      <alignment horizontal="right" vertical="center"/>
    </xf>
    <xf numFmtId="165" fontId="32" fillId="0" borderId="17" xfId="2" quotePrefix="1" applyNumberFormat="1" applyFont="1" applyBorder="1" applyAlignment="1">
      <alignment horizontal="center" vertical="center"/>
    </xf>
    <xf numFmtId="165" fontId="32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8" fillId="0" borderId="22" xfId="2" applyNumberFormat="1" applyFont="1" applyFill="1" applyBorder="1" applyAlignment="1">
      <alignment horizontal="center" vertical="center" wrapText="1"/>
    </xf>
    <xf numFmtId="165" fontId="32" fillId="0" borderId="21" xfId="2" applyNumberFormat="1" applyFont="1" applyBorder="1" applyAlignment="1">
      <alignment horizontal="center" vertical="center"/>
    </xf>
    <xf numFmtId="165" fontId="32" fillId="0" borderId="25" xfId="2" applyNumberFormat="1" applyFont="1" applyBorder="1" applyAlignment="1">
      <alignment horizontal="center" vertical="center"/>
    </xf>
    <xf numFmtId="165" fontId="32" fillId="0" borderId="67" xfId="2" applyNumberFormat="1" applyFont="1" applyBorder="1" applyAlignment="1">
      <alignment horizontal="center" vertical="center"/>
    </xf>
    <xf numFmtId="165" fontId="34" fillId="2" borderId="32" xfId="2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8" fillId="2" borderId="60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64" fontId="32" fillId="0" borderId="0" xfId="0" quotePrefix="1" applyNumberFormat="1" applyFont="1" applyBorder="1" applyAlignment="1">
      <alignment horizontal="center" vertical="center"/>
    </xf>
    <xf numFmtId="3" fontId="34" fillId="2" borderId="64" xfId="0" applyNumberFormat="1" applyFont="1" applyFill="1" applyBorder="1" applyAlignment="1">
      <alignment vertical="center" wrapText="1"/>
    </xf>
    <xf numFmtId="165" fontId="32" fillId="0" borderId="5" xfId="2" applyNumberFormat="1" applyFont="1" applyBorder="1" applyAlignment="1">
      <alignment horizontal="center" vertical="center" shrinkToFit="1"/>
    </xf>
    <xf numFmtId="164" fontId="3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9" fillId="0" borderId="33" xfId="0" applyNumberFormat="1" applyFont="1" applyBorder="1" applyAlignment="1">
      <alignment horizontal="center"/>
    </xf>
    <xf numFmtId="165" fontId="32" fillId="0" borderId="35" xfId="0" applyNumberFormat="1" applyFont="1" applyBorder="1" applyAlignment="1">
      <alignment horizontal="center" vertical="center"/>
    </xf>
    <xf numFmtId="165" fontId="28" fillId="2" borderId="35" xfId="0" applyNumberFormat="1" applyFont="1" applyFill="1" applyBorder="1" applyAlignment="1">
      <alignment horizontal="center" vertical="center" wrapText="1"/>
    </xf>
    <xf numFmtId="165" fontId="34" fillId="2" borderId="35" xfId="0" applyNumberFormat="1" applyFont="1" applyFill="1" applyBorder="1" applyAlignment="1">
      <alignment horizontal="center" vertical="center" wrapText="1"/>
    </xf>
    <xf numFmtId="165" fontId="32" fillId="0" borderId="50" xfId="0" applyNumberFormat="1" applyFont="1" applyBorder="1" applyAlignment="1">
      <alignment horizontal="center" vertical="center"/>
    </xf>
    <xf numFmtId="165" fontId="32" fillId="0" borderId="54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Border="1" applyAlignment="1">
      <alignment horizontal="center" vertical="center"/>
    </xf>
    <xf numFmtId="165" fontId="34" fillId="2" borderId="5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/>
    </xf>
    <xf numFmtId="0" fontId="37" fillId="0" borderId="59" xfId="0" quotePrefix="1" applyFont="1" applyBorder="1" applyAlignment="1">
      <alignment horizontal="center"/>
    </xf>
    <xf numFmtId="165" fontId="32" fillId="0" borderId="0" xfId="2" quotePrefix="1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165" fontId="44" fillId="0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3" fontId="42" fillId="0" borderId="0" xfId="0" applyNumberFormat="1" applyFont="1" applyFill="1"/>
    <xf numFmtId="4" fontId="3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4" fillId="2" borderId="36" xfId="2" applyFont="1" applyFill="1" applyBorder="1" applyAlignment="1">
      <alignment horizontal="center" vertical="center" wrapText="1"/>
    </xf>
    <xf numFmtId="165" fontId="32" fillId="0" borderId="95" xfId="2" quotePrefix="1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>
      <alignment vertical="center"/>
    </xf>
    <xf numFmtId="165" fontId="32" fillId="0" borderId="8" xfId="2" applyNumberFormat="1" applyFont="1" applyBorder="1" applyAlignment="1">
      <alignment horizontal="center" vertical="center"/>
    </xf>
    <xf numFmtId="0" fontId="42" fillId="0" borderId="6" xfId="0" applyFont="1" applyBorder="1" applyAlignment="1">
      <alignment vertical="center"/>
    </xf>
    <xf numFmtId="3" fontId="38" fillId="0" borderId="61" xfId="0" applyNumberFormat="1" applyFont="1" applyBorder="1" applyAlignment="1">
      <alignment horizontal="right" vertical="center"/>
    </xf>
    <xf numFmtId="3" fontId="38" fillId="0" borderId="50" xfId="0" applyNumberFormat="1" applyFont="1" applyBorder="1" applyAlignment="1">
      <alignment horizontal="right" vertical="center"/>
    </xf>
    <xf numFmtId="3" fontId="38" fillId="0" borderId="6" xfId="0" applyNumberFormat="1" applyFont="1" applyBorder="1" applyAlignment="1">
      <alignment horizontal="right" vertical="center"/>
    </xf>
    <xf numFmtId="165" fontId="38" fillId="0" borderId="42" xfId="2" applyNumberFormat="1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42" fillId="0" borderId="0" xfId="0" applyFont="1"/>
    <xf numFmtId="0" fontId="42" fillId="0" borderId="8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42" fillId="0" borderId="9" xfId="0" applyFont="1" applyBorder="1" applyAlignment="1">
      <alignment vertical="center"/>
    </xf>
    <xf numFmtId="3" fontId="38" fillId="0" borderId="63" xfId="0" applyNumberFormat="1" applyFont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165" fontId="38" fillId="0" borderId="43" xfId="2" applyNumberFormat="1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right" vertical="center"/>
    </xf>
    <xf numFmtId="165" fontId="38" fillId="0" borderId="44" xfId="2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65" xfId="2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3" fontId="38" fillId="0" borderId="69" xfId="0" applyNumberFormat="1" applyFont="1" applyBorder="1" applyAlignment="1">
      <alignment horizontal="right" vertical="center"/>
    </xf>
    <xf numFmtId="3" fontId="38" fillId="0" borderId="72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74" xfId="2" applyNumberFormat="1" applyFont="1" applyBorder="1" applyAlignment="1">
      <alignment horizontal="center" vertical="center"/>
    </xf>
    <xf numFmtId="165" fontId="38" fillId="0" borderId="66" xfId="2" quotePrefix="1" applyNumberFormat="1" applyFont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3" fontId="38" fillId="0" borderId="61" xfId="0" applyNumberFormat="1" applyFont="1" applyFill="1" applyBorder="1" applyAlignment="1">
      <alignment horizontal="right" vertical="center"/>
    </xf>
    <xf numFmtId="0" fontId="42" fillId="0" borderId="103" xfId="5" applyFont="1" applyFill="1" applyBorder="1"/>
    <xf numFmtId="165" fontId="38" fillId="0" borderId="6" xfId="2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38" fillId="0" borderId="106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65" fontId="38" fillId="0" borderId="41" xfId="2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65" fontId="38" fillId="0" borderId="51" xfId="2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 shrinkToFit="1"/>
    </xf>
    <xf numFmtId="165" fontId="38" fillId="0" borderId="6" xfId="2" quotePrefix="1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/>
    </xf>
    <xf numFmtId="0" fontId="42" fillId="0" borderId="16" xfId="0" applyFont="1" applyBorder="1" applyAlignment="1">
      <alignment vertical="center"/>
    </xf>
    <xf numFmtId="3" fontId="38" fillId="0" borderId="16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3" fontId="38" fillId="0" borderId="84" xfId="0" applyNumberFormat="1" applyFont="1" applyBorder="1" applyAlignment="1">
      <alignment horizontal="right" vertical="center"/>
    </xf>
    <xf numFmtId="3" fontId="38" fillId="0" borderId="88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7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7" xfId="2" applyNumberFormat="1" applyFont="1" applyFill="1" applyBorder="1" applyAlignment="1">
      <alignment horizontal="center" vertical="center"/>
    </xf>
    <xf numFmtId="165" fontId="32" fillId="0" borderId="10" xfId="2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quotePrefix="1" applyFont="1" applyAlignment="1">
      <alignment horizontal="center"/>
    </xf>
    <xf numFmtId="0" fontId="80" fillId="0" borderId="0" xfId="0" applyFont="1" applyAlignment="1">
      <alignment horizontal="center"/>
    </xf>
    <xf numFmtId="3" fontId="34" fillId="2" borderId="0" xfId="2" applyNumberFormat="1" applyFont="1" applyFill="1" applyBorder="1" applyAlignment="1">
      <alignment horizontal="right" vertical="center" wrapText="1"/>
    </xf>
    <xf numFmtId="3" fontId="34" fillId="2" borderId="116" xfId="0" applyNumberFormat="1" applyFont="1" applyFill="1" applyBorder="1" applyAlignment="1">
      <alignment horizontal="center" vertical="center" wrapText="1"/>
    </xf>
    <xf numFmtId="165" fontId="38" fillId="0" borderId="7" xfId="2" applyNumberFormat="1" applyFont="1" applyBorder="1" applyAlignment="1">
      <alignment horizontal="center" vertical="center"/>
    </xf>
    <xf numFmtId="165" fontId="38" fillId="0" borderId="18" xfId="2" applyNumberFormat="1" applyFont="1" applyBorder="1" applyAlignment="1">
      <alignment horizontal="center" vertical="center"/>
    </xf>
    <xf numFmtId="3" fontId="32" fillId="0" borderId="0" xfId="0" applyNumberFormat="1" applyFont="1" applyBorder="1"/>
    <xf numFmtId="3" fontId="32" fillId="0" borderId="0" xfId="0" applyNumberFormat="1" applyFont="1"/>
    <xf numFmtId="0" fontId="42" fillId="0" borderId="0" xfId="0" applyFont="1" applyBorder="1"/>
    <xf numFmtId="0" fontId="0" fillId="0" borderId="0" xfId="0" applyBorder="1"/>
    <xf numFmtId="3" fontId="38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2" fillId="0" borderId="122" xfId="0" applyFont="1" applyBorder="1" applyAlignment="1">
      <alignment vertical="center"/>
    </xf>
    <xf numFmtId="0" fontId="42" fillId="0" borderId="123" xfId="0" applyFont="1" applyBorder="1" applyAlignment="1">
      <alignment vertical="center"/>
    </xf>
    <xf numFmtId="0" fontId="44" fillId="0" borderId="0" xfId="0" applyFont="1" applyFill="1" applyAlignment="1">
      <alignment horizontal="center"/>
    </xf>
    <xf numFmtId="165" fontId="82" fillId="2" borderId="50" xfId="0" applyNumberFormat="1" applyFont="1" applyFill="1" applyBorder="1" applyAlignment="1">
      <alignment horizontal="center" vertical="center"/>
    </xf>
    <xf numFmtId="165" fontId="38" fillId="0" borderId="12" xfId="2" quotePrefix="1" applyNumberFormat="1" applyFont="1" applyBorder="1" applyAlignment="1">
      <alignment horizontal="center" vertical="center"/>
    </xf>
    <xf numFmtId="165" fontId="32" fillId="0" borderId="51" xfId="2" quotePrefix="1" applyNumberFormat="1" applyFont="1" applyBorder="1" applyAlignment="1">
      <alignment horizontal="center" vertical="center"/>
    </xf>
    <xf numFmtId="43" fontId="32" fillId="0" borderId="0" xfId="247" applyFont="1"/>
    <xf numFmtId="166" fontId="32" fillId="0" borderId="0" xfId="247" applyNumberFormat="1" applyFont="1"/>
    <xf numFmtId="166" fontId="32" fillId="0" borderId="0" xfId="0" applyNumberFormat="1" applyFont="1"/>
    <xf numFmtId="43" fontId="0" fillId="0" borderId="0" xfId="0" applyNumberFormat="1"/>
    <xf numFmtId="9" fontId="32" fillId="0" borderId="22" xfId="2" applyNumberFormat="1" applyFont="1" applyBorder="1" applyAlignment="1">
      <alignment horizontal="center" vertical="center"/>
    </xf>
    <xf numFmtId="166" fontId="34" fillId="2" borderId="57" xfId="247" applyNumberFormat="1" applyFont="1" applyFill="1" applyBorder="1" applyAlignment="1">
      <alignment horizontal="right" vertical="center" wrapText="1"/>
    </xf>
    <xf numFmtId="165" fontId="38" fillId="0" borderId="51" xfId="2" quotePrefix="1" applyNumberFormat="1" applyFont="1" applyBorder="1" applyAlignment="1">
      <alignment horizontal="center" vertical="center"/>
    </xf>
    <xf numFmtId="165" fontId="38" fillId="0" borderId="36" xfId="2" quotePrefix="1" applyNumberFormat="1" applyFont="1" applyBorder="1" applyAlignment="1">
      <alignment horizontal="center" vertical="center"/>
    </xf>
    <xf numFmtId="4" fontId="32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165" fontId="32" fillId="0" borderId="52" xfId="0" applyNumberFormat="1" applyFont="1" applyBorder="1" applyAlignment="1">
      <alignment horizontal="center" vertical="center"/>
    </xf>
    <xf numFmtId="165" fontId="38" fillId="0" borderId="14" xfId="2" quotePrefix="1" applyNumberFormat="1" applyFont="1" applyBorder="1" applyAlignment="1">
      <alignment horizontal="center" vertical="center"/>
    </xf>
    <xf numFmtId="165" fontId="32" fillId="0" borderId="22" xfId="2" quotePrefix="1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5" fontId="38" fillId="0" borderId="51" xfId="2" applyNumberFormat="1" applyFont="1" applyBorder="1" applyAlignment="1">
      <alignment horizontal="center" vertical="center"/>
    </xf>
    <xf numFmtId="165" fontId="38" fillId="0" borderId="55" xfId="2" quotePrefix="1" applyNumberFormat="1" applyFont="1" applyBorder="1" applyAlignment="1">
      <alignment horizontal="center" vertical="center"/>
    </xf>
    <xf numFmtId="165" fontId="38" fillId="0" borderId="73" xfId="2" applyNumberFormat="1" applyFont="1" applyBorder="1" applyAlignment="1">
      <alignment horizontal="center" vertical="center"/>
    </xf>
    <xf numFmtId="165" fontId="38" fillId="0" borderId="36" xfId="2" quotePrefix="1" applyNumberFormat="1" applyFont="1" applyFill="1" applyBorder="1" applyAlignment="1">
      <alignment horizontal="center" vertical="center"/>
    </xf>
    <xf numFmtId="3" fontId="38" fillId="0" borderId="35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24" xfId="0" applyNumberFormat="1" applyFont="1" applyFill="1" applyBorder="1" applyAlignment="1">
      <alignment horizontal="right" vertical="center"/>
    </xf>
    <xf numFmtId="165" fontId="38" fillId="0" borderId="76" xfId="2" applyNumberFormat="1" applyFont="1" applyFill="1" applyBorder="1" applyAlignment="1">
      <alignment horizontal="center" vertical="center"/>
    </xf>
    <xf numFmtId="165" fontId="38" fillId="0" borderId="6" xfId="2" applyNumberFormat="1" applyFont="1" applyBorder="1" applyAlignment="1">
      <alignment horizontal="center" vertical="center"/>
    </xf>
    <xf numFmtId="165" fontId="38" fillId="0" borderId="9" xfId="2" applyNumberFormat="1" applyFont="1" applyBorder="1" applyAlignment="1">
      <alignment horizontal="center" vertical="center"/>
    </xf>
    <xf numFmtId="165" fontId="38" fillId="0" borderId="6" xfId="2" quotePrefix="1" applyNumberFormat="1" applyFont="1" applyBorder="1" applyAlignment="1">
      <alignment horizontal="center" vertical="center"/>
    </xf>
    <xf numFmtId="165" fontId="38" fillId="0" borderId="117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Fill="1" applyBorder="1" applyAlignment="1">
      <alignment horizontal="center" vertical="center"/>
    </xf>
    <xf numFmtId="165" fontId="34" fillId="2" borderId="77" xfId="2" applyNumberFormat="1" applyFont="1" applyFill="1" applyBorder="1" applyAlignment="1">
      <alignment horizontal="center" vertical="center" wrapText="1"/>
    </xf>
    <xf numFmtId="165" fontId="38" fillId="0" borderId="16" xfId="2" applyNumberFormat="1" applyFont="1" applyFill="1" applyBorder="1" applyAlignment="1">
      <alignment horizontal="center" vertical="center"/>
    </xf>
    <xf numFmtId="165" fontId="38" fillId="0" borderId="17" xfId="2" quotePrefix="1" applyNumberFormat="1" applyFont="1" applyBorder="1" applyAlignment="1">
      <alignment horizontal="center" vertical="center"/>
    </xf>
    <xf numFmtId="165" fontId="38" fillId="0" borderId="16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Border="1" applyAlignment="1">
      <alignment horizontal="center" vertical="center"/>
    </xf>
    <xf numFmtId="165" fontId="78" fillId="0" borderId="0" xfId="2" applyNumberFormat="1" applyFont="1" applyFill="1" applyBorder="1" applyAlignment="1">
      <alignment horizontal="center" vertical="center"/>
    </xf>
    <xf numFmtId="165" fontId="32" fillId="0" borderId="16" xfId="2" applyNumberFormat="1" applyFont="1" applyBorder="1" applyAlignment="1">
      <alignment horizontal="center" vertical="center"/>
    </xf>
    <xf numFmtId="165" fontId="38" fillId="0" borderId="118" xfId="2" applyNumberFormat="1" applyFont="1" applyBorder="1" applyAlignment="1">
      <alignment horizontal="center" vertical="center"/>
    </xf>
    <xf numFmtId="165" fontId="38" fillId="0" borderId="119" xfId="2" applyNumberFormat="1" applyFont="1" applyBorder="1" applyAlignment="1">
      <alignment horizontal="center" vertical="center"/>
    </xf>
    <xf numFmtId="165" fontId="38" fillId="0" borderId="120" xfId="2" applyNumberFormat="1" applyFont="1" applyBorder="1" applyAlignment="1">
      <alignment horizontal="center" vertical="center"/>
    </xf>
    <xf numFmtId="165" fontId="38" fillId="0" borderId="79" xfId="2" applyNumberFormat="1" applyFont="1" applyBorder="1" applyAlignment="1">
      <alignment horizontal="center" vertical="center"/>
    </xf>
    <xf numFmtId="9" fontId="38" fillId="0" borderId="80" xfId="2" applyNumberFormat="1" applyFont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right" vertical="center"/>
    </xf>
    <xf numFmtId="165" fontId="32" fillId="0" borderId="9" xfId="2" applyNumberFormat="1" applyFont="1" applyBorder="1" applyAlignment="1">
      <alignment horizontal="center" vertical="center"/>
    </xf>
    <xf numFmtId="43" fontId="32" fillId="0" borderId="0" xfId="247" applyFont="1" applyAlignment="1">
      <alignment horizontal="center"/>
    </xf>
    <xf numFmtId="165" fontId="32" fillId="0" borderId="55" xfId="2" applyNumberFormat="1" applyFont="1" applyBorder="1" applyAlignment="1">
      <alignment horizontal="center" vertical="center"/>
    </xf>
    <xf numFmtId="3" fontId="38" fillId="0" borderId="125" xfId="0" applyNumberFormat="1" applyFont="1" applyBorder="1" applyAlignment="1">
      <alignment horizontal="right" vertical="center"/>
    </xf>
    <xf numFmtId="3" fontId="32" fillId="0" borderId="126" xfId="0" applyNumberFormat="1" applyFont="1" applyBorder="1" applyAlignment="1">
      <alignment horizontal="right" vertical="center"/>
    </xf>
    <xf numFmtId="3" fontId="32" fillId="0" borderId="127" xfId="0" applyNumberFormat="1" applyFont="1" applyBorder="1" applyAlignment="1">
      <alignment horizontal="right" vertical="center"/>
    </xf>
    <xf numFmtId="3" fontId="32" fillId="0" borderId="72" xfId="0" applyNumberFormat="1" applyFont="1" applyBorder="1" applyAlignment="1">
      <alignment horizontal="right" vertical="center"/>
    </xf>
    <xf numFmtId="3" fontId="32" fillId="0" borderId="104" xfId="0" applyNumberFormat="1" applyFont="1" applyBorder="1" applyAlignment="1">
      <alignment vertical="center"/>
    </xf>
    <xf numFmtId="3" fontId="32" fillId="0" borderId="106" xfId="0" applyNumberFormat="1" applyFont="1" applyBorder="1" applyAlignment="1">
      <alignment vertical="center"/>
    </xf>
    <xf numFmtId="3" fontId="38" fillId="0" borderId="9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165" fontId="38" fillId="0" borderId="102" xfId="2" applyNumberFormat="1" applyFont="1" applyBorder="1" applyAlignment="1">
      <alignment horizontal="center" vertical="center"/>
    </xf>
    <xf numFmtId="165" fontId="38" fillId="0" borderId="11" xfId="2" applyNumberFormat="1" applyFont="1" applyBorder="1" applyAlignment="1">
      <alignment horizontal="center" vertical="center"/>
    </xf>
    <xf numFmtId="165" fontId="38" fillId="0" borderId="13" xfId="2" applyNumberFormat="1" applyFont="1" applyBorder="1" applyAlignment="1">
      <alignment horizontal="center" vertical="center"/>
    </xf>
    <xf numFmtId="165" fontId="38" fillId="0" borderId="5" xfId="2" applyNumberFormat="1" applyFont="1" applyBorder="1" applyAlignment="1">
      <alignment horizontal="center" vertical="center"/>
    </xf>
    <xf numFmtId="165" fontId="38" fillId="0" borderId="15" xfId="2" applyNumberFormat="1" applyFont="1" applyBorder="1" applyAlignment="1">
      <alignment horizontal="center" vertical="center"/>
    </xf>
    <xf numFmtId="165" fontId="32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4" fillId="2" borderId="56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center"/>
    </xf>
    <xf numFmtId="165" fontId="3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2" fillId="0" borderId="106" xfId="2" applyNumberFormat="1" applyFont="1" applyBorder="1" applyAlignment="1">
      <alignment horizontal="center" vertical="center"/>
    </xf>
    <xf numFmtId="165" fontId="32" fillId="0" borderId="20" xfId="2" applyNumberFormat="1" applyFont="1" applyBorder="1" applyAlignment="1">
      <alignment horizontal="center" vertical="center"/>
    </xf>
    <xf numFmtId="165" fontId="32" fillId="0" borderId="22" xfId="2" applyNumberFormat="1" applyFont="1" applyBorder="1" applyAlignment="1">
      <alignment horizontal="center" vertical="center"/>
    </xf>
    <xf numFmtId="165" fontId="32" fillId="0" borderId="17" xfId="2" applyNumberFormat="1" applyFont="1" applyBorder="1" applyAlignment="1">
      <alignment horizontal="center" vertical="center"/>
    </xf>
    <xf numFmtId="165" fontId="32" fillId="0" borderId="12" xfId="2" applyNumberFormat="1" applyFont="1" applyBorder="1" applyAlignment="1">
      <alignment horizontal="center" vertical="center"/>
    </xf>
    <xf numFmtId="165" fontId="32" fillId="0" borderId="6" xfId="2" quotePrefix="1" applyNumberFormat="1" applyFont="1" applyBorder="1" applyAlignment="1">
      <alignment horizontal="center" vertical="center"/>
    </xf>
    <xf numFmtId="165" fontId="32" fillId="0" borderId="8" xfId="2" quotePrefix="1" applyNumberFormat="1" applyFont="1" applyBorder="1" applyAlignment="1">
      <alignment horizontal="center" vertical="center"/>
    </xf>
    <xf numFmtId="165" fontId="32" fillId="0" borderId="16" xfId="2" quotePrefix="1" applyNumberFormat="1" applyFont="1" applyBorder="1" applyAlignment="1">
      <alignment horizontal="center" vertical="center"/>
    </xf>
    <xf numFmtId="165" fontId="32" fillId="0" borderId="19" xfId="2" quotePrefix="1" applyNumberFormat="1" applyFont="1" applyBorder="1" applyAlignment="1">
      <alignment horizontal="center" vertical="center"/>
    </xf>
    <xf numFmtId="165" fontId="32" fillId="0" borderId="20" xfId="2" quotePrefix="1" applyNumberFormat="1" applyFont="1" applyBorder="1" applyAlignment="1">
      <alignment horizontal="center" vertical="center"/>
    </xf>
    <xf numFmtId="165" fontId="32" fillId="0" borderId="12" xfId="2" quotePrefix="1" applyNumberFormat="1" applyFont="1" applyBorder="1" applyAlignment="1">
      <alignment horizontal="center" vertical="center"/>
    </xf>
    <xf numFmtId="165" fontId="32" fillId="0" borderId="14" xfId="2" quotePrefix="1" applyNumberFormat="1" applyFont="1" applyBorder="1" applyAlignment="1">
      <alignment horizontal="center" vertical="center"/>
    </xf>
    <xf numFmtId="165" fontId="44" fillId="3" borderId="14" xfId="2" applyNumberFormat="1" applyFont="1" applyFill="1" applyBorder="1" applyAlignment="1">
      <alignment horizontal="center" vertical="center" wrapText="1"/>
    </xf>
    <xf numFmtId="166" fontId="32" fillId="0" borderId="0" xfId="247" applyNumberFormat="1" applyFont="1" applyAlignment="1">
      <alignment horizontal="center"/>
    </xf>
    <xf numFmtId="165" fontId="44" fillId="3" borderId="0" xfId="2" applyNumberFormat="1" applyFont="1" applyFill="1" applyBorder="1" applyAlignment="1">
      <alignment horizontal="center" vertical="center" wrapText="1"/>
    </xf>
    <xf numFmtId="165" fontId="32" fillId="0" borderId="103" xfId="2" applyNumberFormat="1" applyFont="1" applyBorder="1" applyAlignment="1">
      <alignment horizontal="center" vertical="center"/>
    </xf>
    <xf numFmtId="165" fontId="32" fillId="0" borderId="73" xfId="2" applyNumberFormat="1" applyFont="1" applyBorder="1" applyAlignment="1">
      <alignment horizontal="center" vertical="center"/>
    </xf>
    <xf numFmtId="165" fontId="32" fillId="0" borderId="89" xfId="2" applyNumberFormat="1" applyFont="1" applyBorder="1" applyAlignment="1">
      <alignment horizontal="center" vertical="center"/>
    </xf>
    <xf numFmtId="165" fontId="32" fillId="0" borderId="93" xfId="2" applyNumberFormat="1" applyFont="1" applyBorder="1" applyAlignment="1">
      <alignment horizontal="center" vertical="center"/>
    </xf>
    <xf numFmtId="165" fontId="32" fillId="0" borderId="95" xfId="2" applyNumberFormat="1" applyFont="1" applyBorder="1" applyAlignment="1">
      <alignment horizontal="center" vertical="center"/>
    </xf>
    <xf numFmtId="165" fontId="32" fillId="0" borderId="53" xfId="2" quotePrefix="1" applyNumberFormat="1" applyFont="1" applyBorder="1" applyAlignment="1">
      <alignment horizontal="center" vertical="center"/>
    </xf>
    <xf numFmtId="165" fontId="32" fillId="0" borderId="76" xfId="2" quotePrefix="1" applyNumberFormat="1" applyFont="1" applyBorder="1" applyAlignment="1">
      <alignment horizontal="center" vertical="center"/>
    </xf>
    <xf numFmtId="165" fontId="32" fillId="0" borderId="91" xfId="2" quotePrefix="1" applyNumberFormat="1" applyFont="1" applyBorder="1" applyAlignment="1">
      <alignment horizontal="center" vertical="center"/>
    </xf>
    <xf numFmtId="165" fontId="32" fillId="0" borderId="93" xfId="2" quotePrefix="1" applyNumberFormat="1" applyFont="1" applyBorder="1" applyAlignment="1">
      <alignment horizontal="center" vertical="center"/>
    </xf>
    <xf numFmtId="165" fontId="44" fillId="3" borderId="36" xfId="2" applyNumberFormat="1" applyFont="1" applyFill="1" applyBorder="1" applyAlignment="1">
      <alignment horizontal="center" vertical="center" wrapText="1"/>
    </xf>
    <xf numFmtId="165" fontId="32" fillId="0" borderId="74" xfId="2" quotePrefix="1" applyNumberFormat="1" applyFont="1" applyBorder="1" applyAlignment="1">
      <alignment horizontal="center" vertical="center"/>
    </xf>
    <xf numFmtId="165" fontId="32" fillId="0" borderId="73" xfId="2" quotePrefix="1" applyNumberFormat="1" applyFont="1" applyBorder="1" applyAlignment="1">
      <alignment horizontal="center" vertical="center"/>
    </xf>
    <xf numFmtId="165" fontId="44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2" fillId="0" borderId="128" xfId="2" applyNumberFormat="1" applyFont="1" applyBorder="1" applyAlignment="1">
      <alignment horizontal="center" vertical="center"/>
    </xf>
    <xf numFmtId="3" fontId="42" fillId="0" borderId="0" xfId="0" applyNumberFormat="1" applyFont="1" applyBorder="1"/>
    <xf numFmtId="165" fontId="38" fillId="0" borderId="76" xfId="2" quotePrefix="1" applyNumberFormat="1" applyFont="1" applyBorder="1" applyAlignment="1">
      <alignment horizontal="center" vertical="center"/>
    </xf>
    <xf numFmtId="3" fontId="32" fillId="0" borderId="8" xfId="0" applyNumberFormat="1" applyFont="1" applyBorder="1"/>
    <xf numFmtId="0" fontId="0" fillId="0" borderId="53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34" fillId="0" borderId="0" xfId="2" applyNumberFormat="1" applyFont="1" applyFill="1" applyBorder="1" applyAlignment="1">
      <alignment horizontal="center" vertical="center" wrapText="1"/>
    </xf>
    <xf numFmtId="165" fontId="82" fillId="0" borderId="0" xfId="2" applyNumberFormat="1" applyFont="1" applyBorder="1" applyAlignment="1">
      <alignment vertical="center"/>
    </xf>
    <xf numFmtId="165" fontId="82" fillId="0" borderId="0" xfId="2" applyNumberFormat="1" applyFont="1" applyBorder="1" applyAlignment="1">
      <alignment horizontal="center" vertical="center"/>
    </xf>
    <xf numFmtId="0" fontId="42" fillId="0" borderId="121" xfId="0" applyFont="1" applyFill="1" applyBorder="1" applyAlignment="1">
      <alignment vertical="center"/>
    </xf>
    <xf numFmtId="0" fontId="85" fillId="0" borderId="0" xfId="1" applyFont="1"/>
    <xf numFmtId="0" fontId="27" fillId="0" borderId="0" xfId="1" applyFont="1"/>
    <xf numFmtId="0" fontId="86" fillId="0" borderId="0" xfId="0" applyFont="1"/>
    <xf numFmtId="165" fontId="38" fillId="0" borderId="73" xfId="2" applyNumberFormat="1" applyFont="1" applyFill="1" applyBorder="1" applyAlignment="1">
      <alignment horizontal="center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8" xfId="0" applyNumberFormat="1" applyFont="1" applyBorder="1" applyAlignment="1"/>
    <xf numFmtId="3" fontId="32" fillId="0" borderId="0" xfId="0" applyNumberFormat="1" applyFont="1" applyAlignment="1"/>
    <xf numFmtId="3" fontId="34" fillId="2" borderId="0" xfId="2" applyNumberFormat="1" applyFont="1" applyFill="1" applyBorder="1" applyAlignment="1">
      <alignment vertical="center" wrapText="1"/>
    </xf>
    <xf numFmtId="3" fontId="34" fillId="2" borderId="0" xfId="0" applyNumberFormat="1" applyFont="1" applyFill="1" applyAlignment="1">
      <alignment vertical="center" wrapText="1"/>
    </xf>
    <xf numFmtId="165" fontId="34" fillId="2" borderId="0" xfId="2" applyNumberFormat="1" applyFont="1" applyFill="1" applyAlignment="1">
      <alignment vertical="center" wrapText="1"/>
    </xf>
    <xf numFmtId="3" fontId="34" fillId="2" borderId="0" xfId="0" applyNumberFormat="1" applyFont="1" applyFill="1" applyBorder="1" applyAlignment="1">
      <alignment vertical="center" wrapText="1"/>
    </xf>
    <xf numFmtId="3" fontId="34" fillId="2" borderId="1" xfId="2" applyNumberFormat="1" applyFont="1" applyFill="1" applyBorder="1" applyAlignment="1">
      <alignment horizontal="right" vertical="center" wrapText="1"/>
    </xf>
    <xf numFmtId="3" fontId="32" fillId="0" borderId="22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8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6" fillId="0" borderId="0" xfId="0" applyFont="1"/>
    <xf numFmtId="166" fontId="89" fillId="0" borderId="0" xfId="247" applyNumberFormat="1" applyFont="1"/>
    <xf numFmtId="3" fontId="76" fillId="0" borderId="0" xfId="0" applyNumberFormat="1" applyFont="1"/>
    <xf numFmtId="4" fontId="76" fillId="0" borderId="0" xfId="0" applyNumberFormat="1" applyFont="1"/>
    <xf numFmtId="3" fontId="32" fillId="0" borderId="60" xfId="189" applyNumberFormat="1" applyFont="1" applyBorder="1"/>
    <xf numFmtId="2" fontId="42" fillId="0" borderId="0" xfId="337" applyNumberFormat="1" applyFont="1" applyAlignment="1">
      <alignment horizontal="right"/>
    </xf>
    <xf numFmtId="2" fontId="88" fillId="0" borderId="0" xfId="304" applyNumberFormat="1" applyFont="1" applyAlignment="1">
      <alignment horizontal="right"/>
    </xf>
    <xf numFmtId="2" fontId="37" fillId="0" borderId="0" xfId="0" applyNumberFormat="1" applyFont="1"/>
    <xf numFmtId="2" fontId="42" fillId="0" borderId="0" xfId="10" applyNumberFormat="1" applyFont="1" applyAlignment="1">
      <alignment horizontal="right"/>
    </xf>
    <xf numFmtId="3" fontId="38" fillId="0" borderId="124" xfId="0" applyNumberFormat="1" applyFont="1" applyBorder="1" applyAlignment="1">
      <alignment horizontal="right" vertical="center"/>
    </xf>
    <xf numFmtId="3" fontId="38" fillId="0" borderId="130" xfId="0" applyNumberFormat="1" applyFont="1" applyBorder="1" applyAlignment="1">
      <alignment horizontal="right" vertical="center"/>
    </xf>
    <xf numFmtId="3" fontId="32" fillId="0" borderId="84" xfId="0" applyNumberFormat="1" applyFont="1" applyBorder="1" applyAlignment="1">
      <alignment horizontal="right" vertical="center"/>
    </xf>
    <xf numFmtId="3" fontId="32" fillId="0" borderId="69" xfId="0" applyNumberFormat="1" applyFont="1" applyBorder="1" applyAlignment="1">
      <alignment horizontal="right" vertical="center"/>
    </xf>
    <xf numFmtId="3" fontId="32" fillId="0" borderId="92" xfId="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8" fillId="0" borderId="78" xfId="0" applyNumberFormat="1" applyFont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9" fontId="38" fillId="0" borderId="0" xfId="2" applyFont="1" applyAlignment="1">
      <alignment horizontal="center" vertical="center"/>
    </xf>
    <xf numFmtId="165" fontId="32" fillId="0" borderId="100" xfId="2" quotePrefix="1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right" vertical="center"/>
    </xf>
    <xf numFmtId="165" fontId="38" fillId="0" borderId="103" xfId="2" quotePrefix="1" applyNumberFormat="1" applyFont="1" applyFill="1" applyBorder="1" applyAlignment="1">
      <alignment horizontal="center" vertical="center"/>
    </xf>
    <xf numFmtId="9" fontId="38" fillId="0" borderId="80" xfId="2" quotePrefix="1" applyNumberFormat="1" applyFont="1" applyBorder="1" applyAlignment="1">
      <alignment horizontal="center" vertical="center"/>
    </xf>
    <xf numFmtId="165" fontId="38" fillId="0" borderId="76" xfId="2" quotePrefix="1" applyNumberFormat="1" applyFont="1" applyFill="1" applyBorder="1" applyAlignment="1">
      <alignment horizontal="center" vertical="center"/>
    </xf>
    <xf numFmtId="9" fontId="38" fillId="0" borderId="82" xfId="2" applyNumberFormat="1" applyFont="1" applyBorder="1" applyAlignment="1">
      <alignment horizontal="center" vertical="center"/>
    </xf>
    <xf numFmtId="9" fontId="38" fillId="0" borderId="81" xfId="2" applyNumberFormat="1" applyFont="1" applyBorder="1" applyAlignment="1">
      <alignment horizontal="center" vertical="center"/>
    </xf>
    <xf numFmtId="9" fontId="38" fillId="0" borderId="66" xfId="2" quotePrefix="1" applyNumberFormat="1" applyFont="1" applyBorder="1" applyAlignment="1">
      <alignment horizontal="center" vertical="center"/>
    </xf>
    <xf numFmtId="9" fontId="38" fillId="0" borderId="81" xfId="2" quotePrefix="1" applyNumberFormat="1" applyFont="1" applyBorder="1" applyAlignment="1">
      <alignment horizontal="center" vertical="center"/>
    </xf>
    <xf numFmtId="9" fontId="38" fillId="0" borderId="66" xfId="2" applyNumberFormat="1" applyFont="1" applyBorder="1" applyAlignment="1">
      <alignment horizontal="center" vertical="center"/>
    </xf>
    <xf numFmtId="2" fontId="88" fillId="0" borderId="0" xfId="304" applyNumberFormat="1" applyFont="1" applyAlignment="1">
      <alignment horizontal="left" vertical="center"/>
    </xf>
    <xf numFmtId="3" fontId="38" fillId="0" borderId="94" xfId="304" applyNumberFormat="1" applyFont="1" applyBorder="1" applyAlignment="1">
      <alignment vertical="center"/>
    </xf>
    <xf numFmtId="3" fontId="38" fillId="0" borderId="22" xfId="304" applyNumberFormat="1" applyFont="1" applyBorder="1" applyAlignment="1">
      <alignment vertical="center"/>
    </xf>
    <xf numFmtId="0" fontId="42" fillId="0" borderId="91" xfId="10" applyFont="1" applyBorder="1"/>
    <xf numFmtId="165" fontId="32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2" fillId="0" borderId="97" xfId="2" quotePrefix="1" applyNumberFormat="1" applyFont="1" applyBorder="1" applyAlignment="1">
      <alignment horizontal="center" vertical="center"/>
    </xf>
    <xf numFmtId="165" fontId="32" fillId="0" borderId="21" xfId="2" quotePrefix="1" applyNumberFormat="1" applyFont="1" applyBorder="1" applyAlignment="1">
      <alignment horizontal="center" vertical="center"/>
    </xf>
    <xf numFmtId="165" fontId="34" fillId="2" borderId="0" xfId="2" quotePrefix="1" applyNumberFormat="1" applyFont="1" applyFill="1" applyBorder="1" applyAlignment="1">
      <alignment horizontal="center" vertical="center" wrapText="1"/>
    </xf>
    <xf numFmtId="3" fontId="34" fillId="2" borderId="36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Border="1" applyAlignment="1">
      <alignment vertical="center"/>
    </xf>
    <xf numFmtId="165" fontId="32" fillId="0" borderId="36" xfId="2" quotePrefix="1" applyNumberFormat="1" applyFont="1" applyBorder="1" applyAlignment="1">
      <alignment horizontal="center" vertical="center"/>
    </xf>
    <xf numFmtId="0" fontId="28" fillId="2" borderId="36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right" vertical="center" wrapText="1"/>
    </xf>
    <xf numFmtId="165" fontId="32" fillId="0" borderId="100" xfId="2" applyNumberFormat="1" applyFont="1" applyBorder="1" applyAlignment="1">
      <alignment horizontal="center" vertical="center"/>
    </xf>
    <xf numFmtId="165" fontId="32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8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4" fillId="2" borderId="61" xfId="0" applyNumberFormat="1" applyFont="1" applyFill="1" applyBorder="1" applyAlignment="1">
      <alignment horizontal="center" vertical="center" wrapText="1"/>
    </xf>
    <xf numFmtId="3" fontId="32" fillId="0" borderId="96" xfId="0" applyNumberFormat="1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center" vertical="center" wrapText="1"/>
    </xf>
    <xf numFmtId="3" fontId="34" fillId="2" borderId="28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vertical="center"/>
    </xf>
    <xf numFmtId="164" fontId="32" fillId="0" borderId="9" xfId="0" quotePrefix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1" fillId="0" borderId="55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165" fontId="34" fillId="2" borderId="28" xfId="2" applyNumberFormat="1" applyFont="1" applyFill="1" applyBorder="1" applyAlignment="1">
      <alignment horizontal="center" vertical="center" wrapText="1"/>
    </xf>
    <xf numFmtId="165" fontId="34" fillId="2" borderId="133" xfId="2" applyNumberFormat="1" applyFont="1" applyFill="1" applyBorder="1" applyAlignment="1">
      <alignment horizontal="center" vertical="center" wrapText="1"/>
    </xf>
    <xf numFmtId="165" fontId="32" fillId="0" borderId="63" xfId="0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0" fontId="28" fillId="2" borderId="133" xfId="0" applyFont="1" applyFill="1" applyBorder="1" applyAlignment="1">
      <alignment vertical="center"/>
    </xf>
    <xf numFmtId="0" fontId="29" fillId="2" borderId="28" xfId="0" applyFont="1" applyFill="1" applyBorder="1" applyAlignment="1">
      <alignment vertical="center"/>
    </xf>
    <xf numFmtId="165" fontId="38" fillId="0" borderId="55" xfId="2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right" vertical="center"/>
    </xf>
    <xf numFmtId="165" fontId="38" fillId="0" borderId="9" xfId="2" quotePrefix="1" applyNumberFormat="1" applyFont="1" applyBorder="1" applyAlignment="1">
      <alignment horizontal="center" vertical="center"/>
    </xf>
    <xf numFmtId="165" fontId="38" fillId="0" borderId="10" xfId="2" applyNumberFormat="1" applyFont="1" applyBorder="1" applyAlignment="1">
      <alignment horizontal="center" vertical="center"/>
    </xf>
    <xf numFmtId="9" fontId="38" fillId="0" borderId="41" xfId="2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/>
    </xf>
    <xf numFmtId="165" fontId="32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2" fillId="0" borderId="134" xfId="4" applyBorder="1"/>
    <xf numFmtId="0" fontId="43" fillId="3" borderId="36" xfId="0" applyFont="1" applyFill="1" applyBorder="1" applyAlignment="1">
      <alignment vertical="center"/>
    </xf>
    <xf numFmtId="3" fontId="32" fillId="0" borderId="130" xfId="0" applyNumberFormat="1" applyFont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right" vertical="center" wrapText="1"/>
    </xf>
    <xf numFmtId="3" fontId="32" fillId="0" borderId="134" xfId="0" applyNumberFormat="1" applyFont="1" applyBorder="1" applyAlignment="1">
      <alignment horizontal="right" vertical="center"/>
    </xf>
    <xf numFmtId="165" fontId="32" fillId="0" borderId="134" xfId="2" quotePrefix="1" applyNumberFormat="1" applyFont="1" applyBorder="1" applyAlignment="1">
      <alignment horizontal="center" vertical="center"/>
    </xf>
    <xf numFmtId="165" fontId="32" fillId="0" borderId="135" xfId="2" quotePrefix="1" applyNumberFormat="1" applyFont="1" applyBorder="1" applyAlignment="1">
      <alignment horizontal="center" vertical="center"/>
    </xf>
    <xf numFmtId="3" fontId="34" fillId="2" borderId="136" xfId="0" applyNumberFormat="1" applyFont="1" applyFill="1" applyBorder="1" applyAlignment="1">
      <alignment horizontal="center" vertical="center" wrapText="1"/>
    </xf>
    <xf numFmtId="165" fontId="32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4" fillId="2" borderId="116" xfId="2" applyNumberFormat="1" applyFont="1" applyFill="1" applyBorder="1" applyAlignment="1">
      <alignment horizontal="center" vertical="center" wrapText="1"/>
    </xf>
    <xf numFmtId="3" fontId="32" fillId="0" borderId="125" xfId="0" applyNumberFormat="1" applyFont="1" applyBorder="1" applyAlignment="1">
      <alignment horizontal="right" vertical="center"/>
    </xf>
    <xf numFmtId="3" fontId="32" fillId="0" borderId="90" xfId="0" applyNumberFormat="1" applyFont="1" applyBorder="1" applyAlignment="1">
      <alignment vertical="center"/>
    </xf>
    <xf numFmtId="0" fontId="28" fillId="2" borderId="137" xfId="0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right" vertical="center"/>
    </xf>
    <xf numFmtId="3" fontId="32" fillId="0" borderId="139" xfId="0" applyNumberFormat="1" applyFont="1" applyBorder="1" applyAlignment="1">
      <alignment horizontal="right" vertical="center"/>
    </xf>
    <xf numFmtId="3" fontId="32" fillId="0" borderId="137" xfId="0" applyNumberFormat="1" applyFont="1" applyBorder="1" applyAlignment="1">
      <alignment horizontal="right" vertical="center"/>
    </xf>
    <xf numFmtId="3" fontId="34" fillId="2" borderId="137" xfId="0" applyNumberFormat="1" applyFont="1" applyFill="1" applyBorder="1" applyAlignment="1">
      <alignment horizontal="right" vertical="center" wrapText="1"/>
    </xf>
    <xf numFmtId="3" fontId="32" fillId="0" borderId="140" xfId="0" applyNumberFormat="1" applyFont="1" applyBorder="1" applyAlignment="1">
      <alignment horizontal="right" vertical="center"/>
    </xf>
    <xf numFmtId="0" fontId="32" fillId="0" borderId="141" xfId="0" quotePrefix="1" applyFont="1" applyBorder="1" applyAlignment="1">
      <alignment horizontal="center" vertical="center"/>
    </xf>
    <xf numFmtId="0" fontId="28" fillId="2" borderId="141" xfId="0" applyFont="1" applyFill="1" applyBorder="1" applyAlignment="1">
      <alignment horizontal="center" vertical="center" wrapText="1"/>
    </xf>
    <xf numFmtId="165" fontId="32" fillId="0" borderId="142" xfId="2" applyNumberFormat="1" applyFont="1" applyBorder="1" applyAlignment="1">
      <alignment horizontal="center" vertical="center"/>
    </xf>
    <xf numFmtId="165" fontId="32" fillId="0" borderId="143" xfId="2" applyNumberFormat="1" applyFont="1" applyBorder="1" applyAlignment="1">
      <alignment horizontal="center" vertical="center"/>
    </xf>
    <xf numFmtId="165" fontId="34" fillId="2" borderId="141" xfId="2" applyNumberFormat="1" applyFont="1" applyFill="1" applyBorder="1" applyAlignment="1">
      <alignment horizontal="center" vertical="center" wrapText="1"/>
    </xf>
    <xf numFmtId="165" fontId="32" fillId="0" borderId="144" xfId="2" applyNumberFormat="1" applyFont="1" applyBorder="1" applyAlignment="1">
      <alignment horizontal="center" vertical="center"/>
    </xf>
    <xf numFmtId="3" fontId="34" fillId="2" borderId="145" xfId="0" applyNumberFormat="1" applyFont="1" applyFill="1" applyBorder="1" applyAlignment="1">
      <alignment horizontal="right" vertical="center" wrapText="1"/>
    </xf>
    <xf numFmtId="165" fontId="34" fillId="2" borderId="146" xfId="2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vertical="center"/>
    </xf>
    <xf numFmtId="3" fontId="32" fillId="0" borderId="139" xfId="0" applyNumberFormat="1" applyFont="1" applyBorder="1" applyAlignment="1">
      <alignment vertical="center"/>
    </xf>
    <xf numFmtId="3" fontId="32" fillId="0" borderId="140" xfId="0" applyNumberFormat="1" applyFont="1" applyBorder="1" applyAlignment="1">
      <alignment vertical="center"/>
    </xf>
    <xf numFmtId="3" fontId="32" fillId="0" borderId="147" xfId="0" applyNumberFormat="1" applyFont="1" applyBorder="1" applyAlignment="1">
      <alignment horizontal="right" vertical="center"/>
    </xf>
    <xf numFmtId="3" fontId="32" fillId="0" borderId="148" xfId="0" applyNumberFormat="1" applyFont="1" applyBorder="1" applyAlignment="1">
      <alignment horizontal="right" vertical="center"/>
    </xf>
    <xf numFmtId="3" fontId="32" fillId="0" borderId="149" xfId="0" applyNumberFormat="1" applyFont="1" applyBorder="1" applyAlignment="1">
      <alignment horizontal="right" vertical="center"/>
    </xf>
    <xf numFmtId="3" fontId="32" fillId="0" borderId="150" xfId="0" applyNumberFormat="1" applyFont="1" applyBorder="1" applyAlignment="1">
      <alignment horizontal="right" vertical="center"/>
    </xf>
    <xf numFmtId="3" fontId="32" fillId="0" borderId="151" xfId="0" applyNumberFormat="1" applyFont="1" applyBorder="1" applyAlignment="1">
      <alignment horizontal="right" vertical="center"/>
    </xf>
    <xf numFmtId="165" fontId="32" fillId="0" borderId="134" xfId="2" applyNumberFormat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wrapText="1"/>
    </xf>
    <xf numFmtId="165" fontId="32" fillId="0" borderId="152" xfId="2" applyNumberFormat="1" applyFont="1" applyBorder="1" applyAlignment="1">
      <alignment horizontal="center" vertical="center"/>
    </xf>
    <xf numFmtId="165" fontId="32" fillId="0" borderId="153" xfId="2" quotePrefix="1" applyNumberFormat="1" applyFont="1" applyBorder="1" applyAlignment="1">
      <alignment horizontal="center" vertical="center"/>
    </xf>
    <xf numFmtId="165" fontId="32" fillId="0" borderId="153" xfId="2" applyNumberFormat="1" applyFont="1" applyBorder="1" applyAlignment="1">
      <alignment horizontal="center" vertical="center"/>
    </xf>
    <xf numFmtId="165" fontId="32" fillId="0" borderId="154" xfId="2" applyNumberFormat="1" applyFont="1" applyBorder="1" applyAlignment="1">
      <alignment horizontal="center" vertical="center"/>
    </xf>
    <xf numFmtId="165" fontId="32" fillId="0" borderId="155" xfId="2" applyNumberFormat="1" applyFont="1" applyBorder="1" applyAlignment="1">
      <alignment horizontal="center" vertical="center"/>
    </xf>
    <xf numFmtId="165" fontId="32" fillId="0" borderId="156" xfId="2" applyNumberFormat="1" applyFont="1" applyBorder="1" applyAlignment="1">
      <alignment horizontal="center" vertical="center"/>
    </xf>
    <xf numFmtId="165" fontId="32" fillId="0" borderId="157" xfId="2" applyNumberFormat="1" applyFont="1" applyBorder="1" applyAlignment="1">
      <alignment horizontal="center" vertical="center"/>
    </xf>
    <xf numFmtId="165" fontId="32" fillId="0" borderId="157" xfId="2" quotePrefix="1" applyNumberFormat="1" applyFont="1" applyBorder="1" applyAlignment="1">
      <alignment horizontal="center" vertical="center"/>
    </xf>
    <xf numFmtId="165" fontId="32" fillId="0" borderId="158" xfId="2" applyNumberFormat="1" applyFont="1" applyBorder="1" applyAlignment="1">
      <alignment horizontal="center" vertical="center"/>
    </xf>
    <xf numFmtId="165" fontId="32" fillId="0" borderId="159" xfId="2" applyNumberFormat="1" applyFont="1" applyBorder="1" applyAlignment="1">
      <alignment horizontal="center" vertical="center"/>
    </xf>
    <xf numFmtId="165" fontId="44" fillId="3" borderId="67" xfId="2" applyNumberFormat="1" applyFont="1" applyFill="1" applyBorder="1" applyAlignment="1">
      <alignment horizontal="center" vertical="center" wrapText="1"/>
    </xf>
    <xf numFmtId="165" fontId="44" fillId="0" borderId="160" xfId="2" applyNumberFormat="1" applyFont="1" applyFill="1" applyBorder="1" applyAlignment="1">
      <alignment horizontal="center" vertical="center" wrapText="1"/>
    </xf>
    <xf numFmtId="165" fontId="32" fillId="0" borderId="156" xfId="2" applyNumberFormat="1" applyFont="1" applyFill="1" applyBorder="1" applyAlignment="1">
      <alignment horizontal="center" vertical="center"/>
    </xf>
    <xf numFmtId="165" fontId="44" fillId="3" borderId="158" xfId="2" applyNumberFormat="1" applyFont="1" applyFill="1" applyBorder="1" applyAlignment="1">
      <alignment horizontal="center" vertical="center" wrapText="1"/>
    </xf>
    <xf numFmtId="3" fontId="32" fillId="0" borderId="162" xfId="0" applyNumberFormat="1" applyFont="1" applyBorder="1" applyAlignment="1">
      <alignment horizontal="right" vertical="center"/>
    </xf>
    <xf numFmtId="3" fontId="32" fillId="0" borderId="163" xfId="0" applyNumberFormat="1" applyFont="1" applyBorder="1" applyAlignment="1">
      <alignment horizontal="right" vertical="center"/>
    </xf>
    <xf numFmtId="3" fontId="44" fillId="3" borderId="137" xfId="0" applyNumberFormat="1" applyFont="1" applyFill="1" applyBorder="1" applyAlignment="1">
      <alignment horizontal="right" vertical="center" wrapText="1"/>
    </xf>
    <xf numFmtId="3" fontId="32" fillId="0" borderId="150" xfId="2" applyNumberFormat="1" applyFont="1" applyBorder="1" applyAlignment="1">
      <alignment horizontal="right" vertical="center"/>
    </xf>
    <xf numFmtId="3" fontId="44" fillId="3" borderId="163" xfId="0" applyNumberFormat="1" applyFont="1" applyFill="1" applyBorder="1" applyAlignment="1">
      <alignment horizontal="right" vertical="center" wrapText="1"/>
    </xf>
    <xf numFmtId="165" fontId="34" fillId="2" borderId="164" xfId="2" applyNumberFormat="1" applyFont="1" applyFill="1" applyBorder="1" applyAlignment="1">
      <alignment horizontal="center" vertical="center" wrapText="1"/>
    </xf>
    <xf numFmtId="3" fontId="34" fillId="2" borderId="161" xfId="0" applyNumberFormat="1" applyFont="1" applyFill="1" applyBorder="1" applyAlignment="1">
      <alignment horizontal="right" vertical="center" wrapText="1"/>
    </xf>
    <xf numFmtId="165" fontId="34" fillId="2" borderId="165" xfId="2" applyNumberFormat="1" applyFont="1" applyFill="1" applyBorder="1" applyAlignment="1">
      <alignment horizontal="center" vertical="center" wrapText="1"/>
    </xf>
    <xf numFmtId="165" fontId="32" fillId="0" borderId="8" xfId="2" applyNumberFormat="1" applyFont="1" applyFill="1" applyBorder="1" applyAlignment="1">
      <alignment horizontal="center" vertical="center"/>
    </xf>
    <xf numFmtId="0" fontId="32" fillId="0" borderId="67" xfId="0" quotePrefix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3" fontId="32" fillId="0" borderId="137" xfId="0" applyNumberFormat="1" applyFont="1" applyFill="1" applyBorder="1" applyAlignment="1">
      <alignment vertical="center"/>
    </xf>
    <xf numFmtId="3" fontId="32" fillId="0" borderId="138" xfId="0" applyNumberFormat="1" applyFont="1" applyFill="1" applyBorder="1" applyAlignment="1">
      <alignment vertical="center"/>
    </xf>
    <xf numFmtId="3" fontId="32" fillId="0" borderId="139" xfId="0" applyNumberFormat="1" applyFont="1" applyFill="1" applyBorder="1" applyAlignment="1">
      <alignment vertical="center"/>
    </xf>
    <xf numFmtId="4" fontId="32" fillId="0" borderId="137" xfId="0" applyNumberFormat="1" applyFont="1" applyBorder="1" applyAlignment="1">
      <alignment vertical="center"/>
    </xf>
    <xf numFmtId="3" fontId="32" fillId="0" borderId="140" xfId="0" applyNumberFormat="1" applyFont="1" applyFill="1" applyBorder="1" applyAlignment="1">
      <alignment vertical="center"/>
    </xf>
    <xf numFmtId="3" fontId="34" fillId="2" borderId="137" xfId="0" applyNumberFormat="1" applyFont="1" applyFill="1" applyBorder="1" applyAlignment="1">
      <alignment horizontal="center" vertical="center" wrapText="1"/>
    </xf>
    <xf numFmtId="3" fontId="34" fillId="2" borderId="145" xfId="0" applyNumberFormat="1" applyFont="1" applyFill="1" applyBorder="1" applyAlignment="1">
      <alignment horizontal="center" vertical="center" wrapText="1"/>
    </xf>
    <xf numFmtId="165" fontId="34" fillId="2" borderId="167" xfId="2" applyNumberFormat="1" applyFont="1" applyFill="1" applyBorder="1" applyAlignment="1">
      <alignment horizontal="center" vertical="center" wrapText="1"/>
    </xf>
    <xf numFmtId="3" fontId="38" fillId="0" borderId="137" xfId="304" applyNumberFormat="1" applyFont="1" applyBorder="1" applyAlignment="1">
      <alignment horizontal="right" vertical="center"/>
    </xf>
    <xf numFmtId="0" fontId="32" fillId="0" borderId="169" xfId="0" quotePrefix="1" applyFont="1" applyBorder="1" applyAlignment="1">
      <alignment horizontal="center" vertical="center"/>
    </xf>
    <xf numFmtId="0" fontId="28" fillId="2" borderId="169" xfId="0" applyFont="1" applyFill="1" applyBorder="1" applyAlignment="1">
      <alignment horizontal="center" vertical="center" wrapText="1"/>
    </xf>
    <xf numFmtId="165" fontId="32" fillId="0" borderId="122" xfId="2" applyNumberFormat="1" applyFont="1" applyBorder="1" applyAlignment="1">
      <alignment horizontal="center" vertical="center"/>
    </xf>
    <xf numFmtId="165" fontId="32" fillId="0" borderId="170" xfId="2" applyNumberFormat="1" applyFont="1" applyBorder="1" applyAlignment="1">
      <alignment horizontal="center" vertical="center"/>
    </xf>
    <xf numFmtId="165" fontId="32" fillId="0" borderId="171" xfId="2" applyNumberFormat="1" applyFont="1" applyBorder="1" applyAlignment="1">
      <alignment horizontal="center" vertical="center"/>
    </xf>
    <xf numFmtId="165" fontId="32" fillId="0" borderId="172" xfId="2" applyNumberFormat="1" applyFont="1" applyBorder="1" applyAlignment="1">
      <alignment horizontal="center" vertical="center"/>
    </xf>
    <xf numFmtId="165" fontId="34" fillId="2" borderId="169" xfId="2" applyNumberFormat="1" applyFont="1" applyFill="1" applyBorder="1" applyAlignment="1">
      <alignment horizontal="center" vertical="center" wrapText="1"/>
    </xf>
    <xf numFmtId="165" fontId="34" fillId="2" borderId="173" xfId="2" applyNumberFormat="1" applyFont="1" applyFill="1" applyBorder="1" applyAlignment="1">
      <alignment horizontal="center" vertical="center" wrapText="1"/>
    </xf>
    <xf numFmtId="3" fontId="28" fillId="2" borderId="137" xfId="0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center" vertical="center"/>
    </xf>
    <xf numFmtId="3" fontId="32" fillId="0" borderId="140" xfId="0" applyNumberFormat="1" applyFont="1" applyBorder="1" applyAlignment="1">
      <alignment horizontal="center" vertical="center"/>
    </xf>
    <xf numFmtId="3" fontId="32" fillId="0" borderId="137" xfId="0" applyNumberFormat="1" applyFont="1" applyBorder="1" applyAlignment="1">
      <alignment horizontal="center" vertical="center"/>
    </xf>
    <xf numFmtId="3" fontId="32" fillId="0" borderId="174" xfId="0" applyNumberFormat="1" applyFont="1" applyBorder="1" applyAlignment="1">
      <alignment vertical="center"/>
    </xf>
    <xf numFmtId="165" fontId="34" fillId="2" borderId="6" xfId="2" applyNumberFormat="1" applyFont="1" applyFill="1" applyBorder="1" applyAlignment="1">
      <alignment horizontal="center" vertical="center" wrapText="1"/>
    </xf>
    <xf numFmtId="165" fontId="32" fillId="0" borderId="160" xfId="2" applyNumberFormat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 wrapText="1"/>
    </xf>
    <xf numFmtId="165" fontId="34" fillId="2" borderId="164" xfId="2" quotePrefix="1" applyNumberFormat="1" applyFont="1" applyFill="1" applyBorder="1" applyAlignment="1">
      <alignment horizontal="center" vertical="center" wrapText="1"/>
    </xf>
    <xf numFmtId="165" fontId="34" fillId="2" borderId="175" xfId="2" applyNumberFormat="1" applyFont="1" applyFill="1" applyBorder="1" applyAlignment="1">
      <alignment horizontal="center" vertical="center" wrapText="1"/>
    </xf>
    <xf numFmtId="0" fontId="34" fillId="2" borderId="175" xfId="0" quotePrefix="1" applyFont="1" applyFill="1" applyBorder="1" applyAlignment="1">
      <alignment horizontal="center" vertical="center" wrapText="1"/>
    </xf>
    <xf numFmtId="165" fontId="32" fillId="0" borderId="0" xfId="0" quotePrefix="1" applyNumberFormat="1" applyFont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165" fontId="32" fillId="0" borderId="176" xfId="2" applyNumberFormat="1" applyFont="1" applyBorder="1" applyAlignment="1">
      <alignment horizontal="center" vertical="center"/>
    </xf>
    <xf numFmtId="165" fontId="32" fillId="0" borderId="177" xfId="2" applyNumberFormat="1" applyFont="1" applyBorder="1" applyAlignment="1">
      <alignment horizontal="center" vertical="center"/>
    </xf>
    <xf numFmtId="165" fontId="34" fillId="2" borderId="178" xfId="2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shrinkToFit="1"/>
    </xf>
    <xf numFmtId="3" fontId="32" fillId="0" borderId="35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3" fontId="32" fillId="0" borderId="52" xfId="0" applyNumberFormat="1" applyFont="1" applyFill="1" applyBorder="1" applyAlignment="1">
      <alignment vertical="center"/>
    </xf>
    <xf numFmtId="4" fontId="32" fillId="0" borderId="35" xfId="0" applyNumberFormat="1" applyFont="1" applyBorder="1" applyAlignment="1">
      <alignment vertical="center"/>
    </xf>
    <xf numFmtId="3" fontId="32" fillId="0" borderId="54" xfId="0" applyNumberFormat="1" applyFont="1" applyFill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5" fontId="38" fillId="0" borderId="22" xfId="2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165" fontId="38" fillId="0" borderId="95" xfId="2" quotePrefix="1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right" vertical="center"/>
    </xf>
    <xf numFmtId="165" fontId="38" fillId="0" borderId="67" xfId="2" applyNumberFormat="1" applyFont="1" applyFill="1" applyBorder="1" applyAlignment="1">
      <alignment horizontal="center" vertical="center" wrapText="1"/>
    </xf>
    <xf numFmtId="3" fontId="32" fillId="0" borderId="105" xfId="0" applyNumberFormat="1" applyFont="1" applyBorder="1" applyAlignment="1">
      <alignment vertical="center"/>
    </xf>
    <xf numFmtId="0" fontId="31" fillId="0" borderId="106" xfId="0" applyFont="1" applyBorder="1" applyAlignment="1">
      <alignment vertical="center"/>
    </xf>
    <xf numFmtId="3" fontId="32" fillId="0" borderId="104" xfId="0" applyNumberFormat="1" applyFont="1" applyFill="1" applyBorder="1" applyAlignment="1">
      <alignment vertical="center"/>
    </xf>
    <xf numFmtId="3" fontId="32" fillId="0" borderId="174" xfId="0" applyNumberFormat="1" applyFont="1" applyFill="1" applyBorder="1" applyAlignment="1">
      <alignment vertical="center"/>
    </xf>
    <xf numFmtId="165" fontId="32" fillId="0" borderId="128" xfId="2" quotePrefix="1" applyNumberFormat="1" applyFont="1" applyBorder="1" applyAlignment="1">
      <alignment horizontal="center" vertical="center"/>
    </xf>
    <xf numFmtId="164" fontId="32" fillId="0" borderId="106" xfId="0" quotePrefix="1" applyNumberFormat="1" applyFont="1" applyBorder="1" applyAlignment="1">
      <alignment horizontal="center" vertical="center"/>
    </xf>
    <xf numFmtId="165" fontId="32" fillId="0" borderId="103" xfId="2" quotePrefix="1" applyNumberFormat="1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164" fontId="32" fillId="0" borderId="106" xfId="0" quotePrefix="1" applyNumberFormat="1" applyFont="1" applyFill="1" applyBorder="1" applyAlignment="1">
      <alignment horizontal="center" vertical="center"/>
    </xf>
    <xf numFmtId="165" fontId="32" fillId="0" borderId="179" xfId="2" applyNumberFormat="1" applyFont="1" applyBorder="1" applyAlignment="1">
      <alignment horizontal="center" vertical="center"/>
    </xf>
    <xf numFmtId="0" fontId="27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2" fillId="0" borderId="181" xfId="2" quotePrefix="1" applyNumberFormat="1" applyFont="1" applyBorder="1" applyAlignment="1">
      <alignment horizontal="center" vertical="center"/>
    </xf>
    <xf numFmtId="3" fontId="32" fillId="0" borderId="181" xfId="0" quotePrefix="1" applyNumberFormat="1" applyFont="1" applyBorder="1" applyAlignment="1">
      <alignment horizontal="center" vertical="center"/>
    </xf>
    <xf numFmtId="3" fontId="32" fillId="0" borderId="87" xfId="0" applyNumberFormat="1" applyFont="1" applyBorder="1" applyAlignment="1">
      <alignment vertical="center"/>
    </xf>
    <xf numFmtId="0" fontId="31" fillId="0" borderId="181" xfId="0" applyFont="1" applyBorder="1" applyAlignment="1">
      <alignment vertical="center"/>
    </xf>
    <xf numFmtId="3" fontId="32" fillId="0" borderId="180" xfId="0" applyNumberFormat="1" applyFont="1" applyBorder="1" applyAlignment="1">
      <alignment vertical="center"/>
    </xf>
    <xf numFmtId="165" fontId="32" fillId="0" borderId="182" xfId="2" applyNumberFormat="1" applyFont="1" applyBorder="1" applyAlignment="1">
      <alignment horizontal="center" vertical="center"/>
    </xf>
    <xf numFmtId="0" fontId="29" fillId="2" borderId="0" xfId="0" applyFont="1" applyFill="1" applyBorder="1"/>
    <xf numFmtId="3" fontId="32" fillId="0" borderId="181" xfId="0" quotePrefix="1" applyNumberFormat="1" applyFont="1" applyBorder="1" applyAlignment="1">
      <alignment horizontal="right" vertical="center"/>
    </xf>
    <xf numFmtId="165" fontId="34" fillId="2" borderId="28" xfId="2" quotePrefix="1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 vertical="center"/>
    </xf>
    <xf numFmtId="165" fontId="32" fillId="0" borderId="143" xfId="2" quotePrefix="1" applyNumberFormat="1" applyFont="1" applyBorder="1" applyAlignment="1">
      <alignment horizontal="center" vertical="center"/>
    </xf>
    <xf numFmtId="165" fontId="32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2" fillId="0" borderId="0" xfId="0" applyNumberFormat="1" applyFont="1" applyAlignment="1">
      <alignment horizontal="center"/>
    </xf>
    <xf numFmtId="10" fontId="0" fillId="0" borderId="0" xfId="0" applyNumberFormat="1"/>
    <xf numFmtId="3" fontId="32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2" fillId="0" borderId="139" xfId="0" quotePrefix="1" applyNumberFormat="1" applyFont="1" applyFill="1" applyBorder="1" applyAlignment="1">
      <alignment horizontal="right" vertical="center"/>
    </xf>
    <xf numFmtId="165" fontId="32" fillId="0" borderId="187" xfId="2" applyNumberFormat="1" applyFont="1" applyBorder="1" applyAlignment="1">
      <alignment horizontal="center" vertical="center"/>
    </xf>
    <xf numFmtId="0" fontId="32" fillId="0" borderId="186" xfId="0" applyFont="1" applyBorder="1" applyAlignment="1">
      <alignment horizontal="center" vertical="center"/>
    </xf>
    <xf numFmtId="3" fontId="32" fillId="0" borderId="193" xfId="0" applyNumberFormat="1" applyFont="1" applyBorder="1" applyAlignment="1">
      <alignment vertical="center"/>
    </xf>
    <xf numFmtId="3" fontId="32" fillId="0" borderId="94" xfId="0" applyNumberFormat="1" applyFont="1" applyBorder="1" applyAlignment="1">
      <alignment vertical="center"/>
    </xf>
    <xf numFmtId="3" fontId="32" fillId="0" borderId="192" xfId="0" applyNumberFormat="1" applyFont="1" applyBorder="1" applyAlignment="1">
      <alignment vertical="center"/>
    </xf>
    <xf numFmtId="3" fontId="32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2" fillId="0" borderId="6" xfId="0" quotePrefix="1" applyNumberFormat="1" applyFont="1" applyFill="1" applyBorder="1" applyAlignment="1">
      <alignment horizontal="center" vertical="center"/>
    </xf>
    <xf numFmtId="3" fontId="34" fillId="2" borderId="19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94" fillId="0" borderId="196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horizontal="right" vertical="center"/>
    </xf>
    <xf numFmtId="3" fontId="94" fillId="0" borderId="196" xfId="0" applyNumberFormat="1" applyFont="1" applyFill="1" applyBorder="1" applyAlignment="1">
      <alignment horizontal="right" vertical="center"/>
    </xf>
    <xf numFmtId="3" fontId="95" fillId="35" borderId="0" xfId="0" applyNumberFormat="1" applyFont="1" applyFill="1" applyBorder="1" applyAlignment="1">
      <alignment horizontal="right" vertical="center" wrapText="1"/>
    </xf>
    <xf numFmtId="3" fontId="94" fillId="0" borderId="195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vertical="center"/>
    </xf>
    <xf numFmtId="3" fontId="95" fillId="35" borderId="198" xfId="0" applyNumberFormat="1" applyFont="1" applyFill="1" applyBorder="1" applyAlignment="1">
      <alignment horizontal="right" vertical="center" wrapText="1"/>
    </xf>
    <xf numFmtId="9" fontId="38" fillId="0" borderId="82" xfId="2" quotePrefix="1" applyNumberFormat="1" applyFont="1" applyBorder="1" applyAlignment="1">
      <alignment horizontal="center" vertical="center"/>
    </xf>
    <xf numFmtId="165" fontId="38" fillId="0" borderId="51" xfId="2" quotePrefix="1" applyNumberFormat="1" applyFont="1" applyFill="1" applyBorder="1" applyAlignment="1">
      <alignment horizontal="center" vertical="center"/>
    </xf>
    <xf numFmtId="165" fontId="38" fillId="0" borderId="89" xfId="2" quotePrefix="1" applyNumberFormat="1" applyFont="1" applyBorder="1" applyAlignment="1">
      <alignment horizontal="center" vertical="center"/>
    </xf>
    <xf numFmtId="165" fontId="38" fillId="0" borderId="91" xfId="2" quotePrefix="1" applyNumberFormat="1" applyFont="1" applyBorder="1" applyAlignment="1">
      <alignment horizontal="center" vertical="center"/>
    </xf>
    <xf numFmtId="3" fontId="34" fillId="2" borderId="96" xfId="0" applyNumberFormat="1" applyFont="1" applyFill="1" applyBorder="1" applyAlignment="1">
      <alignment horizontal="center" vertical="center" wrapText="1"/>
    </xf>
    <xf numFmtId="3" fontId="34" fillId="2" borderId="21" xfId="0" applyNumberFormat="1" applyFont="1" applyFill="1" applyBorder="1" applyAlignment="1">
      <alignment horizontal="center" vertical="center" wrapText="1"/>
    </xf>
    <xf numFmtId="3" fontId="32" fillId="0" borderId="139" xfId="0" applyNumberFormat="1" applyFont="1" applyFill="1" applyBorder="1" applyAlignment="1">
      <alignment horizontal="right" vertical="center"/>
    </xf>
    <xf numFmtId="2" fontId="38" fillId="0" borderId="0" xfId="304" applyNumberFormat="1" applyFont="1" applyAlignment="1">
      <alignment horizontal="right" vertical="center"/>
    </xf>
    <xf numFmtId="164" fontId="32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11" applyFont="1"/>
    <xf numFmtId="165" fontId="32" fillId="0" borderId="6" xfId="0" quotePrefix="1" applyNumberFormat="1" applyFont="1" applyBorder="1" applyAlignment="1">
      <alignment horizontal="center" vertical="center"/>
    </xf>
    <xf numFmtId="165" fontId="32" fillId="0" borderId="9" xfId="0" quotePrefix="1" applyNumberFormat="1" applyFont="1" applyBorder="1" applyAlignment="1">
      <alignment horizontal="center" vertical="center"/>
    </xf>
    <xf numFmtId="165" fontId="34" fillId="2" borderId="0" xfId="0" quotePrefix="1" applyNumberFormat="1" applyFont="1" applyFill="1" applyBorder="1" applyAlignment="1">
      <alignment horizontal="center" vertical="center" wrapText="1"/>
    </xf>
    <xf numFmtId="165" fontId="34" fillId="2" borderId="6" xfId="2" applyNumberFormat="1" applyFont="1" applyFill="1" applyBorder="1" applyAlignment="1">
      <alignment horizontal="center" vertical="center"/>
    </xf>
    <xf numFmtId="165" fontId="32" fillId="0" borderId="199" xfId="2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29" xfId="0" quotePrefix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17" fontId="37" fillId="0" borderId="33" xfId="0" quotePrefix="1" applyNumberFormat="1" applyFont="1" applyFill="1" applyBorder="1" applyAlignment="1">
      <alignment horizontal="center"/>
    </xf>
    <xf numFmtId="17" fontId="37" fillId="0" borderId="49" xfId="0" quotePrefix="1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3" fillId="0" borderId="47" xfId="0" quotePrefix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7" fontId="33" fillId="0" borderId="47" xfId="0" quotePrefix="1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33" xfId="0" quotePrefix="1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0" fontId="37" fillId="0" borderId="34" xfId="0" applyNumberFormat="1" applyFont="1" applyBorder="1" applyAlignment="1">
      <alignment horizontal="center"/>
    </xf>
    <xf numFmtId="17" fontId="33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3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7" fillId="0" borderId="0" xfId="1" applyFont="1" applyAlignment="1">
      <alignment wrapText="1"/>
    </xf>
    <xf numFmtId="0" fontId="32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17" fontId="37" fillId="0" borderId="189" xfId="0" quotePrefix="1" applyNumberFormat="1" applyFont="1" applyBorder="1" applyAlignment="1">
      <alignment horizontal="center"/>
    </xf>
    <xf numFmtId="17" fontId="37" fillId="0" borderId="49" xfId="0" quotePrefix="1" applyNumberFormat="1" applyFont="1" applyBorder="1" applyAlignment="1">
      <alignment horizontal="center"/>
    </xf>
    <xf numFmtId="17" fontId="37" fillId="0" borderId="190" xfId="0" quotePrefix="1" applyNumberFormat="1" applyFont="1" applyBorder="1" applyAlignment="1">
      <alignment horizontal="center"/>
    </xf>
    <xf numFmtId="17" fontId="33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7" fillId="0" borderId="0" xfId="1" applyFont="1" applyAlignment="1">
      <alignment wrapText="1"/>
    </xf>
    <xf numFmtId="0" fontId="86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0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0" fillId="0" borderId="0" xfId="1" applyFont="1" applyAlignment="1"/>
    <xf numFmtId="0" fontId="0" fillId="0" borderId="0" xfId="0" applyAlignment="1"/>
    <xf numFmtId="0" fontId="33" fillId="0" borderId="49" xfId="0" quotePrefix="1" applyFont="1" applyBorder="1" applyAlignment="1">
      <alignment horizontal="center"/>
    </xf>
    <xf numFmtId="0" fontId="33" fillId="0" borderId="166" xfId="0" quotePrefix="1" applyFont="1" applyBorder="1" applyAlignment="1">
      <alignment horizontal="center"/>
    </xf>
    <xf numFmtId="165" fontId="0" fillId="0" borderId="0" xfId="0" applyNumberFormat="1" applyAlignment="1">
      <alignment horizontal="center" shrinkToFit="1"/>
    </xf>
  </cellXfs>
  <cellStyles count="50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abril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0.29652518814575191</c:v>
                </c:pt>
                <c:pt idx="1">
                  <c:v>0.23937766531503993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0.19083081543045927</c:v>
                </c:pt>
                <c:pt idx="1">
                  <c:v>0.12392976793210346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0.74859117074074899</c:v>
                </c:pt>
                <c:pt idx="1">
                  <c:v>0.30174383634720431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0.3175876489358504</c:v>
                </c:pt>
                <c:pt idx="1">
                  <c:v>0.22493276280571431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5632384"/>
        <c:axId val="175633920"/>
      </c:barChart>
      <c:catAx>
        <c:axId val="1756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5633920"/>
        <c:crosses val="autoZero"/>
        <c:auto val="1"/>
        <c:lblAlgn val="ctr"/>
        <c:lblOffset val="100"/>
        <c:noMultiLvlLbl val="0"/>
      </c:catAx>
      <c:valAx>
        <c:axId val="175633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632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0.23937766531503993</c:v>
                </c:pt>
                <c:pt idx="1">
                  <c:v>0.12392976793210346</c:v>
                </c:pt>
                <c:pt idx="2">
                  <c:v>0.30174383634720431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766016"/>
        <c:axId val="181793536"/>
      </c:barChart>
      <c:catAx>
        <c:axId val="18176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793536"/>
        <c:crosses val="autoZero"/>
        <c:auto val="1"/>
        <c:lblAlgn val="ctr"/>
        <c:lblOffset val="100"/>
        <c:noMultiLvlLbl val="0"/>
      </c:catAx>
      <c:valAx>
        <c:axId val="18179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7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0.15574895238622802</c:v>
                </c:pt>
                <c:pt idx="1">
                  <c:v>0.29662221189527843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61920"/>
        <c:axId val="200167808"/>
      </c:barChart>
      <c:catAx>
        <c:axId val="200161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67808"/>
        <c:crosses val="autoZero"/>
        <c:auto val="1"/>
        <c:lblAlgn val="ctr"/>
        <c:lblOffset val="100"/>
        <c:noMultiLvlLbl val="0"/>
      </c:catAx>
      <c:valAx>
        <c:axId val="20016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5.8240465747492864E-2</c:v>
                </c:pt>
                <c:pt idx="1">
                  <c:v>2.9625619251785418E-2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854080"/>
        <c:axId val="211855616"/>
      </c:barChart>
      <c:catAx>
        <c:axId val="21185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855616"/>
        <c:crosses val="autoZero"/>
        <c:auto val="1"/>
        <c:lblAlgn val="ctr"/>
        <c:lblOffset val="100"/>
        <c:noMultiLvlLbl val="0"/>
      </c:catAx>
      <c:valAx>
        <c:axId val="21185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5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2.4795749698337025E-3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27456"/>
        <c:axId val="200233344"/>
      </c:barChart>
      <c:catAx>
        <c:axId val="200227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233344"/>
        <c:crosses val="autoZero"/>
        <c:auto val="1"/>
        <c:lblAlgn val="ctr"/>
        <c:lblOffset val="100"/>
        <c:noMultiLvlLbl val="0"/>
      </c:catAx>
      <c:valAx>
        <c:axId val="200233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44224"/>
        <c:axId val="200275840"/>
      </c:barChart>
      <c:catAx>
        <c:axId val="2002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275840"/>
        <c:crosses val="autoZero"/>
        <c:auto val="1"/>
        <c:lblAlgn val="ctr"/>
        <c:lblOffset val="100"/>
        <c:noMultiLvlLbl val="0"/>
      </c:catAx>
      <c:valAx>
        <c:axId val="20027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4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0.17606927912134934</c:v>
                </c:pt>
                <c:pt idx="1">
                  <c:v>0.25471942555966032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645376"/>
        <c:axId val="214647168"/>
      </c:barChart>
      <c:catAx>
        <c:axId val="21464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647168"/>
        <c:crosses val="autoZero"/>
        <c:auto val="1"/>
        <c:lblAlgn val="ctr"/>
        <c:lblOffset val="100"/>
        <c:noMultiLvlLbl val="0"/>
      </c:catAx>
      <c:valAx>
        <c:axId val="21464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64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264990914597216E-3"/>
                  <c:y val="-1.650287384962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0.15958148356701018</c:v>
                </c:pt>
                <c:pt idx="1">
                  <c:v>-0.13435207466146748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653952"/>
        <c:axId val="214689664"/>
      </c:barChart>
      <c:catAx>
        <c:axId val="21465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689664"/>
        <c:crosses val="autoZero"/>
        <c:auto val="1"/>
        <c:lblAlgn val="ctr"/>
        <c:lblOffset val="100"/>
        <c:noMultiLvlLbl val="0"/>
      </c:catAx>
      <c:valAx>
        <c:axId val="214689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65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1.7782648057192301E-2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575360"/>
        <c:axId val="214581248"/>
      </c:barChart>
      <c:catAx>
        <c:axId val="21457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581248"/>
        <c:crosses val="autoZero"/>
        <c:auto val="1"/>
        <c:lblAlgn val="ctr"/>
        <c:lblOffset val="100"/>
        <c:noMultiLvlLbl val="0"/>
      </c:catAx>
      <c:valAx>
        <c:axId val="21458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57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2858432426997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-0.21339867873177731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604416"/>
        <c:axId val="214611456"/>
      </c:barChart>
      <c:catAx>
        <c:axId val="21460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611456"/>
        <c:crosses val="autoZero"/>
        <c:auto val="1"/>
        <c:lblAlgn val="ctr"/>
        <c:lblOffset val="100"/>
        <c:noMultiLvlLbl val="0"/>
      </c:catAx>
      <c:valAx>
        <c:axId val="21461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6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0.16104584131177752</c:v>
                </c:pt>
                <c:pt idx="1">
                  <c:v>0.31074895155557325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353600"/>
        <c:axId val="215359488"/>
      </c:barChart>
      <c:catAx>
        <c:axId val="21535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359488"/>
        <c:crosses val="autoZero"/>
        <c:auto val="1"/>
        <c:lblAlgn val="ctr"/>
        <c:lblOffset val="100"/>
        <c:noMultiLvlLbl val="0"/>
      </c:catAx>
      <c:valAx>
        <c:axId val="21535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35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0.3108625602827686</c:v>
                </c:pt>
                <c:pt idx="1">
                  <c:v>0.99735826609833977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370368"/>
        <c:axId val="215385600"/>
      </c:barChart>
      <c:catAx>
        <c:axId val="21537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385600"/>
        <c:crosses val="autoZero"/>
        <c:auto val="1"/>
        <c:lblAlgn val="ctr"/>
        <c:lblOffset val="100"/>
        <c:noMultiLvlLbl val="0"/>
      </c:catAx>
      <c:valAx>
        <c:axId val="21538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3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9.258530183727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-0.12698092228863378</c:v>
                </c:pt>
                <c:pt idx="1">
                  <c:v>-1.9311692519521362E-2</c:v>
                </c:pt>
                <c:pt idx="2">
                  <c:v>-0.65397834397139432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05120"/>
        <c:axId val="182032640"/>
      </c:barChart>
      <c:catAx>
        <c:axId val="18200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032640"/>
        <c:crosses val="autoZero"/>
        <c:auto val="1"/>
        <c:lblAlgn val="ctr"/>
        <c:lblOffset val="100"/>
        <c:noMultiLvlLbl val="0"/>
      </c:catAx>
      <c:valAx>
        <c:axId val="18203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00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2.7151171851386161E-2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143744"/>
        <c:axId val="216145280"/>
      </c:barChart>
      <c:catAx>
        <c:axId val="21614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6145280"/>
        <c:crosses val="autoZero"/>
        <c:auto val="1"/>
        <c:lblAlgn val="ctr"/>
        <c:lblOffset val="100"/>
        <c:noMultiLvlLbl val="0"/>
      </c:catAx>
      <c:valAx>
        <c:axId val="21614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1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5.6658180490051295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160512"/>
        <c:axId val="216188032"/>
      </c:barChart>
      <c:catAx>
        <c:axId val="21616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188032"/>
        <c:crosses val="autoZero"/>
        <c:auto val="1"/>
        <c:lblAlgn val="ctr"/>
        <c:lblOffset val="100"/>
        <c:noMultiLvlLbl val="0"/>
      </c:catAx>
      <c:valAx>
        <c:axId val="21618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1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0.16358878109093392</c:v>
                </c:pt>
                <c:pt idx="1">
                  <c:v>0.39823382317038769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719424"/>
        <c:axId val="205720960"/>
      </c:barChart>
      <c:catAx>
        <c:axId val="20571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720960"/>
        <c:crosses val="autoZero"/>
        <c:auto val="1"/>
        <c:lblAlgn val="ctr"/>
        <c:lblOffset val="100"/>
        <c:noMultiLvlLbl val="0"/>
      </c:catAx>
      <c:valAx>
        <c:axId val="20572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71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16490955390349E-3"/>
                  <c:y val="0.22995916442434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-3.9055957382565065E-2</c:v>
                </c:pt>
                <c:pt idx="1">
                  <c:v>0.24372024460072028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748480"/>
        <c:axId val="205751424"/>
      </c:barChart>
      <c:catAx>
        <c:axId val="20574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751424"/>
        <c:crosses val="autoZero"/>
        <c:auto val="1"/>
        <c:lblAlgn val="ctr"/>
        <c:lblOffset val="100"/>
        <c:noMultiLvlLbl val="0"/>
      </c:catAx>
      <c:valAx>
        <c:axId val="20575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74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0.13032809070555015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245120"/>
        <c:axId val="210246656"/>
      </c:barChart>
      <c:catAx>
        <c:axId val="21024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246656"/>
        <c:crosses val="autoZero"/>
        <c:auto val="1"/>
        <c:lblAlgn val="ctr"/>
        <c:lblOffset val="100"/>
        <c:noMultiLvlLbl val="0"/>
      </c:catAx>
      <c:valAx>
        <c:axId val="21024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2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4.3363259253466682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274176"/>
        <c:axId val="210281216"/>
      </c:barChart>
      <c:catAx>
        <c:axId val="210274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281216"/>
        <c:crosses val="autoZero"/>
        <c:auto val="1"/>
        <c:lblAlgn val="ctr"/>
        <c:lblOffset val="100"/>
        <c:noMultiLvlLbl val="0"/>
      </c:catAx>
      <c:valAx>
        <c:axId val="21028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2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0.15621034520796348</c:v>
                </c:pt>
                <c:pt idx="1">
                  <c:v>0.39008193796464413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466368"/>
        <c:axId val="217467904"/>
      </c:barChart>
      <c:catAx>
        <c:axId val="21746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467904"/>
        <c:crosses val="autoZero"/>
        <c:auto val="1"/>
        <c:lblAlgn val="ctr"/>
        <c:lblOffset val="100"/>
        <c:noMultiLvlLbl val="0"/>
      </c:catAx>
      <c:valAx>
        <c:axId val="21746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46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3.5086316382437754E-2</c:v>
                </c:pt>
                <c:pt idx="1">
                  <c:v>0.35083816594579709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491328"/>
        <c:axId val="217510656"/>
      </c:barChart>
      <c:catAx>
        <c:axId val="21749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510656"/>
        <c:crosses val="autoZero"/>
        <c:auto val="1"/>
        <c:lblAlgn val="ctr"/>
        <c:lblOffset val="100"/>
        <c:noMultiLvlLbl val="0"/>
      </c:catAx>
      <c:valAx>
        <c:axId val="21751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49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6.5243101305780482E-2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744512"/>
        <c:axId val="217746048"/>
      </c:barChart>
      <c:catAx>
        <c:axId val="21774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746048"/>
        <c:crosses val="autoZero"/>
        <c:auto val="1"/>
        <c:lblAlgn val="ctr"/>
        <c:lblOffset val="100"/>
        <c:noMultiLvlLbl val="0"/>
      </c:catAx>
      <c:valAx>
        <c:axId val="21774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74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21.369889231799807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761280"/>
        <c:axId val="218366336"/>
      </c:barChart>
      <c:catAx>
        <c:axId val="21776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366336"/>
        <c:crosses val="autoZero"/>
        <c:auto val="1"/>
        <c:lblAlgn val="ctr"/>
        <c:lblOffset val="100"/>
        <c:noMultiLvlLbl val="0"/>
      </c:catAx>
      <c:valAx>
        <c:axId val="21836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7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0.31686126279965221</c:v>
                </c:pt>
                <c:pt idx="1">
                  <c:v>0.14872515842377063</c:v>
                </c:pt>
                <c:pt idx="2">
                  <c:v>0.22103754796380087</c:v>
                </c:pt>
                <c:pt idx="3">
                  <c:v>0.27106831900597367</c:v>
                </c:pt>
                <c:pt idx="4">
                  <c:v>0</c:v>
                </c:pt>
                <c:pt idx="5">
                  <c:v>0.13326751385856214</c:v>
                </c:pt>
                <c:pt idx="6">
                  <c:v>3.2874393568164437E-3</c:v>
                </c:pt>
                <c:pt idx="7">
                  <c:v>0.38992557370198577</c:v>
                </c:pt>
                <c:pt idx="8">
                  <c:v>0.28244356414171068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258304"/>
        <c:axId val="182260096"/>
      </c:barChart>
      <c:catAx>
        <c:axId val="18225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2260096"/>
        <c:crosses val="autoZero"/>
        <c:auto val="1"/>
        <c:lblAlgn val="ctr"/>
        <c:lblOffset val="100"/>
        <c:noMultiLvlLbl val="0"/>
      </c:catAx>
      <c:valAx>
        <c:axId val="18226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25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925148088314485E-3"/>
                  <c:y val="0.27186264579998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702572517692158E-3"/>
                  <c:y val="-2.7212366089093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66198974724281E-3"/>
                  <c:y val="0.28462697349553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81977111504034E-3"/>
                  <c:y val="0.17442959671534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850296176628969E-3"/>
                  <c:y val="0.13234045951724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67239193648511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-4.6289005540974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899193941629673E-2"/>
                  <c:y val="0.65200553250345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-0.2640849215594937</c:v>
                </c:pt>
                <c:pt idx="1">
                  <c:v>6.0890245880691474E-2</c:v>
                </c:pt>
                <c:pt idx="2">
                  <c:v>-0.24752397634093903</c:v>
                </c:pt>
                <c:pt idx="3">
                  <c:v>-0.1112332407417943</c:v>
                </c:pt>
                <c:pt idx="4">
                  <c:v>0</c:v>
                </c:pt>
                <c:pt idx="5">
                  <c:v>-1.6988034562652743E-3</c:v>
                </c:pt>
                <c:pt idx="6">
                  <c:v>-0.90423388396558602</c:v>
                </c:pt>
                <c:pt idx="7">
                  <c:v>8.5294072064035609E-2</c:v>
                </c:pt>
                <c:pt idx="8">
                  <c:v>-0.71304086104683573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266880"/>
        <c:axId val="182286208"/>
      </c:barChart>
      <c:catAx>
        <c:axId val="18226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2286208"/>
        <c:crosses val="autoZero"/>
        <c:auto val="1"/>
        <c:lblAlgn val="ctr"/>
        <c:lblOffset val="100"/>
        <c:noMultiLvlLbl val="0"/>
      </c:catAx>
      <c:valAx>
        <c:axId val="182286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266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(DDetallCorrent!$J$11,DDetallCorrent!$J$61,DDetallCorrent!$J$65,DDetallCorrent!$J$139)</c:f>
              <c:numCache>
                <c:formatCode>0.0%</c:formatCode>
                <c:ptCount val="4"/>
                <c:pt idx="0">
                  <c:v>0.31686126279965221</c:v>
                </c:pt>
                <c:pt idx="1">
                  <c:v>0.14872515842377068</c:v>
                </c:pt>
                <c:pt idx="2">
                  <c:v>0.22103754796380087</c:v>
                </c:pt>
                <c:pt idx="3">
                  <c:v>0.26864520170842587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881280"/>
        <c:axId val="182887168"/>
      </c:barChart>
      <c:catAx>
        <c:axId val="18288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2887168"/>
        <c:crosses val="autoZero"/>
        <c:auto val="1"/>
        <c:lblAlgn val="ctr"/>
        <c:lblOffset val="100"/>
        <c:noMultiLvlLbl val="0"/>
      </c:catAx>
      <c:valAx>
        <c:axId val="18288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88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5641282379861E-3"/>
                  <c:y val="0.66609977398988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9280784071659891E-3"/>
                  <c:y val="0.60265902631371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7158408702046228E-5"/>
                  <c:y val="0.33473435177171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(DDetallCorrent!$P$11,DDetallCorrent!$P$61,DDetallCorrent!$P$65,DDetallCorrent!$P$139)</c:f>
              <c:numCache>
                <c:formatCode>0.0%</c:formatCode>
                <c:ptCount val="4"/>
                <c:pt idx="0">
                  <c:v>-0.2640849215594937</c:v>
                </c:pt>
                <c:pt idx="1">
                  <c:v>6.0890245880691252E-2</c:v>
                </c:pt>
                <c:pt idx="2">
                  <c:v>-0.24752397634093903</c:v>
                </c:pt>
                <c:pt idx="3">
                  <c:v>-0.1112332407417943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898048"/>
        <c:axId val="182905088"/>
      </c:barChart>
      <c:catAx>
        <c:axId val="18289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905088"/>
        <c:crosses val="autoZero"/>
        <c:auto val="1"/>
        <c:lblAlgn val="ctr"/>
        <c:lblOffset val="100"/>
        <c:noMultiLvlLbl val="0"/>
      </c:catAx>
      <c:valAx>
        <c:axId val="18290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89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0.26062796372072039</c:v>
                </c:pt>
                <c:pt idx="1">
                  <c:v>0.18223001981624404</c:v>
                </c:pt>
                <c:pt idx="2">
                  <c:v>0.27041048449281407</c:v>
                </c:pt>
                <c:pt idx="3">
                  <c:v>0.30494928390391812</c:v>
                </c:pt>
                <c:pt idx="4">
                  <c:v>0.23450900373313538</c:v>
                </c:pt>
                <c:pt idx="5">
                  <c:v>0.22603734417676399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828416"/>
        <c:axId val="183223424"/>
      </c:barChart>
      <c:catAx>
        <c:axId val="18282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3223424"/>
        <c:crosses val="autoZero"/>
        <c:auto val="1"/>
        <c:lblAlgn val="ctr"/>
        <c:lblOffset val="100"/>
        <c:noMultiLvlLbl val="0"/>
      </c:catAx>
      <c:valAx>
        <c:axId val="18322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82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7742144302698724E-3"/>
                  <c:y val="0.65637581186287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930801896979595E-4"/>
                  <c:y val="0.1874405888425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29146197409158E-3"/>
                  <c:y val="-1.171071176401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683829904889757E-3"/>
                  <c:y val="0.272069228784033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980599021060488E-5"/>
                  <c:y val="0.1588743064217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613216454048095E-3"/>
                  <c:y val="0.220858692847004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-0.69342115129047355</c:v>
                </c:pt>
                <c:pt idx="1">
                  <c:v>-0.12807006327234427</c:v>
                </c:pt>
                <c:pt idx="2">
                  <c:v>0.12707242584158185</c:v>
                </c:pt>
                <c:pt idx="3">
                  <c:v>-0.20366314974027999</c:v>
                </c:pt>
                <c:pt idx="4">
                  <c:v>-9.7352946853145106E-2</c:v>
                </c:pt>
                <c:pt idx="5">
                  <c:v>-0.15606613084631149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980032"/>
        <c:axId val="183982720"/>
      </c:barChart>
      <c:catAx>
        <c:axId val="18398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982720"/>
        <c:crosses val="autoZero"/>
        <c:auto val="1"/>
        <c:lblAlgn val="ctr"/>
        <c:lblOffset val="100"/>
        <c:noMultiLvlLbl val="0"/>
      </c:catAx>
      <c:valAx>
        <c:axId val="18398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98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0.21594141936824604</c:v>
                </c:pt>
                <c:pt idx="1">
                  <c:v>0.19663168694372249</c:v>
                </c:pt>
                <c:pt idx="2">
                  <c:v>0.27184439029383628</c:v>
                </c:pt>
                <c:pt idx="3">
                  <c:v>0.30869975068042022</c:v>
                </c:pt>
                <c:pt idx="4">
                  <c:v>0.27742298391489112</c:v>
                </c:pt>
                <c:pt idx="5">
                  <c:v>0.2245408755065012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007680"/>
        <c:axId val="184484608"/>
      </c:barChart>
      <c:catAx>
        <c:axId val="18400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4484608"/>
        <c:crosses val="autoZero"/>
        <c:auto val="1"/>
        <c:lblAlgn val="ctr"/>
        <c:lblOffset val="100"/>
        <c:noMultiLvlLbl val="0"/>
      </c:catAx>
      <c:valAx>
        <c:axId val="18448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00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556353217804650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04523332560227E-3"/>
                  <c:y val="0.40500300559826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-5.856088324159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6818128175794326E-3"/>
                  <c:y val="0.48512922258042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256852679626779E-3"/>
                  <c:y val="0.3530970104471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021143730834486E-3"/>
                  <c:y val="0.43423598054954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-0.22169206651005691</c:v>
                </c:pt>
                <c:pt idx="1">
                  <c:v>-0.15742253123582617</c:v>
                </c:pt>
                <c:pt idx="2">
                  <c:v>0.12707242584158185</c:v>
                </c:pt>
                <c:pt idx="3">
                  <c:v>-0.19395053396618567</c:v>
                </c:pt>
                <c:pt idx="4">
                  <c:v>-0.12805047679215531</c:v>
                </c:pt>
                <c:pt idx="5">
                  <c:v>-0.17347572273945411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495488"/>
        <c:axId val="184502528"/>
      </c:barChart>
      <c:catAx>
        <c:axId val="1844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502528"/>
        <c:crosses val="autoZero"/>
        <c:auto val="1"/>
        <c:lblAlgn val="ctr"/>
        <c:lblOffset val="100"/>
        <c:noMultiLvlLbl val="0"/>
      </c:catAx>
      <c:valAx>
        <c:axId val="18450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4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abril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0.33983987806227806</c:v>
                </c:pt>
                <c:pt idx="1">
                  <c:v>0.32293205532015706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0.7243488383045702</c:v>
                </c:pt>
                <c:pt idx="1">
                  <c:v>7.4469006258991E-2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5.7657201810388447E-3</c:v>
                </c:pt>
                <c:pt idx="1">
                  <c:v>5.4940400069923827E-3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0.32111943933451426</c:v>
                </c:pt>
                <c:pt idx="1">
                  <c:v>0.29519580163245268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125440"/>
        <c:axId val="176126976"/>
      </c:barChart>
      <c:catAx>
        <c:axId val="1761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6126976"/>
        <c:crosses val="autoZero"/>
        <c:auto val="1"/>
        <c:lblAlgn val="ctr"/>
        <c:lblOffset val="100"/>
        <c:noMultiLvlLbl val="0"/>
      </c:catAx>
      <c:valAx>
        <c:axId val="176126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125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0.22344661012130462</c:v>
                </c:pt>
                <c:pt idx="1">
                  <c:v>0.23529452524721634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277824"/>
        <c:axId val="185287808"/>
      </c:barChart>
      <c:catAx>
        <c:axId val="18527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287808"/>
        <c:crosses val="autoZero"/>
        <c:auto val="1"/>
        <c:lblAlgn val="ctr"/>
        <c:lblOffset val="100"/>
        <c:noMultiLvlLbl val="0"/>
      </c:catAx>
      <c:valAx>
        <c:axId val="18528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27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93101663873807E-2"/>
                  <c:y val="0.587741471501017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-0.23616635538581343</c:v>
                </c:pt>
                <c:pt idx="1">
                  <c:v>1.1772545749758834E-2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315328"/>
        <c:axId val="185318016"/>
      </c:barChart>
      <c:catAx>
        <c:axId val="18531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318016"/>
        <c:crosses val="autoZero"/>
        <c:auto val="1"/>
        <c:lblAlgn val="ctr"/>
        <c:lblOffset val="100"/>
        <c:noMultiLvlLbl val="0"/>
      </c:catAx>
      <c:valAx>
        <c:axId val="18531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31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0.23850542971203276</c:v>
                </c:pt>
                <c:pt idx="1">
                  <c:v>0.24422117664055473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05824"/>
        <c:axId val="185807616"/>
      </c:barChart>
      <c:catAx>
        <c:axId val="18580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807616"/>
        <c:crosses val="autoZero"/>
        <c:auto val="1"/>
        <c:lblAlgn val="ctr"/>
        <c:lblOffset val="100"/>
        <c:noMultiLvlLbl val="0"/>
      </c:catAx>
      <c:valAx>
        <c:axId val="18580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0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6418127034288355E-2"/>
                  <c:y val="0.34732422165166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-0.14809531721698632</c:v>
                </c:pt>
                <c:pt idx="1">
                  <c:v>8.5817788584932053E-3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26688"/>
        <c:axId val="185850112"/>
      </c:barChart>
      <c:catAx>
        <c:axId val="18582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850112"/>
        <c:crosses val="autoZero"/>
        <c:auto val="1"/>
        <c:lblAlgn val="ctr"/>
        <c:lblOffset val="100"/>
        <c:noMultiLvlLbl val="0"/>
      </c:catAx>
      <c:valAx>
        <c:axId val="185850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2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0.14341358612376312</c:v>
                </c:pt>
                <c:pt idx="1">
                  <c:v>0.2632926270079598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789440"/>
        <c:axId val="165692160"/>
      </c:barChart>
      <c:catAx>
        <c:axId val="18578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5692160"/>
        <c:crosses val="autoZero"/>
        <c:auto val="1"/>
        <c:lblAlgn val="ctr"/>
        <c:lblOffset val="100"/>
        <c:noMultiLvlLbl val="0"/>
      </c:catAx>
      <c:valAx>
        <c:axId val="16569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78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1199270405836752E-3"/>
                  <c:y val="0.453074433656957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5.4242380614814456E-2</c:v>
                </c:pt>
                <c:pt idx="1">
                  <c:v>-0.13292515608298705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5707136"/>
        <c:axId val="165714176"/>
      </c:barChart>
      <c:catAx>
        <c:axId val="16570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5714176"/>
        <c:crosses val="autoZero"/>
        <c:auto val="1"/>
        <c:lblAlgn val="ctr"/>
        <c:lblOffset val="100"/>
        <c:noMultiLvlLbl val="0"/>
      </c:catAx>
      <c:valAx>
        <c:axId val="16571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70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0.13706662201294642</c:v>
                </c:pt>
                <c:pt idx="1">
                  <c:v>3.310374411669269E-3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752192"/>
        <c:axId val="185766272"/>
      </c:barChart>
      <c:catAx>
        <c:axId val="18575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766272"/>
        <c:crosses val="autoZero"/>
        <c:auto val="1"/>
        <c:lblAlgn val="ctr"/>
        <c:lblOffset val="100"/>
        <c:noMultiLvlLbl val="0"/>
      </c:catAx>
      <c:valAx>
        <c:axId val="18576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75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399756801945585E-3"/>
                  <c:y val="-0.1250697436405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-6.5735457521021168E-3</c:v>
                </c:pt>
                <c:pt idx="1">
                  <c:v>-0.90423388396558602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05504"/>
        <c:axId val="189220736"/>
      </c:barChart>
      <c:catAx>
        <c:axId val="18920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220736"/>
        <c:crosses val="autoZero"/>
        <c:auto val="1"/>
        <c:lblAlgn val="ctr"/>
        <c:lblOffset val="100"/>
        <c:noMultiLvlLbl val="0"/>
      </c:catAx>
      <c:valAx>
        <c:axId val="189220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0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0.10267979623040283</c:v>
                </c:pt>
                <c:pt idx="1">
                  <c:v>0.25774449022166029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541376"/>
        <c:axId val="189551360"/>
      </c:barChart>
      <c:catAx>
        <c:axId val="18954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551360"/>
        <c:crosses val="autoZero"/>
        <c:auto val="1"/>
        <c:lblAlgn val="ctr"/>
        <c:lblOffset val="100"/>
        <c:noMultiLvlLbl val="0"/>
      </c:catAx>
      <c:valAx>
        <c:axId val="18955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54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6557305336832897E-3"/>
                  <c:y val="-1.8428477690288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-0.38631782971556217</c:v>
                </c:pt>
                <c:pt idx="1">
                  <c:v>-0.11227371464760183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558144"/>
        <c:axId val="189581568"/>
      </c:barChart>
      <c:catAx>
        <c:axId val="18955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581568"/>
        <c:crosses val="autoZero"/>
        <c:auto val="1"/>
        <c:lblAlgn val="ctr"/>
        <c:lblOffset val="100"/>
        <c:noMultiLvlLbl val="0"/>
      </c:catAx>
      <c:valAx>
        <c:axId val="18958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5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0.36550991412701145</c:v>
                </c:pt>
                <c:pt idx="1">
                  <c:v>0.3610306128646068</c:v>
                </c:pt>
                <c:pt idx="2">
                  <c:v>0.19618756029305728</c:v>
                </c:pt>
                <c:pt idx="3">
                  <c:v>0.31634353172471297</c:v>
                </c:pt>
                <c:pt idx="4">
                  <c:v>0.22909717887997538</c:v>
                </c:pt>
                <c:pt idx="5">
                  <c:v>0.12400333166476558</c:v>
                </c:pt>
                <c:pt idx="6">
                  <c:v>6.2051569360387866E-2</c:v>
                </c:pt>
                <c:pt idx="7">
                  <c:v>0</c:v>
                </c:pt>
                <c:pt idx="8">
                  <c:v>5.6274985581730415E-3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846144"/>
        <c:axId val="179861376"/>
      </c:barChart>
      <c:catAx>
        <c:axId val="1798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861376"/>
        <c:crosses val="autoZero"/>
        <c:auto val="1"/>
        <c:lblAlgn val="ctr"/>
        <c:lblOffset val="100"/>
        <c:noMultiLvlLbl val="0"/>
      </c:catAx>
      <c:valAx>
        <c:axId val="17986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84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1.77247440587553E-2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610624"/>
        <c:axId val="189612416"/>
      </c:barChart>
      <c:catAx>
        <c:axId val="18961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612416"/>
        <c:crosses val="autoZero"/>
        <c:auto val="1"/>
        <c:lblAlgn val="ctr"/>
        <c:lblOffset val="100"/>
        <c:noMultiLvlLbl val="0"/>
      </c:catAx>
      <c:valAx>
        <c:axId val="18961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61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0938891137191417E-3"/>
                  <c:y val="0.2012072434607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-0.49162571422904333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631488"/>
        <c:axId val="189650816"/>
      </c:barChart>
      <c:catAx>
        <c:axId val="18963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650816"/>
        <c:crosses val="autoZero"/>
        <c:auto val="1"/>
        <c:lblAlgn val="ctr"/>
        <c:lblOffset val="100"/>
        <c:noMultiLvlLbl val="0"/>
      </c:catAx>
      <c:valAx>
        <c:axId val="18965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63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0.16166057947154649</c:v>
                </c:pt>
                <c:pt idx="1">
                  <c:v>0.36006987569473264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54336"/>
        <c:axId val="192946944"/>
      </c:barChart>
      <c:catAx>
        <c:axId val="192654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946944"/>
        <c:crosses val="autoZero"/>
        <c:auto val="1"/>
        <c:lblAlgn val="ctr"/>
        <c:lblOffset val="100"/>
        <c:noMultiLvlLbl val="0"/>
      </c:catAx>
      <c:valAx>
        <c:axId val="19294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-8.9267527858619133E-2</c:v>
                </c:pt>
                <c:pt idx="1">
                  <c:v>2.5524089797195337E-3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957824"/>
        <c:axId val="192985344"/>
      </c:barChart>
      <c:catAx>
        <c:axId val="19295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985344"/>
        <c:crosses val="autoZero"/>
        <c:auto val="1"/>
        <c:lblAlgn val="ctr"/>
        <c:lblOffset val="100"/>
        <c:noMultiLvlLbl val="0"/>
      </c:catAx>
      <c:valAx>
        <c:axId val="19298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9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206912"/>
        <c:axId val="193220992"/>
      </c:barChart>
      <c:catAx>
        <c:axId val="19320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3220992"/>
        <c:crosses val="autoZero"/>
        <c:auto val="1"/>
        <c:lblAlgn val="ctr"/>
        <c:lblOffset val="100"/>
        <c:noMultiLvlLbl val="0"/>
      </c:catAx>
      <c:valAx>
        <c:axId val="19322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2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231872"/>
        <c:axId val="193243008"/>
      </c:barChart>
      <c:catAx>
        <c:axId val="19323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3243008"/>
        <c:crosses val="autoZero"/>
        <c:auto val="1"/>
        <c:lblAlgn val="ctr"/>
        <c:lblOffset val="100"/>
        <c:noMultiLvlLbl val="0"/>
      </c:catAx>
      <c:valAx>
        <c:axId val="19324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231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0.12830183814282964</c:v>
                </c:pt>
                <c:pt idx="1">
                  <c:v>0.20193593191448739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552640"/>
        <c:axId val="183558528"/>
      </c:barChart>
      <c:catAx>
        <c:axId val="18355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558528"/>
        <c:crosses val="autoZero"/>
        <c:auto val="1"/>
        <c:lblAlgn val="ctr"/>
        <c:lblOffset val="100"/>
        <c:noMultiLvlLbl val="0"/>
      </c:catAx>
      <c:valAx>
        <c:axId val="18355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5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746752"/>
        <c:axId val="184748288"/>
      </c:barChart>
      <c:catAx>
        <c:axId val="18474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748288"/>
        <c:crosses val="autoZero"/>
        <c:auto val="1"/>
        <c:lblAlgn val="ctr"/>
        <c:lblOffset val="100"/>
        <c:noMultiLvlLbl val="0"/>
      </c:catAx>
      <c:valAx>
        <c:axId val="18474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74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256064"/>
        <c:axId val="194511232"/>
      </c:barChart>
      <c:catAx>
        <c:axId val="19325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4511232"/>
        <c:crosses val="autoZero"/>
        <c:auto val="1"/>
        <c:lblAlgn val="ctr"/>
        <c:lblOffset val="100"/>
        <c:noMultiLvlLbl val="0"/>
      </c:catAx>
      <c:valAx>
        <c:axId val="194511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2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556672"/>
        <c:axId val="194558208"/>
      </c:barChart>
      <c:catAx>
        <c:axId val="19455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4558208"/>
        <c:crosses val="autoZero"/>
        <c:auto val="1"/>
        <c:lblAlgn val="ctr"/>
        <c:lblOffset val="100"/>
        <c:noMultiLvlLbl val="0"/>
      </c:catAx>
      <c:valAx>
        <c:axId val="19455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556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61562637288365E-2"/>
                  <c:y val="0.13942215223097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6631671041631E-3"/>
                  <c:y val="-7.382257217847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91019792053363E-3"/>
                  <c:y val="-7.924409448818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13298337707787E-3"/>
                  <c:y val="0.19200083989501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409448818894E-3"/>
                  <c:y val="0.19200083989501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3.6715103177245911E-2</c:v>
                </c:pt>
                <c:pt idx="1">
                  <c:v>3.5405375583768661E-2</c:v>
                </c:pt>
                <c:pt idx="2">
                  <c:v>-0.19430299274255525</c:v>
                </c:pt>
                <c:pt idx="3">
                  <c:v>2.3567185553761139E-2</c:v>
                </c:pt>
                <c:pt idx="4">
                  <c:v>9.4750342832515377E-2</c:v>
                </c:pt>
                <c:pt idx="5">
                  <c:v>4.6838377928680037</c:v>
                </c:pt>
                <c:pt idx="6">
                  <c:v>-0.92762395881765203</c:v>
                </c:pt>
                <c:pt idx="7">
                  <c:v>-1</c:v>
                </c:pt>
                <c:pt idx="8">
                  <c:v>0.29996757841656962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55840"/>
        <c:axId val="180358528"/>
      </c:barChart>
      <c:catAx>
        <c:axId val="1803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358528"/>
        <c:crosses val="autoZero"/>
        <c:auto val="1"/>
        <c:lblAlgn val="ctr"/>
        <c:lblOffset val="100"/>
        <c:noMultiLvlLbl val="0"/>
      </c:catAx>
      <c:valAx>
        <c:axId val="18035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35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0.13308418174291611</c:v>
                </c:pt>
                <c:pt idx="1">
                  <c:v>1.9830397133507094E-2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44256"/>
        <c:axId val="193770624"/>
      </c:barChart>
      <c:catAx>
        <c:axId val="19374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770624"/>
        <c:crosses val="autoZero"/>
        <c:auto val="1"/>
        <c:lblAlgn val="ctr"/>
        <c:lblOffset val="100"/>
        <c:noMultiLvlLbl val="0"/>
      </c:catAx>
      <c:valAx>
        <c:axId val="193770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4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581039755351682E-3"/>
                  <c:y val="-1.466582677165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3.8458088106109622E-2</c:v>
                </c:pt>
                <c:pt idx="1">
                  <c:v>2.264654871339062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98144"/>
        <c:axId val="193800832"/>
      </c:barChart>
      <c:catAx>
        <c:axId val="19379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800832"/>
        <c:crosses val="autoZero"/>
        <c:auto val="1"/>
        <c:lblAlgn val="ctr"/>
        <c:lblOffset val="100"/>
        <c:noMultiLvlLbl val="0"/>
      </c:catAx>
      <c:valAx>
        <c:axId val="19380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9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1.1741399093029795E-2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829888"/>
        <c:axId val="193839872"/>
      </c:barChart>
      <c:catAx>
        <c:axId val="19382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839872"/>
        <c:crosses val="autoZero"/>
        <c:auto val="1"/>
        <c:lblAlgn val="ctr"/>
        <c:lblOffset val="100"/>
        <c:noMultiLvlLbl val="0"/>
      </c:catAx>
      <c:valAx>
        <c:axId val="193839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82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846656"/>
        <c:axId val="193865984"/>
      </c:barChart>
      <c:catAx>
        <c:axId val="19384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865984"/>
        <c:crosses val="autoZero"/>
        <c:auto val="1"/>
        <c:lblAlgn val="ctr"/>
        <c:lblOffset val="100"/>
        <c:noMultiLvlLbl val="0"/>
      </c:catAx>
      <c:valAx>
        <c:axId val="193865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8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0.13039735863722035</c:v>
                </c:pt>
                <c:pt idx="1">
                  <c:v>0.237618281293035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919232"/>
        <c:axId val="195925120"/>
      </c:barChart>
      <c:catAx>
        <c:axId val="19591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925120"/>
        <c:crosses val="autoZero"/>
        <c:auto val="1"/>
        <c:lblAlgn val="ctr"/>
        <c:lblOffset val="100"/>
        <c:noMultiLvlLbl val="0"/>
      </c:catAx>
      <c:valAx>
        <c:axId val="19592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9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732107016034761E-2"/>
                  <c:y val="-9.4054861534777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0.23263085617715595</c:v>
                </c:pt>
                <c:pt idx="1">
                  <c:v>7.437378353842572E-2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81024"/>
        <c:axId val="196483712"/>
      </c:barChart>
      <c:catAx>
        <c:axId val="19648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483712"/>
        <c:crosses val="autoZero"/>
        <c:auto val="1"/>
        <c:lblAlgn val="ctr"/>
        <c:lblOffset val="100"/>
        <c:noMultiLvlLbl val="0"/>
      </c:catAx>
      <c:valAx>
        <c:axId val="19648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6.6608834955794879E-4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12768"/>
        <c:axId val="196514560"/>
      </c:barChart>
      <c:catAx>
        <c:axId val="19651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514560"/>
        <c:crosses val="autoZero"/>
        <c:auto val="1"/>
        <c:lblAlgn val="ctr"/>
        <c:lblOffset val="100"/>
        <c:noMultiLvlLbl val="0"/>
      </c:catAx>
      <c:valAx>
        <c:axId val="196514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1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1082220660576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-0.9954357506726802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24832"/>
        <c:axId val="196533632"/>
      </c:barChart>
      <c:catAx>
        <c:axId val="19642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533632"/>
        <c:crosses val="autoZero"/>
        <c:auto val="1"/>
        <c:lblAlgn val="ctr"/>
        <c:lblOffset val="100"/>
        <c:noMultiLvlLbl val="0"/>
      </c:catAx>
      <c:valAx>
        <c:axId val="19653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0.13706302552345054</c:v>
                </c:pt>
                <c:pt idx="1">
                  <c:v>0.2353558748971345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09824"/>
        <c:axId val="184911360"/>
      </c:barChart>
      <c:catAx>
        <c:axId val="18490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911360"/>
        <c:crosses val="autoZero"/>
        <c:auto val="1"/>
        <c:lblAlgn val="ctr"/>
        <c:lblOffset val="100"/>
        <c:noMultiLvlLbl val="0"/>
      </c:catAx>
      <c:valAx>
        <c:axId val="1849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645E-3"/>
                  <c:y val="-9.782342871117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-7.9609336869526093E-3</c:v>
                </c:pt>
                <c:pt idx="1">
                  <c:v>-0.22788345394029663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51168"/>
        <c:axId val="184953856"/>
      </c:barChart>
      <c:catAx>
        <c:axId val="184951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953856"/>
        <c:crosses val="autoZero"/>
        <c:auto val="1"/>
        <c:lblAlgn val="ctr"/>
        <c:lblOffset val="100"/>
        <c:noMultiLvlLbl val="0"/>
      </c:catAx>
      <c:valAx>
        <c:axId val="184953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5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0.32293205532015706</c:v>
                </c:pt>
                <c:pt idx="1">
                  <c:v>7.4469006258991E-2</c:v>
                </c:pt>
                <c:pt idx="2">
                  <c:v>5.4940400069923827E-3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408320"/>
        <c:axId val="180409856"/>
      </c:barChart>
      <c:catAx>
        <c:axId val="18040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409856"/>
        <c:crosses val="autoZero"/>
        <c:auto val="1"/>
        <c:lblAlgn val="ctr"/>
        <c:lblOffset val="100"/>
        <c:noMultiLvlLbl val="0"/>
      </c:catAx>
      <c:valAx>
        <c:axId val="18040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40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82912"/>
        <c:axId val="184988800"/>
      </c:barChart>
      <c:catAx>
        <c:axId val="184982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988800"/>
        <c:crosses val="autoZero"/>
        <c:auto val="1"/>
        <c:lblAlgn val="ctr"/>
        <c:lblOffset val="100"/>
        <c:noMultiLvlLbl val="0"/>
      </c:catAx>
      <c:valAx>
        <c:axId val="18498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005568"/>
        <c:axId val="185007104"/>
      </c:barChart>
      <c:catAx>
        <c:axId val="18500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5007104"/>
        <c:crosses val="autoZero"/>
        <c:auto val="1"/>
        <c:lblAlgn val="ctr"/>
        <c:lblOffset val="100"/>
        <c:noMultiLvlLbl val="0"/>
      </c:catAx>
      <c:valAx>
        <c:axId val="18500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005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0.13664963376325626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24224"/>
        <c:axId val="198325760"/>
      </c:barChart>
      <c:catAx>
        <c:axId val="19832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325760"/>
        <c:crosses val="autoZero"/>
        <c:auto val="1"/>
        <c:lblAlgn val="ctr"/>
        <c:lblOffset val="100"/>
        <c:noMultiLvlLbl val="0"/>
      </c:catAx>
      <c:valAx>
        <c:axId val="19832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2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0.2806118458113469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45088"/>
        <c:axId val="198347776"/>
      </c:barChart>
      <c:catAx>
        <c:axId val="19834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347776"/>
        <c:crosses val="autoZero"/>
        <c:auto val="1"/>
        <c:lblAlgn val="ctr"/>
        <c:lblOffset val="100"/>
        <c:noMultiLvlLbl val="0"/>
      </c:catAx>
      <c:valAx>
        <c:axId val="1983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4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76832"/>
        <c:axId val="198251648"/>
      </c:barChart>
      <c:catAx>
        <c:axId val="19837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251648"/>
        <c:crosses val="autoZero"/>
        <c:auto val="1"/>
        <c:lblAlgn val="ctr"/>
        <c:lblOffset val="100"/>
        <c:noMultiLvlLbl val="0"/>
      </c:catAx>
      <c:valAx>
        <c:axId val="1982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7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64320"/>
        <c:axId val="198265856"/>
      </c:barChart>
      <c:catAx>
        <c:axId val="19826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265856"/>
        <c:crosses val="autoZero"/>
        <c:auto val="1"/>
        <c:lblAlgn val="ctr"/>
        <c:lblOffset val="100"/>
        <c:noMultiLvlLbl val="0"/>
      </c:catAx>
      <c:valAx>
        <c:axId val="19826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6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0.14513343227815328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966656"/>
        <c:axId val="197002368"/>
      </c:barChart>
      <c:catAx>
        <c:axId val="19696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002368"/>
        <c:crosses val="autoZero"/>
        <c:auto val="1"/>
        <c:lblAlgn val="ctr"/>
        <c:lblOffset val="100"/>
        <c:noMultiLvlLbl val="0"/>
      </c:catAx>
      <c:valAx>
        <c:axId val="19700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96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0.74167921524068081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029888"/>
        <c:axId val="197032576"/>
      </c:barChart>
      <c:catAx>
        <c:axId val="19702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032576"/>
        <c:crosses val="autoZero"/>
        <c:auto val="1"/>
        <c:lblAlgn val="ctr"/>
        <c:lblOffset val="100"/>
        <c:noMultiLvlLbl val="0"/>
      </c:catAx>
      <c:valAx>
        <c:axId val="19703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02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5.6013860302444639E-3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049344"/>
        <c:axId val="197059328"/>
      </c:barChart>
      <c:catAx>
        <c:axId val="19704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059328"/>
        <c:crosses val="autoZero"/>
        <c:auto val="1"/>
        <c:lblAlgn val="ctr"/>
        <c:lblOffset val="100"/>
        <c:noMultiLvlLbl val="0"/>
      </c:catAx>
      <c:valAx>
        <c:axId val="197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04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113037893384713E-3"/>
                  <c:y val="0.22017409114183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-0.92979282339719704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070208"/>
        <c:axId val="197097728"/>
      </c:barChart>
      <c:catAx>
        <c:axId val="197070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097728"/>
        <c:crosses val="autoZero"/>
        <c:auto val="1"/>
        <c:lblAlgn val="ctr"/>
        <c:lblOffset val="100"/>
        <c:noMultiLvlLbl val="0"/>
      </c:catAx>
      <c:valAx>
        <c:axId val="19709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07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293267360376E-3"/>
                  <c:y val="-2.61057433323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385706223047798E-2"/>
                  <c:y val="0.5337222585168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1.2111957679072693E-2</c:v>
                </c:pt>
                <c:pt idx="1">
                  <c:v>-0.89205477992164606</c:v>
                </c:pt>
                <c:pt idx="2">
                  <c:v>0.2315604962838127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02592"/>
        <c:axId val="180305280"/>
      </c:barChart>
      <c:catAx>
        <c:axId val="18030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305280"/>
        <c:crosses val="autoZero"/>
        <c:auto val="1"/>
        <c:lblAlgn val="ctr"/>
        <c:lblOffset val="100"/>
        <c:noMultiLvlLbl val="0"/>
      </c:catAx>
      <c:valAx>
        <c:axId val="1803052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8030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0.26015566508193194</c:v>
                </c:pt>
                <c:pt idx="1">
                  <c:v>0.19552018330321549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14592"/>
        <c:axId val="184820480"/>
      </c:barChart>
      <c:catAx>
        <c:axId val="18481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820480"/>
        <c:crosses val="autoZero"/>
        <c:auto val="1"/>
        <c:lblAlgn val="ctr"/>
        <c:lblOffset val="100"/>
        <c:noMultiLvlLbl val="0"/>
      </c:catAx>
      <c:valAx>
        <c:axId val="184820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-3.4062783314743772E-2</c:v>
                </c:pt>
                <c:pt idx="1">
                  <c:v>-0.10321062911362333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27264"/>
        <c:axId val="184842496"/>
      </c:barChart>
      <c:catAx>
        <c:axId val="18482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842496"/>
        <c:crosses val="autoZero"/>
        <c:auto val="1"/>
        <c:lblAlgn val="ctr"/>
        <c:lblOffset val="100"/>
        <c:noMultiLvlLbl val="0"/>
      </c:catAx>
      <c:valAx>
        <c:axId val="18484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2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0.26064444338627257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04576"/>
        <c:axId val="199172480"/>
      </c:barChart>
      <c:catAx>
        <c:axId val="20010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172480"/>
        <c:crosses val="autoZero"/>
        <c:auto val="1"/>
        <c:lblAlgn val="ctr"/>
        <c:lblOffset val="100"/>
        <c:noMultiLvlLbl val="0"/>
      </c:catAx>
      <c:valAx>
        <c:axId val="1991724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01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193344"/>
        <c:axId val="199194880"/>
      </c:barChart>
      <c:catAx>
        <c:axId val="19919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9194880"/>
        <c:crosses val="autoZero"/>
        <c:auto val="1"/>
        <c:lblAlgn val="ctr"/>
        <c:lblOffset val="100"/>
        <c:noMultiLvlLbl val="0"/>
      </c:catAx>
      <c:valAx>
        <c:axId val="19919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193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5.4745807081632313E-2</c:v>
                </c:pt>
                <c:pt idx="1">
                  <c:v>0.16856414961940069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76736"/>
        <c:axId val="201478528"/>
      </c:barChart>
      <c:catAx>
        <c:axId val="20147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478528"/>
        <c:crosses val="autoZero"/>
        <c:auto val="1"/>
        <c:lblAlgn val="ctr"/>
        <c:lblOffset val="100"/>
        <c:noMultiLvlLbl val="0"/>
      </c:catAx>
      <c:valAx>
        <c:axId val="20147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7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3.698771830736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05128205128205E-3"/>
                  <c:y val="0.1455450098077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15.29381299687811</c:v>
                </c:pt>
                <c:pt idx="1">
                  <c:v>-0.45890704711138885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396992"/>
        <c:axId val="201398144"/>
      </c:barChart>
      <c:catAx>
        <c:axId val="20139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398144"/>
        <c:crosses val="autoZero"/>
        <c:auto val="1"/>
        <c:lblAlgn val="ctr"/>
        <c:lblOffset val="100"/>
        <c:noMultiLvlLbl val="0"/>
      </c:catAx>
      <c:valAx>
        <c:axId val="20139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39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14912"/>
        <c:axId val="201428992"/>
      </c:barChart>
      <c:catAx>
        <c:axId val="20141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428992"/>
        <c:crosses val="autoZero"/>
        <c:auto val="1"/>
        <c:lblAlgn val="ctr"/>
        <c:lblOffset val="100"/>
        <c:noMultiLvlLbl val="0"/>
      </c:catAx>
      <c:valAx>
        <c:axId val="20142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1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846153846153848E-2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43968"/>
        <c:axId val="201451008"/>
      </c:barChart>
      <c:catAx>
        <c:axId val="201443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451008"/>
        <c:crosses val="autoZero"/>
        <c:auto val="1"/>
        <c:lblAlgn val="ctr"/>
        <c:lblOffset val="100"/>
        <c:noMultiLvlLbl val="0"/>
      </c:catAx>
      <c:valAx>
        <c:axId val="20145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4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0.12922770871068665</c:v>
                </c:pt>
                <c:pt idx="1">
                  <c:v>0.27884667584626094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29408"/>
        <c:axId val="202535296"/>
      </c:barChart>
      <c:catAx>
        <c:axId val="20252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535296"/>
        <c:crosses val="autoZero"/>
        <c:auto val="1"/>
        <c:lblAlgn val="ctr"/>
        <c:lblOffset val="100"/>
        <c:noMultiLvlLbl val="0"/>
      </c:catAx>
      <c:valAx>
        <c:axId val="202535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2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-0.12291242184700557</c:v>
                </c:pt>
                <c:pt idx="1">
                  <c:v>-0.17289236849735656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60256"/>
        <c:axId val="202561792"/>
      </c:barChart>
      <c:catAx>
        <c:axId val="202560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561792"/>
        <c:crosses val="autoZero"/>
        <c:auto val="1"/>
        <c:lblAlgn val="ctr"/>
        <c:lblOffset val="100"/>
        <c:noMultiLvlLbl val="0"/>
      </c:catAx>
      <c:valAx>
        <c:axId val="20256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6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0.3681485789445002</c:v>
                </c:pt>
                <c:pt idx="1">
                  <c:v>0.32260676562846491</c:v>
                </c:pt>
                <c:pt idx="2">
                  <c:v>0.19618756029305726</c:v>
                </c:pt>
                <c:pt idx="3">
                  <c:v>0.24524082652586204</c:v>
                </c:pt>
                <c:pt idx="4">
                  <c:v>0.22909717887997544</c:v>
                </c:pt>
                <c:pt idx="5">
                  <c:v>0.32293205930945063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33248"/>
        <c:axId val="179734784"/>
      </c:barChart>
      <c:catAx>
        <c:axId val="17973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734784"/>
        <c:crosses val="autoZero"/>
        <c:auto val="1"/>
        <c:lblAlgn val="ctr"/>
        <c:lblOffset val="100"/>
        <c:noMultiLvlLbl val="0"/>
      </c:catAx>
      <c:valAx>
        <c:axId val="17973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0.14996132305897336</c:v>
                </c:pt>
                <c:pt idx="1">
                  <c:v>3.3773095864012624E-3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76160"/>
        <c:axId val="202477952"/>
      </c:barChart>
      <c:catAx>
        <c:axId val="20247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477952"/>
        <c:crosses val="autoZero"/>
        <c:auto val="1"/>
        <c:lblAlgn val="ctr"/>
        <c:lblOffset val="100"/>
        <c:noMultiLvlLbl val="0"/>
      </c:catAx>
      <c:valAx>
        <c:axId val="20247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1.9599801660851845E-2</c:v>
                </c:pt>
                <c:pt idx="1">
                  <c:v>0.79626085514365008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02912"/>
        <c:axId val="202504448"/>
      </c:barChart>
      <c:catAx>
        <c:axId val="20250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504448"/>
        <c:crosses val="autoZero"/>
        <c:auto val="1"/>
        <c:lblAlgn val="ctr"/>
        <c:lblOffset val="100"/>
        <c:noMultiLvlLbl val="0"/>
      </c:catAx>
      <c:valAx>
        <c:axId val="2025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0.14440001673915226</c:v>
                </c:pt>
                <c:pt idx="1">
                  <c:v>0.16456544251253497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855680"/>
        <c:axId val="194857216"/>
      </c:barChart>
      <c:catAx>
        <c:axId val="19485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857216"/>
        <c:crosses val="autoZero"/>
        <c:auto val="1"/>
        <c:lblAlgn val="ctr"/>
        <c:lblOffset val="100"/>
        <c:noMultiLvlLbl val="0"/>
      </c:catAx>
      <c:valAx>
        <c:axId val="19485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85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520882584712374E-3"/>
                  <c:y val="0.22298456260720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2.6658400036008425</c:v>
                </c:pt>
                <c:pt idx="1">
                  <c:v>-0.89633363882425998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024000"/>
        <c:axId val="198307840"/>
      </c:barChart>
      <c:catAx>
        <c:axId val="19502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307840"/>
        <c:crosses val="autoZero"/>
        <c:auto val="1"/>
        <c:lblAlgn val="ctr"/>
        <c:lblOffset val="100"/>
        <c:noMultiLvlLbl val="0"/>
      </c:catAx>
      <c:valAx>
        <c:axId val="19830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02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372608"/>
        <c:axId val="200374144"/>
      </c:barChart>
      <c:catAx>
        <c:axId val="20037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374144"/>
        <c:crosses val="autoZero"/>
        <c:auto val="1"/>
        <c:lblAlgn val="ctr"/>
        <c:lblOffset val="100"/>
        <c:noMultiLvlLbl val="0"/>
      </c:catAx>
      <c:valAx>
        <c:axId val="20037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37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401664"/>
        <c:axId val="200404352"/>
      </c:barChart>
      <c:catAx>
        <c:axId val="20040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404352"/>
        <c:crosses val="autoZero"/>
        <c:auto val="1"/>
        <c:lblAlgn val="ctr"/>
        <c:lblOffset val="100"/>
        <c:noMultiLvlLbl val="0"/>
      </c:catAx>
      <c:valAx>
        <c:axId val="200404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40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0.16333421246333982</c:v>
                </c:pt>
                <c:pt idx="1">
                  <c:v>0.34164050190412487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412224"/>
        <c:axId val="203413760"/>
      </c:barChart>
      <c:catAx>
        <c:axId val="20341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413760"/>
        <c:crosses val="autoZero"/>
        <c:auto val="1"/>
        <c:lblAlgn val="ctr"/>
        <c:lblOffset val="100"/>
        <c:noMultiLvlLbl val="0"/>
      </c:catAx>
      <c:valAx>
        <c:axId val="20341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4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7.7295720666998635E-2</c:v>
                </c:pt>
                <c:pt idx="1">
                  <c:v>7.7275738391290982E-2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936320"/>
        <c:axId val="204976128"/>
      </c:barChart>
      <c:catAx>
        <c:axId val="20493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976128"/>
        <c:crosses val="autoZero"/>
        <c:auto val="1"/>
        <c:lblAlgn val="ctr"/>
        <c:lblOffset val="100"/>
        <c:noMultiLvlLbl val="0"/>
      </c:catAx>
      <c:valAx>
        <c:axId val="20497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9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3.0460337901362454E-2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259136"/>
        <c:axId val="205260672"/>
      </c:barChart>
      <c:catAx>
        <c:axId val="20525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260672"/>
        <c:crosses val="autoZero"/>
        <c:auto val="1"/>
        <c:lblAlgn val="ctr"/>
        <c:lblOffset val="100"/>
        <c:noMultiLvlLbl val="0"/>
      </c:catAx>
      <c:valAx>
        <c:axId val="205260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25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2549019607842E-3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1.4803938275905648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284096"/>
        <c:axId val="205286784"/>
      </c:barChart>
      <c:catAx>
        <c:axId val="20528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286784"/>
        <c:crosses val="autoZero"/>
        <c:auto val="1"/>
        <c:lblAlgn val="ctr"/>
        <c:lblOffset val="100"/>
        <c:noMultiLvlLbl val="0"/>
      </c:catAx>
      <c:valAx>
        <c:axId val="20528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28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4182194690643E-3"/>
                  <c:y val="-2.56702388735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29990879472646E-3"/>
                  <c:y val="0.28544908420743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8376925658804E-3"/>
                  <c:y val="-2.406625164634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3.9712787212583089E-2</c:v>
                </c:pt>
                <c:pt idx="1">
                  <c:v>0</c:v>
                </c:pt>
                <c:pt idx="2">
                  <c:v>-0.19430299274255525</c:v>
                </c:pt>
                <c:pt idx="3">
                  <c:v>0.73814192157135361</c:v>
                </c:pt>
                <c:pt idx="4">
                  <c:v>9.4750342832515377E-2</c:v>
                </c:pt>
                <c:pt idx="5">
                  <c:v>1.2111970182048459E-2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69728"/>
        <c:axId val="179772800"/>
      </c:barChart>
      <c:catAx>
        <c:axId val="17976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772800"/>
        <c:crosses val="autoZero"/>
        <c:auto val="1"/>
        <c:lblAlgn val="ctr"/>
        <c:lblOffset val="100"/>
        <c:noMultiLvlLbl val="0"/>
      </c:catAx>
      <c:valAx>
        <c:axId val="17977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6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0.17000648491245499</c:v>
                </c:pt>
                <c:pt idx="1">
                  <c:v>0.46580643044880721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530048"/>
        <c:axId val="204531584"/>
      </c:barChart>
      <c:catAx>
        <c:axId val="20453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531584"/>
        <c:crosses val="autoZero"/>
        <c:auto val="1"/>
        <c:lblAlgn val="ctr"/>
        <c:lblOffset val="100"/>
        <c:noMultiLvlLbl val="0"/>
      </c:catAx>
      <c:valAx>
        <c:axId val="204531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5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036623215394167E-3"/>
                  <c:y val="0.36943744752308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0.14379420664531417</c:v>
                </c:pt>
                <c:pt idx="1">
                  <c:v>-0.14477311388787795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171776"/>
        <c:axId val="208174464"/>
      </c:barChart>
      <c:catAx>
        <c:axId val="20817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174464"/>
        <c:crosses val="autoZero"/>
        <c:auto val="1"/>
        <c:lblAlgn val="ctr"/>
        <c:lblOffset val="100"/>
        <c:noMultiLvlLbl val="0"/>
      </c:catAx>
      <c:valAx>
        <c:axId val="20817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1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1.1903563233069475E-3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199680"/>
        <c:axId val="208201216"/>
      </c:barChart>
      <c:catAx>
        <c:axId val="20819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201216"/>
        <c:crosses val="autoZero"/>
        <c:auto val="1"/>
        <c:lblAlgn val="ctr"/>
        <c:lblOffset val="100"/>
        <c:noMultiLvlLbl val="0"/>
      </c:catAx>
      <c:valAx>
        <c:axId val="20820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19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414028553693358E-2"/>
                  <c:y val="0.22819885900570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-0.20616655138443485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17856"/>
        <c:axId val="208620544"/>
      </c:barChart>
      <c:catAx>
        <c:axId val="20861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620544"/>
        <c:crosses val="autoZero"/>
        <c:auto val="1"/>
        <c:lblAlgn val="ctr"/>
        <c:lblOffset val="100"/>
        <c:noMultiLvlLbl val="0"/>
      </c:catAx>
      <c:valAx>
        <c:axId val="20862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1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0.17431996653631696</c:v>
                </c:pt>
                <c:pt idx="1">
                  <c:v>0.38624915596615883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977920"/>
        <c:axId val="208979456"/>
      </c:barChart>
      <c:catAx>
        <c:axId val="20897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979456"/>
        <c:crosses val="autoZero"/>
        <c:auto val="1"/>
        <c:lblAlgn val="ctr"/>
        <c:lblOffset val="100"/>
        <c:noMultiLvlLbl val="0"/>
      </c:catAx>
      <c:valAx>
        <c:axId val="20897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97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0.16599644569990946</c:v>
                </c:pt>
                <c:pt idx="1">
                  <c:v>-0.1286462716449831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9392"/>
        <c:axId val="1260928"/>
      </c:barChart>
      <c:catAx>
        <c:axId val="12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60928"/>
        <c:crosses val="autoZero"/>
        <c:auto val="1"/>
        <c:lblAlgn val="ctr"/>
        <c:lblOffset val="100"/>
        <c:noMultiLvlLbl val="0"/>
      </c:catAx>
      <c:valAx>
        <c:axId val="1260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6.9426922900623397E-2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945152"/>
        <c:axId val="208946688"/>
      </c:barChart>
      <c:catAx>
        <c:axId val="20894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946688"/>
        <c:crosses val="autoZero"/>
        <c:auto val="1"/>
        <c:lblAlgn val="ctr"/>
        <c:lblOffset val="100"/>
        <c:noMultiLvlLbl val="0"/>
      </c:catAx>
      <c:valAx>
        <c:axId val="20894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94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141.00096097503808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9776"/>
        <c:axId val="1342464"/>
      </c:barChart>
      <c:catAx>
        <c:axId val="133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42464"/>
        <c:crosses val="autoZero"/>
        <c:auto val="1"/>
        <c:lblAlgn val="ctr"/>
        <c:lblOffset val="100"/>
        <c:noMultiLvlLbl val="0"/>
      </c:catAx>
      <c:valAx>
        <c:axId val="1342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3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0.1593035319807099</c:v>
                </c:pt>
                <c:pt idx="1">
                  <c:v>0.1343944057825448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114752"/>
        <c:axId val="199116288"/>
      </c:barChart>
      <c:catAx>
        <c:axId val="19911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116288"/>
        <c:crosses val="autoZero"/>
        <c:auto val="1"/>
        <c:lblAlgn val="ctr"/>
        <c:lblOffset val="100"/>
        <c:noMultiLvlLbl val="0"/>
      </c:catAx>
      <c:valAx>
        <c:axId val="19911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1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1602809425358143E-2"/>
                  <c:y val="-0.1471499941600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518311607697082E-2"/>
                  <c:y val="0.36943744752308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-4.2255401705975082E-3</c:v>
                </c:pt>
                <c:pt idx="1">
                  <c:v>-0.2245579570051679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147904"/>
        <c:axId val="199150592"/>
      </c:barChart>
      <c:catAx>
        <c:axId val="19914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150592"/>
        <c:crosses val="autoZero"/>
        <c:auto val="1"/>
        <c:lblAlgn val="ctr"/>
        <c:lblOffset val="100"/>
        <c:noMultiLvlLbl val="0"/>
      </c:catAx>
      <c:valAx>
        <c:axId val="19915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14790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0.12400333166476558</c:v>
                </c:pt>
                <c:pt idx="1">
                  <c:v>6.2051569360387873E-2</c:v>
                </c:pt>
                <c:pt idx="2">
                  <c:v>7.4469006258991013E-2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030400"/>
        <c:axId val="179529984"/>
      </c:barChart>
      <c:catAx>
        <c:axId val="17303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529984"/>
        <c:crosses val="autoZero"/>
        <c:auto val="1"/>
        <c:lblAlgn val="ctr"/>
        <c:lblOffset val="100"/>
        <c:noMultiLvlLbl val="0"/>
      </c:catAx>
      <c:valAx>
        <c:axId val="17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03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81472"/>
        <c:axId val="200299648"/>
      </c:barChart>
      <c:catAx>
        <c:axId val="20028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299648"/>
        <c:crosses val="autoZero"/>
        <c:auto val="1"/>
        <c:lblAlgn val="ctr"/>
        <c:lblOffset val="100"/>
        <c:noMultiLvlLbl val="0"/>
      </c:catAx>
      <c:valAx>
        <c:axId val="20029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331264"/>
        <c:axId val="200333952"/>
      </c:barChart>
      <c:catAx>
        <c:axId val="20033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333952"/>
        <c:crosses val="autoZero"/>
        <c:auto val="1"/>
        <c:lblAlgn val="ctr"/>
        <c:lblOffset val="100"/>
        <c:noMultiLvlLbl val="0"/>
      </c:catAx>
      <c:valAx>
        <c:axId val="200333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3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0.16066683458334824</c:v>
                </c:pt>
                <c:pt idx="1">
                  <c:v>0.29808375325535452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369344"/>
        <c:axId val="211371136"/>
      </c:barChart>
      <c:catAx>
        <c:axId val="21136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371136"/>
        <c:crosses val="autoZero"/>
        <c:auto val="1"/>
        <c:lblAlgn val="ctr"/>
        <c:lblOffset val="100"/>
        <c:noMultiLvlLbl val="0"/>
      </c:catAx>
      <c:valAx>
        <c:axId val="21137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36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3246430788048E-3"/>
                  <c:y val="0.1903162608452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-7.8510379361941496E-2</c:v>
                </c:pt>
                <c:pt idx="1">
                  <c:v>0.52708185978005817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386368"/>
        <c:axId val="211389056"/>
      </c:barChart>
      <c:catAx>
        <c:axId val="21138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389056"/>
        <c:crosses val="autoZero"/>
        <c:auto val="1"/>
        <c:lblAlgn val="ctr"/>
        <c:lblOffset val="100"/>
        <c:noMultiLvlLbl val="0"/>
      </c:catAx>
      <c:valAx>
        <c:axId val="21138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38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4.346899628068523E-3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885056"/>
        <c:axId val="211895040"/>
      </c:barChart>
      <c:catAx>
        <c:axId val="211885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895040"/>
        <c:crosses val="autoZero"/>
        <c:auto val="1"/>
        <c:lblAlgn val="ctr"/>
        <c:lblOffset val="100"/>
        <c:noMultiLvlLbl val="0"/>
      </c:catAx>
      <c:valAx>
        <c:axId val="21189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8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-0.93069791655128875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910016"/>
        <c:axId val="211925248"/>
      </c:barChart>
      <c:catAx>
        <c:axId val="21191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925248"/>
        <c:crosses val="autoZero"/>
        <c:auto val="1"/>
        <c:lblAlgn val="ctr"/>
        <c:lblOffset val="100"/>
        <c:noMultiLvlLbl val="0"/>
      </c:catAx>
      <c:valAx>
        <c:axId val="21192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91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0.1424304594962357</c:v>
                </c:pt>
                <c:pt idx="1">
                  <c:v>0.48550452747998651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864576"/>
        <c:axId val="212148992"/>
      </c:barChart>
      <c:catAx>
        <c:axId val="21186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148992"/>
        <c:crosses val="autoZero"/>
        <c:auto val="1"/>
        <c:lblAlgn val="ctr"/>
        <c:lblOffset val="100"/>
        <c:noMultiLvlLbl val="0"/>
      </c:catAx>
      <c:valAx>
        <c:axId val="21214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-7.206243915674948E-2</c:v>
                </c:pt>
                <c:pt idx="1">
                  <c:v>0.1316411410930971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159872"/>
        <c:axId val="212191488"/>
      </c:barChart>
      <c:catAx>
        <c:axId val="21215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191488"/>
        <c:crosses val="autoZero"/>
        <c:auto val="1"/>
        <c:lblAlgn val="ctr"/>
        <c:lblOffset val="100"/>
        <c:noMultiLvlLbl val="0"/>
      </c:catAx>
      <c:valAx>
        <c:axId val="21219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15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2.4592361167459914E-2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667008"/>
        <c:axId val="212681088"/>
      </c:barChart>
      <c:catAx>
        <c:axId val="21266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681088"/>
        <c:crosses val="autoZero"/>
        <c:auto val="1"/>
        <c:lblAlgn val="ctr"/>
        <c:lblOffset val="100"/>
        <c:noMultiLvlLbl val="0"/>
      </c:catAx>
      <c:valAx>
        <c:axId val="21268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6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-0.45713445050527524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700160"/>
        <c:axId val="212711296"/>
      </c:barChart>
      <c:catAx>
        <c:axId val="21270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711296"/>
        <c:crosses val="autoZero"/>
        <c:auto val="1"/>
        <c:lblAlgn val="ctr"/>
        <c:lblOffset val="100"/>
        <c:noMultiLvlLbl val="0"/>
      </c:catAx>
      <c:valAx>
        <c:axId val="212711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7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topLeftCell="C1" zoomScaleNormal="100" workbookViewId="0">
      <selection activeCell="H17" sqref="H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8" bestFit="1" customWidth="1"/>
    <col min="12" max="12" width="6.33203125" customWidth="1"/>
  </cols>
  <sheetData>
    <row r="1" spans="1:13" ht="14.4" thickBot="1" x14ac:dyDescent="0.3">
      <c r="A1" s="7" t="s">
        <v>397</v>
      </c>
    </row>
    <row r="2" spans="1:13" x14ac:dyDescent="0.25">
      <c r="A2" s="8" t="s">
        <v>398</v>
      </c>
      <c r="H2" s="726" t="s">
        <v>784</v>
      </c>
      <c r="I2" s="727"/>
      <c r="J2" s="728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766</v>
      </c>
    </row>
    <row r="4" spans="1:13" x14ac:dyDescent="0.25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764</v>
      </c>
      <c r="H4" s="11" t="s">
        <v>765</v>
      </c>
      <c r="I4" s="89" t="s">
        <v>507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809496836.91999996</v>
      </c>
      <c r="I5" s="105">
        <f>'ICap '!L10</f>
        <v>799809577.16999996</v>
      </c>
      <c r="J5" s="57">
        <f>+H5/I5-1</f>
        <v>1.2111957679072693E-2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518781128.24000001</v>
      </c>
      <c r="I6" s="105">
        <f>DCap!Q10</f>
        <v>594238020.08999991</v>
      </c>
      <c r="J6" s="57">
        <f>+H6/I6-1</f>
        <v>-0.12698092228863378</v>
      </c>
    </row>
    <row r="7" spans="1:13" x14ac:dyDescent="0.25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290715708.67999995</v>
      </c>
      <c r="I7" s="108">
        <f>+I5-I6</f>
        <v>205571557.08000004</v>
      </c>
      <c r="J7" s="43">
        <f>+H7/I7-1</f>
        <v>0.41418254942178256</v>
      </c>
      <c r="M7" s="340"/>
    </row>
    <row r="8" spans="1:13" x14ac:dyDescent="0.25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1494087.18</v>
      </c>
      <c r="I8" s="105">
        <f>'ICap '!L13</f>
        <v>13841161.09</v>
      </c>
      <c r="J8" s="57">
        <f>+H8/I8-1</f>
        <v>-0.89205477992164606</v>
      </c>
      <c r="M8" s="340"/>
    </row>
    <row r="9" spans="1:13" x14ac:dyDescent="0.25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53083384.160000004</v>
      </c>
      <c r="I9" s="105">
        <f>DCap!Q13</f>
        <v>54128700.989999995</v>
      </c>
      <c r="J9" s="57">
        <f t="shared" ref="J9:J13" si="2">+H9/I9-1</f>
        <v>-1.9311692519521362E-2</v>
      </c>
      <c r="M9" s="340"/>
    </row>
    <row r="10" spans="1:13" x14ac:dyDescent="0.25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239126411.69999996</v>
      </c>
      <c r="I10" s="108">
        <f>+I7+I8-I9</f>
        <v>165284017.18000007</v>
      </c>
      <c r="J10" s="43">
        <f t="shared" si="2"/>
        <v>0.44676064739873156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1158326.01</v>
      </c>
      <c r="I11" s="105">
        <f>+'ICap '!L16</f>
        <v>940535.21</v>
      </c>
      <c r="J11" s="57">
        <f t="shared" si="2"/>
        <v>0.2315604962838127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46975503.709999993</v>
      </c>
      <c r="I12" s="105">
        <f>DCap!Q16</f>
        <v>135758854.66</v>
      </c>
      <c r="J12" s="252">
        <f t="shared" si="2"/>
        <v>-0.65397834397139432</v>
      </c>
    </row>
    <row r="13" spans="1:13" ht="13.8" thickBot="1" x14ac:dyDescent="0.3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193309233.99999994</v>
      </c>
      <c r="I13" s="111">
        <f>+I10+I11-I12</f>
        <v>30465697.730000079</v>
      </c>
      <c r="J13" s="246">
        <f t="shared" si="2"/>
        <v>5.345143830717034</v>
      </c>
    </row>
    <row r="14" spans="1:13" ht="13.8" thickBot="1" x14ac:dyDescent="0.3"/>
    <row r="15" spans="1:13" x14ac:dyDescent="0.25">
      <c r="H15" s="729" t="s">
        <v>785</v>
      </c>
      <c r="I15" s="730"/>
    </row>
    <row r="16" spans="1:13" x14ac:dyDescent="0.25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767</v>
      </c>
      <c r="H16" s="112" t="s">
        <v>765</v>
      </c>
      <c r="I16" s="113" t="s">
        <v>507</v>
      </c>
    </row>
    <row r="17" spans="1:11" x14ac:dyDescent="0.25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0.35913137077363338</v>
      </c>
      <c r="I17" s="116">
        <f t="shared" si="7"/>
        <v>0.25702562578380539</v>
      </c>
      <c r="K17" s="100" t="s">
        <v>148</v>
      </c>
    </row>
    <row r="18" spans="1:11" ht="24" thickBot="1" x14ac:dyDescent="0.3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0.29485707496094526</v>
      </c>
      <c r="I18" s="120">
        <f t="shared" ref="I18" si="9">+I10/(I5+I8)</f>
        <v>0.20313877860353394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88"/>
      <c r="O136" s="688">
        <v>0.58699999999999997</v>
      </c>
    </row>
    <row r="137" spans="12:15" x14ac:dyDescent="0.25">
      <c r="L137" s="688"/>
      <c r="N137">
        <f>+N11+N61+N65+N136</f>
        <v>0</v>
      </c>
      <c r="O137" s="688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  <pageSetUpPr fitToPage="1"/>
  </sheetPr>
  <dimension ref="A1:S227"/>
  <sheetViews>
    <sheetView topLeftCell="A126" zoomScaleNormal="100" workbookViewId="0">
      <selection activeCell="C143" sqref="C143"/>
    </sheetView>
  </sheetViews>
  <sheetFormatPr defaultColWidth="11.44140625" defaultRowHeight="13.2" x14ac:dyDescent="0.25"/>
  <cols>
    <col min="1" max="1" width="0.6640625" customWidth="1"/>
    <col min="2" max="2" width="32.109375" customWidth="1"/>
    <col min="3" max="3" width="13.5546875" customWidth="1"/>
    <col min="4" max="4" width="13.6640625" customWidth="1"/>
    <col min="5" max="5" width="11.33203125" customWidth="1"/>
    <col min="6" max="6" width="8.88671875" style="97" bestFit="1" customWidth="1"/>
    <col min="7" max="7" width="12.332031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6.33203125" style="97" customWidth="1"/>
    <col min="13" max="13" width="8.88671875" style="97" customWidth="1"/>
    <col min="14" max="14" width="11.109375" customWidth="1"/>
    <col min="15" max="15" width="6.33203125" style="97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49" t="s">
        <v>780</v>
      </c>
      <c r="L2" s="750"/>
      <c r="M2" s="750"/>
      <c r="N2" s="750"/>
      <c r="O2" s="750"/>
      <c r="P2" s="751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149" t="s">
        <v>547</v>
      </c>
      <c r="N3" s="87" t="s">
        <v>39</v>
      </c>
      <c r="O3" s="88" t="s">
        <v>40</v>
      </c>
      <c r="P3" s="149" t="s">
        <v>362</v>
      </c>
    </row>
    <row r="4" spans="1:19" ht="26.4" x14ac:dyDescent="0.25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7" t="s">
        <v>766</v>
      </c>
      <c r="N4" s="564" t="s">
        <v>17</v>
      </c>
      <c r="O4" s="89" t="s">
        <v>18</v>
      </c>
      <c r="P4" s="587" t="s">
        <v>766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17774222.57</v>
      </c>
      <c r="E5" s="82">
        <v>5206848.74</v>
      </c>
      <c r="F5" s="308">
        <f t="shared" ref="F5:F12" si="0">+E5/D5</f>
        <v>0.29294382465921825</v>
      </c>
      <c r="G5" s="82">
        <v>5206848.74</v>
      </c>
      <c r="H5" s="48">
        <f>+G5/D5</f>
        <v>0.29294382465921825</v>
      </c>
      <c r="I5" s="82">
        <v>5206848.74</v>
      </c>
      <c r="J5" s="153">
        <f>I5/D5</f>
        <v>0.29294382465921825</v>
      </c>
      <c r="K5" s="578">
        <v>5511406.0499999998</v>
      </c>
      <c r="L5" s="48">
        <v>0.44966129928443033</v>
      </c>
      <c r="M5" s="210">
        <f>+G5/K5-1</f>
        <v>-5.525945779298902E-2</v>
      </c>
      <c r="N5" s="578">
        <v>5511406.0499999998</v>
      </c>
      <c r="O5" s="48">
        <v>0.44966129928443033</v>
      </c>
      <c r="P5" s="210">
        <f>+I5/N5-1</f>
        <v>-5.525945779298902E-2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6121179.0199999996</v>
      </c>
      <c r="E6" s="237">
        <v>1724180.32</v>
      </c>
      <c r="F6" s="280">
        <f t="shared" si="0"/>
        <v>0.2816745457642244</v>
      </c>
      <c r="G6" s="237">
        <v>1724180.32</v>
      </c>
      <c r="H6" s="280">
        <f t="shared" ref="H6:H65" si="1">+G6/D6</f>
        <v>0.2816745457642244</v>
      </c>
      <c r="I6" s="237">
        <v>1724180.32</v>
      </c>
      <c r="J6" s="178">
        <f t="shared" ref="J6:J65" si="2">I6/D6</f>
        <v>0.2816745457642244</v>
      </c>
      <c r="K6" s="579">
        <v>3158946.8</v>
      </c>
      <c r="L6" s="280">
        <v>0.3832578797397006</v>
      </c>
      <c r="M6" s="210">
        <f t="shared" ref="M6:M65" si="3">+G6/K6-1</f>
        <v>-0.45419140328669028</v>
      </c>
      <c r="N6" s="579">
        <v>3158946.8</v>
      </c>
      <c r="O6" s="280">
        <v>0.3832578797397006</v>
      </c>
      <c r="P6" s="211">
        <f>+I6/N6-1</f>
        <v>-0.45419140328669028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221702628.62</v>
      </c>
      <c r="E7" s="237">
        <v>63343129.219999999</v>
      </c>
      <c r="F7" s="280">
        <f t="shared" si="0"/>
        <v>0.28571212535585494</v>
      </c>
      <c r="G7" s="237">
        <v>63343129.219999999</v>
      </c>
      <c r="H7" s="280">
        <f t="shared" si="1"/>
        <v>0.28571212535585494</v>
      </c>
      <c r="I7" s="237">
        <v>63343129.219999999</v>
      </c>
      <c r="J7" s="178">
        <f t="shared" si="2"/>
        <v>0.28571212535585494</v>
      </c>
      <c r="K7" s="579">
        <v>97622210.299999997</v>
      </c>
      <c r="L7" s="280">
        <v>0.43329055723665061</v>
      </c>
      <c r="M7" s="210">
        <f t="shared" si="3"/>
        <v>-0.35114018597466645</v>
      </c>
      <c r="N7" s="579">
        <v>97622210.299999997</v>
      </c>
      <c r="O7" s="280">
        <v>0.43329055723665061</v>
      </c>
      <c r="P7" s="211">
        <f>+I7/N7-1</f>
        <v>-0.35114018597466645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8886196.8900000006</v>
      </c>
      <c r="E8" s="237">
        <v>2443987.66</v>
      </c>
      <c r="F8" s="280">
        <f>+E8/D8</f>
        <v>0.27503190512808906</v>
      </c>
      <c r="G8" s="237">
        <v>2443987.66</v>
      </c>
      <c r="H8" s="280">
        <f>+G8/D8</f>
        <v>0.27503190512808906</v>
      </c>
      <c r="I8" s="237">
        <v>2443987.66</v>
      </c>
      <c r="J8" s="178">
        <f>I8/D8</f>
        <v>0.27503190512808906</v>
      </c>
      <c r="K8" s="579">
        <v>4363596.76</v>
      </c>
      <c r="L8" s="280">
        <v>0.49629011772465043</v>
      </c>
      <c r="M8" s="210">
        <f t="shared" si="3"/>
        <v>-0.43991441133987819</v>
      </c>
      <c r="N8" s="579">
        <v>4363596.76</v>
      </c>
      <c r="O8" s="280">
        <v>0.49629011772465043</v>
      </c>
      <c r="P8" s="443">
        <f>+I8/N8-1</f>
        <v>-0.43991441133987819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43750981.280000001</v>
      </c>
      <c r="E9" s="237">
        <v>19917587.07</v>
      </c>
      <c r="F9" s="280">
        <f>+E9/D9</f>
        <v>0.45524892213343288</v>
      </c>
      <c r="G9" s="237">
        <v>19917587.07</v>
      </c>
      <c r="H9" s="280">
        <f>+G9/D9</f>
        <v>0.45524892213343288</v>
      </c>
      <c r="I9" s="237">
        <v>19917587.07</v>
      </c>
      <c r="J9" s="178">
        <f>I9/D9</f>
        <v>0.45524892213343288</v>
      </c>
      <c r="K9" s="580">
        <v>21979012.440000001</v>
      </c>
      <c r="L9" s="390">
        <v>0.81461385155978039</v>
      </c>
      <c r="M9" s="210">
        <f t="shared" si="3"/>
        <v>-9.3790627564702356E-2</v>
      </c>
      <c r="N9" s="580">
        <v>21979012.440000001</v>
      </c>
      <c r="O9" s="390">
        <v>0.81461385155978039</v>
      </c>
      <c r="P9" s="245">
        <f t="shared" ref="P9:P59" si="4">+I9/N9-1</f>
        <v>-9.3790627564702356E-2</v>
      </c>
      <c r="Q9" s="60">
        <v>15</v>
      </c>
      <c r="R9" s="357"/>
      <c r="S9" s="357"/>
    </row>
    <row r="10" spans="1:19" ht="15" customHeight="1" x14ac:dyDescent="0.25">
      <c r="A10" s="24"/>
      <c r="B10" s="24" t="s">
        <v>238</v>
      </c>
      <c r="C10" s="395">
        <v>74901709.219999999</v>
      </c>
      <c r="D10" s="191">
        <v>76454681.640000001</v>
      </c>
      <c r="E10" s="137">
        <v>27197341.59</v>
      </c>
      <c r="F10" s="390">
        <f>+E10/D10</f>
        <v>0.35573153934592722</v>
      </c>
      <c r="G10" s="137">
        <v>26716554.48</v>
      </c>
      <c r="H10" s="390">
        <f>+G10/D10</f>
        <v>0.34944301522043458</v>
      </c>
      <c r="I10" s="137">
        <v>26088978.699999999</v>
      </c>
      <c r="J10" s="392">
        <f>I10/D10</f>
        <v>0.34123454758263772</v>
      </c>
      <c r="K10" s="580">
        <v>29228260.129999999</v>
      </c>
      <c r="L10" s="390">
        <v>0.3937806493139106</v>
      </c>
      <c r="M10" s="628">
        <f t="shared" si="3"/>
        <v>-8.5934148622893058E-2</v>
      </c>
      <c r="N10" s="580">
        <v>28694191.850000001</v>
      </c>
      <c r="O10" s="390">
        <v>0.38658536115303566</v>
      </c>
      <c r="P10" s="520">
        <f t="shared" si="4"/>
        <v>-9.0792351414490269E-2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374689890.01999998</v>
      </c>
      <c r="E11" s="84">
        <f>SUM(E5:E10)</f>
        <v>119833074.59999999</v>
      </c>
      <c r="F11" s="90">
        <f>+E11/D11</f>
        <v>0.3198193433871504</v>
      </c>
      <c r="G11" s="84">
        <f>SUM(G5:G10)</f>
        <v>119352287.48999999</v>
      </c>
      <c r="H11" s="90">
        <f t="shared" si="1"/>
        <v>0.31853618330515743</v>
      </c>
      <c r="I11" s="84">
        <f>SUM(I5:I10)</f>
        <v>118724711.70999999</v>
      </c>
      <c r="J11" s="170">
        <f t="shared" si="2"/>
        <v>0.31686126279965221</v>
      </c>
      <c r="K11" s="568">
        <f>SUM(K5:K10)</f>
        <v>161863432.47999999</v>
      </c>
      <c r="L11" s="90">
        <v>0.45500000000000002</v>
      </c>
      <c r="M11" s="213">
        <f t="shared" si="3"/>
        <v>-0.26263587975778724</v>
      </c>
      <c r="N11" s="568">
        <f>SUM(N5:N10)</f>
        <v>161329364.19999999</v>
      </c>
      <c r="O11" s="90">
        <v>0.45300000000000001</v>
      </c>
      <c r="P11" s="213">
        <f t="shared" si="4"/>
        <v>-0.2640849215594937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19781201.440000001</v>
      </c>
      <c r="E12" s="82">
        <v>16551936.26</v>
      </c>
      <c r="F12" s="48">
        <f t="shared" si="0"/>
        <v>0.83675080657790413</v>
      </c>
      <c r="G12" s="82">
        <v>16356245.16</v>
      </c>
      <c r="H12" s="48">
        <f t="shared" si="1"/>
        <v>0.82685802526259489</v>
      </c>
      <c r="I12" s="82">
        <v>5991296.7300000004</v>
      </c>
      <c r="J12" s="153">
        <f t="shared" si="2"/>
        <v>0.30287830333120558</v>
      </c>
      <c r="K12" s="565">
        <v>18741140.640000001</v>
      </c>
      <c r="L12" s="48">
        <v>0.82956463155208982</v>
      </c>
      <c r="M12" s="210">
        <f t="shared" si="3"/>
        <v>-0.12725455327461865</v>
      </c>
      <c r="N12" s="565">
        <v>7887563.5099999998</v>
      </c>
      <c r="O12" s="48">
        <v>0.34913796565035848</v>
      </c>
      <c r="P12" s="210">
        <f t="shared" si="4"/>
        <v>-0.24041223599605599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21268076.02</v>
      </c>
      <c r="E13" s="237">
        <v>16537882.380000001</v>
      </c>
      <c r="F13" s="412">
        <f t="shared" ref="F13:F59" si="5">+E13/D13</f>
        <v>0.77759184067464138</v>
      </c>
      <c r="G13" s="237">
        <v>14878462.73</v>
      </c>
      <c r="H13" s="412">
        <f t="shared" si="1"/>
        <v>0.69956787421714328</v>
      </c>
      <c r="I13" s="71">
        <v>2846595.94</v>
      </c>
      <c r="J13" s="427">
        <f t="shared" si="2"/>
        <v>0.13384360378076174</v>
      </c>
      <c r="K13" s="565">
        <v>14055092.1</v>
      </c>
      <c r="L13" s="412">
        <v>0.76180706256688635</v>
      </c>
      <c r="M13" s="210">
        <f t="shared" si="3"/>
        <v>5.8581660236861843E-2</v>
      </c>
      <c r="N13" s="565">
        <v>2868227.61</v>
      </c>
      <c r="O13" s="412">
        <v>0.15546223637676063</v>
      </c>
      <c r="P13" s="443">
        <f t="shared" si="4"/>
        <v>-7.5418247577638819E-3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1939958.38</v>
      </c>
      <c r="E14" s="73">
        <v>1193805.75</v>
      </c>
      <c r="F14" s="413">
        <f t="shared" si="5"/>
        <v>0.61537699071667717</v>
      </c>
      <c r="G14" s="73">
        <v>723193.74</v>
      </c>
      <c r="H14" s="413">
        <f t="shared" si="1"/>
        <v>0.3727882760041481</v>
      </c>
      <c r="I14" s="73">
        <v>421127.5</v>
      </c>
      <c r="J14" s="428">
        <f t="shared" si="2"/>
        <v>0.21708068809187547</v>
      </c>
      <c r="K14" s="581">
        <v>633928.51</v>
      </c>
      <c r="L14" s="416">
        <v>0.41693834677338332</v>
      </c>
      <c r="M14" s="646">
        <f t="shared" si="3"/>
        <v>0.14081277082805443</v>
      </c>
      <c r="N14" s="581">
        <v>294712.3</v>
      </c>
      <c r="O14" s="416">
        <v>0.19383393741950711</v>
      </c>
      <c r="P14" s="588">
        <f t="shared" si="4"/>
        <v>0.42894443156936446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6093214.6799999997</v>
      </c>
      <c r="E15" s="82">
        <v>5949204.6799999997</v>
      </c>
      <c r="F15" s="414">
        <f t="shared" si="5"/>
        <v>0.97636551351576539</v>
      </c>
      <c r="G15" s="82">
        <v>5867204.6799999997</v>
      </c>
      <c r="H15" s="414">
        <f t="shared" si="1"/>
        <v>0.96290792104505329</v>
      </c>
      <c r="I15" s="82">
        <v>2390056.15</v>
      </c>
      <c r="J15" s="429">
        <f t="shared" si="2"/>
        <v>0.39224880059535339</v>
      </c>
      <c r="K15" s="582">
        <v>10661524.1</v>
      </c>
      <c r="L15" s="415">
        <v>0.97991289358309097</v>
      </c>
      <c r="M15" s="210">
        <f t="shared" si="3"/>
        <v>-0.44968424542603624</v>
      </c>
      <c r="N15" s="582">
        <v>1280783.73</v>
      </c>
      <c r="O15" s="415">
        <v>0.11771829985531283</v>
      </c>
      <c r="P15" s="588">
        <f t="shared" si="4"/>
        <v>0.86608878143697221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1125430.44</v>
      </c>
      <c r="E16" s="237">
        <v>1103900</v>
      </c>
      <c r="F16" s="130">
        <f>+E16/D16</f>
        <v>0.98086915082908199</v>
      </c>
      <c r="G16" s="237">
        <v>1057821.49</v>
      </c>
      <c r="H16" s="130">
        <f>+G16/D16</f>
        <v>0.93992614061514101</v>
      </c>
      <c r="I16" s="71">
        <v>314763.46999999997</v>
      </c>
      <c r="J16" s="194">
        <f>I16/D16</f>
        <v>0.27968274076539107</v>
      </c>
      <c r="K16" s="394">
        <v>1024294</v>
      </c>
      <c r="L16" s="130">
        <v>0.88331666091755778</v>
      </c>
      <c r="M16" s="210">
        <f t="shared" si="3"/>
        <v>3.2732291705311223E-2</v>
      </c>
      <c r="N16" s="394">
        <v>279998.90999999997</v>
      </c>
      <c r="O16" s="130">
        <v>0.2414616333218351</v>
      </c>
      <c r="P16" s="588">
        <f t="shared" si="4"/>
        <v>0.12415962619283061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17307593.73</v>
      </c>
      <c r="E17" s="237">
        <v>11006546.68</v>
      </c>
      <c r="F17" s="130">
        <f>+E17/D17</f>
        <v>0.63593743022300531</v>
      </c>
      <c r="G17" s="237">
        <v>11006546.68</v>
      </c>
      <c r="H17" s="130">
        <f>+G17/D17</f>
        <v>0.63593743022300531</v>
      </c>
      <c r="I17" s="71">
        <v>2637067.0699999998</v>
      </c>
      <c r="J17" s="194">
        <f>I17/D17</f>
        <v>0.15236474296418556</v>
      </c>
      <c r="K17" s="394">
        <v>16853412.039999999</v>
      </c>
      <c r="L17" s="130">
        <v>0.81628595909895219</v>
      </c>
      <c r="M17" s="210">
        <f t="shared" si="3"/>
        <v>-0.34692472634757943</v>
      </c>
      <c r="N17" s="394">
        <v>1842294.16</v>
      </c>
      <c r="O17" s="130">
        <v>8.923052802416373E-2</v>
      </c>
      <c r="P17" s="588">
        <f t="shared" si="4"/>
        <v>0.43140391325997585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5389.7</v>
      </c>
      <c r="J18" s="194">
        <f>I18/D18</f>
        <v>9.093889119782669E-3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148447.32</v>
      </c>
      <c r="O18" s="130">
        <v>0.26631029298984565</v>
      </c>
      <c r="P18" s="588">
        <f t="shared" si="4"/>
        <v>-0.9636928440338296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318846.51</v>
      </c>
      <c r="J19" s="194">
        <f t="shared" si="2"/>
        <v>0.28645881726476585</v>
      </c>
      <c r="K19" s="394">
        <v>1119563.03</v>
      </c>
      <c r="L19" s="130">
        <v>0.99468834343845447</v>
      </c>
      <c r="M19" s="210">
        <f t="shared" si="3"/>
        <v>-9.9241665741677254E-3</v>
      </c>
      <c r="N19" s="394">
        <v>73157.17</v>
      </c>
      <c r="O19" s="130">
        <v>6.4997309028635389E-2</v>
      </c>
      <c r="P19" s="588">
        <f t="shared" si="4"/>
        <v>3.3583767660777477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5829096.4199999999</v>
      </c>
      <c r="E20" s="237">
        <v>2756666.01</v>
      </c>
      <c r="F20" s="413">
        <f t="shared" si="5"/>
        <v>0.47291480726613194</v>
      </c>
      <c r="G20" s="237">
        <v>1559509.65</v>
      </c>
      <c r="H20" s="413">
        <f t="shared" si="1"/>
        <v>0.2675388323736117</v>
      </c>
      <c r="I20" s="73">
        <v>569089.30000000005</v>
      </c>
      <c r="J20" s="430">
        <f t="shared" si="2"/>
        <v>9.762907644612269E-2</v>
      </c>
      <c r="K20" s="583">
        <v>3238327.9</v>
      </c>
      <c r="L20" s="413">
        <v>0.59181149851928427</v>
      </c>
      <c r="M20" s="646">
        <f t="shared" si="3"/>
        <v>-0.51842132787109052</v>
      </c>
      <c r="N20" s="583">
        <v>451035.81999999995</v>
      </c>
      <c r="O20" s="413">
        <v>8.2427781485647E-2</v>
      </c>
      <c r="P20" s="589">
        <f t="shared" si="4"/>
        <v>0.26173859096157837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4004979.24</v>
      </c>
      <c r="E21" s="69">
        <v>3977870.3</v>
      </c>
      <c r="F21" s="415">
        <f t="shared" si="5"/>
        <v>0.99323119088127898</v>
      </c>
      <c r="G21" s="69">
        <v>3937425.97</v>
      </c>
      <c r="H21" s="415">
        <f t="shared" si="1"/>
        <v>0.98313267910971747</v>
      </c>
      <c r="I21" s="69">
        <v>851276.23</v>
      </c>
      <c r="J21" s="431">
        <f t="shared" si="2"/>
        <v>0.21255446757322016</v>
      </c>
      <c r="K21" s="582">
        <v>2133693.4900000002</v>
      </c>
      <c r="L21" s="415">
        <v>0.58028775545069311</v>
      </c>
      <c r="M21" s="210">
        <f t="shared" si="3"/>
        <v>0.84535688394493813</v>
      </c>
      <c r="N21" s="582">
        <v>1079938.8799999999</v>
      </c>
      <c r="O21" s="415">
        <v>0.29370446675503298</v>
      </c>
      <c r="P21" s="443">
        <f t="shared" si="4"/>
        <v>-0.21173665865238589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1239950.5899999999</v>
      </c>
      <c r="E22" s="73">
        <v>836171.87000000011</v>
      </c>
      <c r="F22" s="416">
        <f t="shared" si="5"/>
        <v>0.67435902425757155</v>
      </c>
      <c r="G22" s="237">
        <v>730677.29</v>
      </c>
      <c r="H22" s="414">
        <f t="shared" si="1"/>
        <v>0.58927935991384961</v>
      </c>
      <c r="I22" s="62">
        <v>179053.33000000002</v>
      </c>
      <c r="J22" s="430">
        <f t="shared" si="2"/>
        <v>0.14440360079186706</v>
      </c>
      <c r="K22" s="583">
        <v>544682.76</v>
      </c>
      <c r="L22" s="413">
        <v>0.69711648037056484</v>
      </c>
      <c r="M22" s="646">
        <f t="shared" si="3"/>
        <v>0.34147313566524495</v>
      </c>
      <c r="N22" s="583">
        <v>137041.57</v>
      </c>
      <c r="O22" s="413">
        <v>0.17539372265583805</v>
      </c>
      <c r="P22" s="590">
        <f t="shared" si="4"/>
        <v>0.30656216212350751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735190.53</v>
      </c>
      <c r="E23" s="82">
        <v>620310.87</v>
      </c>
      <c r="F23" s="415">
        <f t="shared" si="5"/>
        <v>0.84374164884849645</v>
      </c>
      <c r="G23" s="69">
        <v>562102.51</v>
      </c>
      <c r="H23" s="415">
        <f t="shared" si="1"/>
        <v>0.76456712520494519</v>
      </c>
      <c r="I23" s="69">
        <v>135659.57999999999</v>
      </c>
      <c r="J23" s="429">
        <f t="shared" si="2"/>
        <v>0.18452302425603875</v>
      </c>
      <c r="K23" s="582">
        <v>473336.18</v>
      </c>
      <c r="L23" s="415">
        <v>0.60262177599394884</v>
      </c>
      <c r="M23" s="210">
        <f t="shared" si="3"/>
        <v>0.18753337215845201</v>
      </c>
      <c r="N23" s="582">
        <v>95407.42</v>
      </c>
      <c r="O23" s="415">
        <v>0.12146671079189551</v>
      </c>
      <c r="P23" s="590">
        <f t="shared" si="4"/>
        <v>0.42189758406631261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4">
        <v>2494971.27</v>
      </c>
      <c r="E24" s="237">
        <v>2267375.38</v>
      </c>
      <c r="F24" s="130">
        <f t="shared" si="5"/>
        <v>0.90877815198248746</v>
      </c>
      <c r="G24" s="82">
        <v>2267375.38</v>
      </c>
      <c r="H24" s="130">
        <f t="shared" si="1"/>
        <v>0.90877815198248746</v>
      </c>
      <c r="I24" s="82">
        <v>1700654.7</v>
      </c>
      <c r="J24" s="194">
        <f t="shared" si="2"/>
        <v>0.6816329792847674</v>
      </c>
      <c r="K24" s="394">
        <v>1697738.22</v>
      </c>
      <c r="L24" s="130">
        <v>0.68827365952205466</v>
      </c>
      <c r="M24" s="210">
        <f t="shared" si="3"/>
        <v>0.33552708732680814</v>
      </c>
      <c r="N24" s="394">
        <v>406.98</v>
      </c>
      <c r="O24" s="130">
        <v>1.6499222945707485E-4</v>
      </c>
      <c r="P24" s="590">
        <f t="shared" si="4"/>
        <v>4177.7181188264776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634347.34</v>
      </c>
      <c r="E25" s="73">
        <v>541428.77</v>
      </c>
      <c r="F25" s="413">
        <f t="shared" si="5"/>
        <v>0.85352099056646169</v>
      </c>
      <c r="G25" s="62">
        <v>22583.77</v>
      </c>
      <c r="H25" s="413">
        <f t="shared" si="1"/>
        <v>3.5601583826299327E-2</v>
      </c>
      <c r="I25" s="62">
        <v>22583.77</v>
      </c>
      <c r="J25" s="430">
        <f t="shared" si="2"/>
        <v>3.5601583826299327E-2</v>
      </c>
      <c r="K25" s="583">
        <v>21683.17</v>
      </c>
      <c r="L25" s="413">
        <v>2.5666179688174518E-2</v>
      </c>
      <c r="M25" s="646">
        <f t="shared" si="3"/>
        <v>4.1534517323804643E-2</v>
      </c>
      <c r="N25" s="583">
        <v>21683.17</v>
      </c>
      <c r="O25" s="413">
        <v>2.5666179688174518E-2</v>
      </c>
      <c r="P25" s="590">
        <f t="shared" ref="P25" si="6">+I25/N25-1</f>
        <v>4.1534517323804643E-2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1028818.41</v>
      </c>
      <c r="E26" s="82">
        <v>625800.74</v>
      </c>
      <c r="F26" s="415">
        <f t="shared" si="5"/>
        <v>0.60827132749306068</v>
      </c>
      <c r="G26" s="82">
        <v>65321.19</v>
      </c>
      <c r="H26" s="415">
        <f t="shared" si="1"/>
        <v>6.3491466876064162E-2</v>
      </c>
      <c r="I26" s="82">
        <v>65143.32</v>
      </c>
      <c r="J26" s="429">
        <f t="shared" si="2"/>
        <v>6.3318579223324747E-2</v>
      </c>
      <c r="K26" s="582">
        <v>55055.47</v>
      </c>
      <c r="L26" s="415">
        <v>4.9347647240698608E-2</v>
      </c>
      <c r="M26" s="210">
        <f t="shared" si="3"/>
        <v>0.18646139974829024</v>
      </c>
      <c r="N26" s="582">
        <v>55055.47</v>
      </c>
      <c r="O26" s="415">
        <v>4.9347647240698608E-2</v>
      </c>
      <c r="P26" s="591">
        <f t="shared" si="4"/>
        <v>0.18323065809809624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10016665.640000001</v>
      </c>
      <c r="E27" s="82">
        <v>6477722</v>
      </c>
      <c r="F27" s="130">
        <f t="shared" si="5"/>
        <v>0.64669444232342366</v>
      </c>
      <c r="G27" s="82">
        <v>4744582.72</v>
      </c>
      <c r="H27" s="130">
        <f t="shared" si="1"/>
        <v>0.47366887250915557</v>
      </c>
      <c r="I27" s="82">
        <v>597601.30000000005</v>
      </c>
      <c r="J27" s="194">
        <f t="shared" si="2"/>
        <v>5.9660701622461267E-2</v>
      </c>
      <c r="K27" s="394">
        <v>2128163.08</v>
      </c>
      <c r="L27" s="130">
        <v>0.16468308146609592</v>
      </c>
      <c r="M27" s="210">
        <f t="shared" si="3"/>
        <v>1.2294262900190898</v>
      </c>
      <c r="N27" s="394">
        <v>445074.27</v>
      </c>
      <c r="O27" s="130">
        <v>3.4441064669194978E-2</v>
      </c>
      <c r="P27" s="591">
        <f t="shared" si="4"/>
        <v>0.34270017451244716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4">
        <v>1127193.1000000001</v>
      </c>
      <c r="E28" s="237">
        <v>670984.46</v>
      </c>
      <c r="F28" s="130">
        <f t="shared" si="5"/>
        <v>0.59527019815859405</v>
      </c>
      <c r="G28" s="82">
        <v>114095.23</v>
      </c>
      <c r="H28" s="130">
        <f t="shared" si="1"/>
        <v>0.10122066041745641</v>
      </c>
      <c r="I28" s="82">
        <v>114095.23</v>
      </c>
      <c r="J28" s="194">
        <f t="shared" si="2"/>
        <v>0.10122066041745641</v>
      </c>
      <c r="K28" s="394">
        <v>209126.68</v>
      </c>
      <c r="L28" s="130">
        <v>0.21096920061045144</v>
      </c>
      <c r="M28" s="210">
        <f t="shared" si="3"/>
        <v>-0.45442049766199133</v>
      </c>
      <c r="N28" s="394">
        <v>183356.81</v>
      </c>
      <c r="O28" s="130">
        <v>0.18497228393900972</v>
      </c>
      <c r="P28" s="443">
        <f t="shared" si="4"/>
        <v>-0.37774206477523253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4">
        <v>28623571.5</v>
      </c>
      <c r="E29" s="237">
        <v>18118479.309999999</v>
      </c>
      <c r="F29" s="130">
        <f t="shared" si="5"/>
        <v>0.6329915646620129</v>
      </c>
      <c r="G29" s="82">
        <v>11004563.300000001</v>
      </c>
      <c r="H29" s="130">
        <f t="shared" si="1"/>
        <v>0.38445807854550929</v>
      </c>
      <c r="I29" s="82">
        <v>4008854.38</v>
      </c>
      <c r="J29" s="194">
        <f t="shared" si="2"/>
        <v>0.14005430384534648</v>
      </c>
      <c r="K29" s="394">
        <v>9930661.5500000007</v>
      </c>
      <c r="L29" s="130">
        <v>0.45955783723259869</v>
      </c>
      <c r="M29" s="210">
        <f t="shared" si="3"/>
        <v>0.10814000100527044</v>
      </c>
      <c r="N29" s="394">
        <v>2555803.85</v>
      </c>
      <c r="O29" s="130">
        <v>0.11827406298996758</v>
      </c>
      <c r="P29" s="443">
        <f t="shared" si="4"/>
        <v>0.56852975239081815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33021685.410000004</v>
      </c>
      <c r="E30" s="73">
        <v>8937312.6499999985</v>
      </c>
      <c r="F30" s="413">
        <f t="shared" si="5"/>
        <v>0.27064980297139829</v>
      </c>
      <c r="G30" s="62">
        <v>7874283.9600000009</v>
      </c>
      <c r="H30" s="413">
        <f t="shared" si="1"/>
        <v>0.23845796670376554</v>
      </c>
      <c r="I30" s="62">
        <v>1020977</v>
      </c>
      <c r="J30" s="430">
        <f t="shared" si="2"/>
        <v>3.0918379462570256E-2</v>
      </c>
      <c r="K30" s="583">
        <v>3888527.1</v>
      </c>
      <c r="L30" s="413">
        <v>0.27282275463628225</v>
      </c>
      <c r="M30" s="646">
        <f t="shared" si="3"/>
        <v>1.0250042644681585</v>
      </c>
      <c r="N30" s="583">
        <v>609028.1399999999</v>
      </c>
      <c r="O30" s="413">
        <v>4.2729992753763074E-2</v>
      </c>
      <c r="P30" s="590">
        <f t="shared" si="4"/>
        <v>0.67640365517429157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20277987.079999998</v>
      </c>
      <c r="E31" s="71">
        <v>20154855.399999999</v>
      </c>
      <c r="F31" s="414">
        <f t="shared" si="5"/>
        <v>0.99392781544271502</v>
      </c>
      <c r="G31" s="71">
        <v>20101476.25</v>
      </c>
      <c r="H31" s="130">
        <f t="shared" si="1"/>
        <v>0.99129544617502552</v>
      </c>
      <c r="I31" s="71">
        <v>2901128.96</v>
      </c>
      <c r="J31" s="429">
        <f t="shared" si="2"/>
        <v>0.14306789665831074</v>
      </c>
      <c r="K31" s="582">
        <v>12017785.08</v>
      </c>
      <c r="L31" s="415">
        <v>0.97349541982262433</v>
      </c>
      <c r="M31" s="210">
        <f t="shared" si="3"/>
        <v>0.67264401186978118</v>
      </c>
      <c r="N31" s="582">
        <v>2723489.82</v>
      </c>
      <c r="O31" s="415">
        <v>0.2206151007073546</v>
      </c>
      <c r="P31" s="590">
        <f t="shared" si="4"/>
        <v>6.5224822466933396E-2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9911960.9199999999</v>
      </c>
      <c r="E32" s="71">
        <v>5034194.6900000004</v>
      </c>
      <c r="F32" s="130">
        <f t="shared" si="5"/>
        <v>0.50789089370219187</v>
      </c>
      <c r="G32" s="71">
        <v>3672818.26</v>
      </c>
      <c r="H32" s="130">
        <f t="shared" si="1"/>
        <v>0.37054406183030025</v>
      </c>
      <c r="I32" s="71">
        <v>1007277.86</v>
      </c>
      <c r="J32" s="194">
        <f t="shared" si="2"/>
        <v>0.10162246079557788</v>
      </c>
      <c r="K32" s="394">
        <v>2666262.89</v>
      </c>
      <c r="L32" s="130">
        <v>0.55836843114391388</v>
      </c>
      <c r="M32" s="210">
        <f t="shared" si="3"/>
        <v>0.37751542572007946</v>
      </c>
      <c r="N32" s="394">
        <v>522103.58</v>
      </c>
      <c r="O32" s="130">
        <v>0.10933886450305016</v>
      </c>
      <c r="P32" s="443">
        <f t="shared" si="4"/>
        <v>0.92926824979824874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3336732.05</v>
      </c>
      <c r="E33" s="71">
        <v>1405545.77</v>
      </c>
      <c r="F33" s="130">
        <f t="shared" si="5"/>
        <v>0.42123423425623885</v>
      </c>
      <c r="G33" s="683">
        <v>1268478.27</v>
      </c>
      <c r="H33" s="130">
        <f t="shared" si="1"/>
        <v>0.38015586837426762</v>
      </c>
      <c r="I33" s="71">
        <v>196112.94</v>
      </c>
      <c r="J33" s="194">
        <f t="shared" si="2"/>
        <v>5.8773955193675204E-2</v>
      </c>
      <c r="K33" s="394">
        <v>1001764.92</v>
      </c>
      <c r="L33" s="130">
        <v>0.44523798170137596</v>
      </c>
      <c r="M33" s="210">
        <f t="shared" si="3"/>
        <v>0.26624345160738905</v>
      </c>
      <c r="N33" s="394">
        <v>167181.62</v>
      </c>
      <c r="O33" s="130">
        <v>7.430446562888865E-2</v>
      </c>
      <c r="P33" s="443">
        <f t="shared" si="4"/>
        <v>0.17305323396196304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997457.74</v>
      </c>
      <c r="F34" s="130">
        <f t="shared" si="5"/>
        <v>0.34218104288164664</v>
      </c>
      <c r="G34" s="71">
        <v>997457.74</v>
      </c>
      <c r="H34" s="130">
        <f t="shared" si="1"/>
        <v>0.34218104288164664</v>
      </c>
      <c r="I34" s="71">
        <v>376703.94</v>
      </c>
      <c r="J34" s="194">
        <f t="shared" si="2"/>
        <v>0.12922948198970841</v>
      </c>
      <c r="K34" s="394">
        <v>436291.28</v>
      </c>
      <c r="L34" s="130">
        <v>0.11681158768406961</v>
      </c>
      <c r="M34" s="210">
        <f t="shared" si="3"/>
        <v>1.286219747504465</v>
      </c>
      <c r="N34" s="394">
        <v>303946.28999999998</v>
      </c>
      <c r="O34" s="130">
        <v>8.137785542168674E-2</v>
      </c>
      <c r="P34" s="443">
        <f t="shared" si="4"/>
        <v>0.23937666750266962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17103675.18</v>
      </c>
      <c r="E35" s="71">
        <v>15392857.300000001</v>
      </c>
      <c r="F35" s="130">
        <f t="shared" si="5"/>
        <v>0.89997366870013262</v>
      </c>
      <c r="G35" s="71">
        <v>15295857.300000001</v>
      </c>
      <c r="H35" s="130">
        <f t="shared" si="1"/>
        <v>0.89430237297104709</v>
      </c>
      <c r="I35" s="71">
        <v>2052217.8</v>
      </c>
      <c r="J35" s="194">
        <f t="shared" si="2"/>
        <v>0.11998694891024</v>
      </c>
      <c r="K35" s="394">
        <v>15002791.51</v>
      </c>
      <c r="L35" s="130">
        <v>0.94539880838685264</v>
      </c>
      <c r="M35" s="210">
        <f t="shared" si="3"/>
        <v>1.9534084027273302E-2</v>
      </c>
      <c r="N35" s="394">
        <v>3123927.73</v>
      </c>
      <c r="O35" s="130">
        <v>0.19685386892566673</v>
      </c>
      <c r="P35" s="443">
        <f t="shared" si="4"/>
        <v>-0.34306489222143433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1959889.57</v>
      </c>
      <c r="J36" s="194">
        <f t="shared" si="2"/>
        <v>0.15147145583784893</v>
      </c>
      <c r="K36" s="394">
        <v>12939002.66</v>
      </c>
      <c r="L36" s="130">
        <v>1</v>
      </c>
      <c r="M36" s="210">
        <f t="shared" si="3"/>
        <v>0</v>
      </c>
      <c r="N36" s="394">
        <v>2059228.75</v>
      </c>
      <c r="O36" s="130">
        <v>0.15914895483915142</v>
      </c>
      <c r="P36" s="443">
        <f t="shared" si="4"/>
        <v>-4.824096400169231E-2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690217.18</v>
      </c>
      <c r="J37" s="194">
        <f t="shared" si="2"/>
        <v>0.13143283368105899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1048097.74</v>
      </c>
      <c r="J38" s="194">
        <f t="shared" si="2"/>
        <v>6.8953798684210532E-2</v>
      </c>
      <c r="K38" s="394">
        <v>9094141.8000000007</v>
      </c>
      <c r="L38" s="130">
        <v>0.6760478733272024</v>
      </c>
      <c r="M38" s="210">
        <f t="shared" si="3"/>
        <v>0.67140565149314013</v>
      </c>
      <c r="N38" s="394">
        <v>2276789.2200000002</v>
      </c>
      <c r="O38" s="130">
        <v>0.16925384979100502</v>
      </c>
      <c r="P38" s="443">
        <f t="shared" si="4"/>
        <v>-0.53965974065882127</v>
      </c>
      <c r="Q38" s="59">
        <v>22716</v>
      </c>
    </row>
    <row r="39" spans="1:17" ht="15" customHeight="1" x14ac:dyDescent="0.25">
      <c r="A39" s="70"/>
      <c r="B39" s="70" t="s">
        <v>454</v>
      </c>
      <c r="C39" s="184">
        <v>315810.43</v>
      </c>
      <c r="D39" s="188">
        <v>315810.43</v>
      </c>
      <c r="E39" s="71">
        <v>270810.43</v>
      </c>
      <c r="F39" s="130">
        <f t="shared" si="5"/>
        <v>0.85750945590999006</v>
      </c>
      <c r="G39" s="71">
        <v>270810.43</v>
      </c>
      <c r="H39" s="130">
        <f t="shared" si="1"/>
        <v>0.85750945590999006</v>
      </c>
      <c r="I39" s="71">
        <v>42831.57</v>
      </c>
      <c r="J39" s="194">
        <f t="shared" si="2"/>
        <v>0.1356243047450966</v>
      </c>
      <c r="K39" s="394">
        <v>114993.04</v>
      </c>
      <c r="L39" s="130">
        <v>0.30483060094919917</v>
      </c>
      <c r="M39" s="210">
        <f t="shared" si="3"/>
        <v>1.3550158340017795</v>
      </c>
      <c r="N39" s="394">
        <v>59183.88</v>
      </c>
      <c r="O39" s="130">
        <v>0.15688825781895402</v>
      </c>
      <c r="P39" s="443">
        <f t="shared" si="4"/>
        <v>-0.27629668754397307</v>
      </c>
      <c r="Q39" s="59" t="s">
        <v>455</v>
      </c>
    </row>
    <row r="40" spans="1:17" ht="15" customHeight="1" x14ac:dyDescent="0.25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63683.87</v>
      </c>
      <c r="J40" s="194">
        <f t="shared" si="2"/>
        <v>9.995802896880128E-2</v>
      </c>
      <c r="K40" s="394">
        <v>110401.5</v>
      </c>
      <c r="L40" s="130">
        <v>0.92000958663630894</v>
      </c>
      <c r="M40" s="210">
        <f t="shared" si="3"/>
        <v>3.5062575236749502</v>
      </c>
      <c r="N40" s="394">
        <v>69748.66</v>
      </c>
      <c r="O40" s="130">
        <v>0.58123699274952301</v>
      </c>
      <c r="P40" s="443">
        <f t="shared" si="4"/>
        <v>-8.695206474217565E-2</v>
      </c>
      <c r="Q40" s="59" t="s">
        <v>457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75345203.269999996</v>
      </c>
      <c r="E41" s="71">
        <v>55050358.630000003</v>
      </c>
      <c r="F41" s="130">
        <f t="shared" ref="F41:F55" si="7">+E41/D41</f>
        <v>0.73064184899371376</v>
      </c>
      <c r="G41" s="71">
        <v>49494415.479999997</v>
      </c>
      <c r="H41" s="130">
        <f t="shared" ref="H41:H55" si="8">+G41/D41</f>
        <v>0.65690201010721883</v>
      </c>
      <c r="I41" s="71">
        <v>10983137.140000001</v>
      </c>
      <c r="J41" s="194">
        <f t="shared" ref="J41:J55" si="9">I41/D41</f>
        <v>0.14577088737343852</v>
      </c>
      <c r="K41" s="394">
        <v>46245616.149999999</v>
      </c>
      <c r="L41" s="130">
        <v>0.80733419597654066</v>
      </c>
      <c r="M41" s="210">
        <f t="shared" si="3"/>
        <v>7.025096864235425E-2</v>
      </c>
      <c r="N41" s="394">
        <v>10685898.289999999</v>
      </c>
      <c r="O41" s="130">
        <v>0.18654938181084738</v>
      </c>
      <c r="P41" s="443">
        <f t="shared" si="4"/>
        <v>2.781599093809084E-2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1620000</v>
      </c>
      <c r="E42" s="71">
        <v>1620000</v>
      </c>
      <c r="F42" s="130">
        <f t="shared" si="7"/>
        <v>1</v>
      </c>
      <c r="G42" s="71">
        <v>1620000</v>
      </c>
      <c r="H42" s="130">
        <f t="shared" si="8"/>
        <v>1</v>
      </c>
      <c r="I42" s="71">
        <v>453095.25</v>
      </c>
      <c r="J42" s="194">
        <f t="shared" si="9"/>
        <v>0.27968842592592591</v>
      </c>
      <c r="K42" s="394">
        <v>1640000</v>
      </c>
      <c r="L42" s="130">
        <v>1</v>
      </c>
      <c r="M42" s="210">
        <f t="shared" si="3"/>
        <v>-1.2195121951219523E-2</v>
      </c>
      <c r="N42" s="394">
        <v>334477.5</v>
      </c>
      <c r="O42" s="130">
        <v>0.20394969512195121</v>
      </c>
      <c r="P42" s="443">
        <f t="shared" si="4"/>
        <v>0.35463596206022818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767</v>
      </c>
      <c r="D44" s="743" t="s">
        <v>779</v>
      </c>
      <c r="E44" s="741"/>
      <c r="F44" s="741"/>
      <c r="G44" s="741"/>
      <c r="H44" s="741"/>
      <c r="I44" s="741"/>
      <c r="J44" s="742"/>
      <c r="K44" s="749" t="s">
        <v>780</v>
      </c>
      <c r="L44" s="750"/>
      <c r="M44" s="750"/>
      <c r="N44" s="750"/>
      <c r="O44" s="750"/>
      <c r="P44" s="751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545</v>
      </c>
      <c r="L45" s="88" t="s">
        <v>546</v>
      </c>
      <c r="M45" s="149" t="s">
        <v>547</v>
      </c>
      <c r="N45" s="87" t="s">
        <v>39</v>
      </c>
      <c r="O45" s="88" t="s">
        <v>40</v>
      </c>
      <c r="P45" s="149" t="s">
        <v>362</v>
      </c>
    </row>
    <row r="46" spans="1:17" ht="26.4" x14ac:dyDescent="0.25">
      <c r="A46" s="680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7" t="s">
        <v>766</v>
      </c>
      <c r="N46" s="564" t="s">
        <v>17</v>
      </c>
      <c r="O46" s="89" t="s">
        <v>18</v>
      </c>
      <c r="P46" s="587" t="s">
        <v>766</v>
      </c>
      <c r="Q46" s="58" t="s">
        <v>163</v>
      </c>
    </row>
    <row r="47" spans="1:17" ht="15" customHeight="1" x14ac:dyDescent="0.25">
      <c r="A47" s="81"/>
      <c r="B47" s="698" t="s">
        <v>277</v>
      </c>
      <c r="C47" s="186">
        <v>2113545.42</v>
      </c>
      <c r="D47" s="190">
        <v>2048586.57</v>
      </c>
      <c r="E47" s="82">
        <v>1288895.3999999999</v>
      </c>
      <c r="F47" s="414">
        <f t="shared" si="7"/>
        <v>0.62916325766989667</v>
      </c>
      <c r="G47" s="82">
        <v>1288895.3999999999</v>
      </c>
      <c r="H47" s="414">
        <f t="shared" si="8"/>
        <v>0.62916325766989667</v>
      </c>
      <c r="I47" s="82">
        <v>200011.1</v>
      </c>
      <c r="J47" s="431">
        <f t="shared" si="9"/>
        <v>9.76337065413838E-2</v>
      </c>
      <c r="K47" s="584">
        <v>1288895.3999999999</v>
      </c>
      <c r="L47" s="414">
        <v>0.73565825153346387</v>
      </c>
      <c r="M47" s="210">
        <f t="shared" si="3"/>
        <v>0</v>
      </c>
      <c r="N47" s="584">
        <v>274251.42</v>
      </c>
      <c r="O47" s="414">
        <v>0.15653350932726554</v>
      </c>
      <c r="P47" s="591">
        <f t="shared" si="4"/>
        <v>-0.27070167950269863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475178.32</v>
      </c>
      <c r="J48" s="194">
        <f t="shared" si="9"/>
        <v>0.17582025193978973</v>
      </c>
      <c r="K48" s="394">
        <v>2672486.9900000002</v>
      </c>
      <c r="L48" s="130">
        <v>1</v>
      </c>
      <c r="M48" s="210">
        <f t="shared" si="3"/>
        <v>9.0016078993147008E-3</v>
      </c>
      <c r="N48" s="394">
        <v>345954.32</v>
      </c>
      <c r="O48" s="130">
        <v>0.1294503289611898</v>
      </c>
      <c r="P48" s="591">
        <f t="shared" si="4"/>
        <v>0.37352908326162826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8215056.1699999999</v>
      </c>
      <c r="E49" s="71">
        <v>7126421.71</v>
      </c>
      <c r="F49" s="130">
        <f t="shared" si="7"/>
        <v>0.86748301685684026</v>
      </c>
      <c r="G49" s="71">
        <v>7126421.71</v>
      </c>
      <c r="H49" s="130">
        <f t="shared" si="8"/>
        <v>0.86748301685684026</v>
      </c>
      <c r="I49" s="71">
        <v>1451226.59</v>
      </c>
      <c r="J49" s="194">
        <f t="shared" si="9"/>
        <v>0.17665449389130594</v>
      </c>
      <c r="K49" s="394">
        <v>6995670.5499999998</v>
      </c>
      <c r="L49" s="130">
        <v>0.7669244680354913</v>
      </c>
      <c r="M49" s="210">
        <f t="shared" si="3"/>
        <v>1.86902969580236E-2</v>
      </c>
      <c r="N49" s="394">
        <v>131485.09</v>
      </c>
      <c r="O49" s="130">
        <v>1.4414505654908047E-2</v>
      </c>
      <c r="P49" s="591">
        <f t="shared" si="4"/>
        <v>10.037195091854143</v>
      </c>
      <c r="Q49" s="59">
        <v>22724</v>
      </c>
    </row>
    <row r="50" spans="1:17" ht="15" customHeight="1" x14ac:dyDescent="0.25">
      <c r="A50" s="70"/>
      <c r="B50" s="70" t="s">
        <v>459</v>
      </c>
      <c r="C50" s="184">
        <v>205380.83</v>
      </c>
      <c r="D50" s="188">
        <v>315380.83</v>
      </c>
      <c r="E50" s="71">
        <v>157374.09</v>
      </c>
      <c r="F50" s="130">
        <f t="shared" si="7"/>
        <v>0.49899700625431159</v>
      </c>
      <c r="G50" s="71">
        <v>97374.09</v>
      </c>
      <c r="H50" s="130">
        <f t="shared" si="8"/>
        <v>0.30875082039704188</v>
      </c>
      <c r="I50" s="71">
        <v>0</v>
      </c>
      <c r="J50" s="194">
        <f t="shared" si="9"/>
        <v>0</v>
      </c>
      <c r="K50" s="394">
        <v>26470.51</v>
      </c>
      <c r="L50" s="130">
        <v>0.51094633661237321</v>
      </c>
      <c r="M50" s="210">
        <f t="shared" si="3"/>
        <v>2.6785876056033677</v>
      </c>
      <c r="N50" s="394">
        <v>26470.51</v>
      </c>
      <c r="O50" s="130">
        <v>0.51094633661237321</v>
      </c>
      <c r="P50" s="591">
        <f t="shared" si="4"/>
        <v>-1</v>
      </c>
      <c r="Q50" s="59" t="s">
        <v>458</v>
      </c>
    </row>
    <row r="51" spans="1:17" ht="15" customHeight="1" x14ac:dyDescent="0.25">
      <c r="A51" s="70"/>
      <c r="B51" s="70" t="s">
        <v>460</v>
      </c>
      <c r="C51" s="184">
        <v>0</v>
      </c>
      <c r="D51" s="188">
        <v>0</v>
      </c>
      <c r="E51" s="71">
        <v>0</v>
      </c>
      <c r="F51" s="130" t="s">
        <v>129</v>
      </c>
      <c r="G51" s="71">
        <v>0</v>
      </c>
      <c r="H51" s="130" t="s">
        <v>129</v>
      </c>
      <c r="I51" s="71">
        <v>0</v>
      </c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91" t="s">
        <v>129</v>
      </c>
      <c r="Q51" s="59" t="s">
        <v>461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263633125.25999999</v>
      </c>
      <c r="E52" s="71">
        <v>256561922.77000001</v>
      </c>
      <c r="F52" s="130">
        <f t="shared" si="7"/>
        <v>0.97317786798215811</v>
      </c>
      <c r="G52" s="71">
        <v>256561922.77000001</v>
      </c>
      <c r="H52" s="130">
        <f t="shared" si="8"/>
        <v>0.97317786798215811</v>
      </c>
      <c r="I52" s="71">
        <v>39178245.369999997</v>
      </c>
      <c r="J52" s="194">
        <f t="shared" si="9"/>
        <v>0.14860896304802998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38206368.090000004</v>
      </c>
      <c r="O52" s="130">
        <v>0.14898942169542953</v>
      </c>
      <c r="P52" s="591">
        <f t="shared" si="4"/>
        <v>2.5437573069248876E-2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2284341.33</v>
      </c>
      <c r="E53" s="71">
        <v>2253200.09</v>
      </c>
      <c r="F53" s="130">
        <f t="shared" si="7"/>
        <v>0.98636751890314034</v>
      </c>
      <c r="G53" s="71">
        <v>2253200.09</v>
      </c>
      <c r="H53" s="130">
        <f t="shared" si="8"/>
        <v>0.98636751890314034</v>
      </c>
      <c r="I53" s="71">
        <v>265219.93</v>
      </c>
      <c r="J53" s="194">
        <f t="shared" si="9"/>
        <v>0.11610345902203678</v>
      </c>
      <c r="K53" s="394">
        <v>643091.97</v>
      </c>
      <c r="L53" s="130">
        <v>0.34807547634921282</v>
      </c>
      <c r="M53" s="210">
        <f t="shared" si="3"/>
        <v>2.5036980635911221</v>
      </c>
      <c r="N53" s="394">
        <v>145728.29</v>
      </c>
      <c r="O53" s="130">
        <v>7.887587829670184E-2</v>
      </c>
      <c r="P53" s="591">
        <f t="shared" si="4"/>
        <v>0.81996186190066433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51473525.899999999</v>
      </c>
      <c r="E54" s="71">
        <v>46254756.990000002</v>
      </c>
      <c r="F54" s="130">
        <f t="shared" si="7"/>
        <v>0.89861256211321638</v>
      </c>
      <c r="G54" s="71">
        <v>45637319.210000001</v>
      </c>
      <c r="H54" s="130">
        <f t="shared" si="8"/>
        <v>0.88661731272619115</v>
      </c>
      <c r="I54" s="71">
        <v>9951395.0299999993</v>
      </c>
      <c r="J54" s="194">
        <f t="shared" si="9"/>
        <v>0.19333035489608844</v>
      </c>
      <c r="K54" s="394">
        <v>40265339.700000003</v>
      </c>
      <c r="L54" s="130">
        <v>0.83628169922325257</v>
      </c>
      <c r="M54" s="210">
        <f t="shared" si="3"/>
        <v>0.13341448377250376</v>
      </c>
      <c r="N54" s="394">
        <v>10081769.58</v>
      </c>
      <c r="O54" s="130">
        <v>0.20939099131801681</v>
      </c>
      <c r="P54" s="591">
        <f t="shared" si="4"/>
        <v>-1.2931712926531724E-2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575434.87</v>
      </c>
      <c r="J55" s="194">
        <f t="shared" si="9"/>
        <v>0.13459744329053844</v>
      </c>
      <c r="K55" s="394">
        <v>2726070.64</v>
      </c>
      <c r="L55" s="130">
        <v>0.62134553616442967</v>
      </c>
      <c r="M55" s="210">
        <f t="shared" si="3"/>
        <v>0.56484746117950912</v>
      </c>
      <c r="N55" s="394">
        <v>1002999.43</v>
      </c>
      <c r="O55" s="130">
        <v>0.22861081054230031</v>
      </c>
      <c r="P55" s="591">
        <f t="shared" si="4"/>
        <v>-0.42628594514754614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9849828.6699999999</v>
      </c>
      <c r="E56" s="73">
        <v>9496332.5600000005</v>
      </c>
      <c r="F56" s="413">
        <f t="shared" si="5"/>
        <v>0.96411144580852903</v>
      </c>
      <c r="G56" s="73">
        <v>3654515.5700000003</v>
      </c>
      <c r="H56" s="413">
        <f t="shared" si="1"/>
        <v>0.37102326268178637</v>
      </c>
      <c r="I56" s="73">
        <v>1277431.98</v>
      </c>
      <c r="J56" s="430">
        <f t="shared" si="2"/>
        <v>0.12969078171793216</v>
      </c>
      <c r="K56" s="583">
        <v>3429482.58</v>
      </c>
      <c r="L56" s="130">
        <v>0.80089784806307529</v>
      </c>
      <c r="M56" s="645">
        <f t="shared" si="3"/>
        <v>6.5617184152601871E-2</v>
      </c>
      <c r="N56" s="583">
        <v>576541.14999999991</v>
      </c>
      <c r="O56" s="130">
        <v>0.1346414672136374</v>
      </c>
      <c r="P56" s="591">
        <f t="shared" si="4"/>
        <v>1.2156822284064202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1862579.5</v>
      </c>
      <c r="E57" s="71">
        <v>1039654.85</v>
      </c>
      <c r="F57" s="414">
        <f t="shared" si="5"/>
        <v>0.55818012063377698</v>
      </c>
      <c r="G57" s="472">
        <v>206146.16</v>
      </c>
      <c r="H57" s="414">
        <f t="shared" si="1"/>
        <v>0.1106777777807605</v>
      </c>
      <c r="I57" s="71">
        <v>206146.16</v>
      </c>
      <c r="J57" s="431">
        <f t="shared" si="2"/>
        <v>0.1106777777807605</v>
      </c>
      <c r="K57" s="584">
        <v>370846.89</v>
      </c>
      <c r="L57" s="415">
        <v>0.20346965499388292</v>
      </c>
      <c r="M57" s="210">
        <f t="shared" si="3"/>
        <v>-0.44412056414980317</v>
      </c>
      <c r="N57" s="584">
        <v>370846.89</v>
      </c>
      <c r="O57" s="415">
        <v>0.20346965499388292</v>
      </c>
      <c r="P57" s="591">
        <f t="shared" si="4"/>
        <v>-0.44412056414980317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977320.16</v>
      </c>
      <c r="E58" s="71">
        <v>371603.52</v>
      </c>
      <c r="F58" s="130">
        <f t="shared" si="5"/>
        <v>0.38022700769827567</v>
      </c>
      <c r="G58" s="473">
        <v>233810.79</v>
      </c>
      <c r="H58" s="130">
        <f t="shared" si="1"/>
        <v>0.23923663868757195</v>
      </c>
      <c r="I58" s="71">
        <v>167603.49</v>
      </c>
      <c r="J58" s="194">
        <f t="shared" si="2"/>
        <v>0.1714929220328372</v>
      </c>
      <c r="K58" s="394">
        <v>243123.87</v>
      </c>
      <c r="L58" s="130">
        <v>0.21189122985422515</v>
      </c>
      <c r="M58" s="210">
        <f t="shared" si="3"/>
        <v>-3.8305905545185648E-2</v>
      </c>
      <c r="N58" s="394">
        <v>183860.67</v>
      </c>
      <c r="O58" s="130">
        <v>0.16024121156068238</v>
      </c>
      <c r="P58" s="591">
        <f t="shared" si="4"/>
        <v>-8.8421194157510818E-2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334150.93</v>
      </c>
      <c r="E59" s="73">
        <v>240000</v>
      </c>
      <c r="F59" s="413">
        <f t="shared" si="5"/>
        <v>0.71823831225009616</v>
      </c>
      <c r="G59" s="474">
        <v>52924.09</v>
      </c>
      <c r="H59" s="413">
        <f>+G59/D59</f>
        <v>0.15838378782905077</v>
      </c>
      <c r="I59" s="73">
        <v>52924.09</v>
      </c>
      <c r="J59" s="430">
        <f t="shared" si="2"/>
        <v>0.15838378782905077</v>
      </c>
      <c r="K59" s="583">
        <v>57999.95</v>
      </c>
      <c r="L59" s="130">
        <v>0.19406589479678774</v>
      </c>
      <c r="M59" s="646">
        <f t="shared" si="3"/>
        <v>-8.7514903030088798E-2</v>
      </c>
      <c r="N59" s="583">
        <v>57999.95</v>
      </c>
      <c r="O59" s="130">
        <v>0.19406589479678801</v>
      </c>
      <c r="P59" s="591">
        <f t="shared" si="4"/>
        <v>-8.7514903030088798E-2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62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80">
        <v>0</v>
      </c>
      <c r="L60" s="586" t="s">
        <v>129</v>
      </c>
      <c r="M60" s="245" t="s">
        <v>129</v>
      </c>
      <c r="N60" s="580">
        <v>0</v>
      </c>
      <c r="O60" s="586" t="s">
        <v>129</v>
      </c>
      <c r="P60" s="245" t="s">
        <v>129</v>
      </c>
      <c r="Q60" s="59" t="s">
        <v>540</v>
      </c>
    </row>
    <row r="61" spans="1:17" ht="15" customHeight="1" x14ac:dyDescent="0.25">
      <c r="A61" s="527"/>
      <c r="B61" s="83" t="s">
        <v>240</v>
      </c>
      <c r="C61" s="162">
        <f>SUM(C12:C42,C47:C60)</f>
        <v>665063202.92999983</v>
      </c>
      <c r="D61" s="152">
        <f>SUM(D12:D42,D47:D60)</f>
        <v>670803400.15999985</v>
      </c>
      <c r="E61" s="84">
        <f>SUM(E12:E42,E47:E60)</f>
        <v>565519054.36999989</v>
      </c>
      <c r="F61" s="90">
        <f>+E61/D61</f>
        <v>0.84304738800535661</v>
      </c>
      <c r="G61" s="84">
        <f>SUM(G12:G42,G47:G60)</f>
        <v>535157374.87</v>
      </c>
      <c r="H61" s="90">
        <f t="shared" si="1"/>
        <v>0.79778572193038144</v>
      </c>
      <c r="I61" s="84">
        <f>SUM(I12:I42,I47:I60)</f>
        <v>99765341.960000008</v>
      </c>
      <c r="J61" s="170">
        <f t="shared" si="2"/>
        <v>0.14872515842377068</v>
      </c>
      <c r="K61" s="152">
        <f>SUM(K12:K42,K47:K60)</f>
        <v>507874522.23999995</v>
      </c>
      <c r="L61" s="90">
        <v>0.84299999999999997</v>
      </c>
      <c r="M61" s="629">
        <f t="shared" si="3"/>
        <v>5.3719671760000809E-2</v>
      </c>
      <c r="N61" s="568">
        <f>SUM(N12:N42,N47:N60)</f>
        <v>94039267.820000038</v>
      </c>
      <c r="O61" s="90">
        <v>0.156</v>
      </c>
      <c r="P61" s="213">
        <f>+I61/N61-1</f>
        <v>6.0890245880691252E-2</v>
      </c>
    </row>
    <row r="62" spans="1:17" ht="15" customHeight="1" x14ac:dyDescent="0.25">
      <c r="A62" s="81"/>
      <c r="B62" s="81" t="s">
        <v>346</v>
      </c>
      <c r="C62" s="186">
        <v>21570000</v>
      </c>
      <c r="D62" s="190">
        <v>21570000</v>
      </c>
      <c r="E62" s="82">
        <v>4878362.99</v>
      </c>
      <c r="F62" s="414">
        <f>+E62/D62</f>
        <v>0.22616425544738064</v>
      </c>
      <c r="G62" s="82">
        <v>4878362.99</v>
      </c>
      <c r="H62" s="414">
        <f t="shared" si="1"/>
        <v>0.22616425544738064</v>
      </c>
      <c r="I62" s="82">
        <v>4878362.99</v>
      </c>
      <c r="J62" s="431">
        <f t="shared" si="2"/>
        <v>0.22616425544738064</v>
      </c>
      <c r="K62" s="584">
        <v>6490750.5499999998</v>
      </c>
      <c r="L62" s="414">
        <v>0.19418298391435027</v>
      </c>
      <c r="M62" s="591">
        <f t="shared" si="3"/>
        <v>-0.24841311456654269</v>
      </c>
      <c r="N62" s="584">
        <v>6490750.5499999998</v>
      </c>
      <c r="O62" s="414">
        <v>0.19418298391435027</v>
      </c>
      <c r="P62" s="591">
        <f>+I62/N62-1</f>
        <v>-0.24841311456654269</v>
      </c>
      <c r="Q62" s="59" t="s">
        <v>348</v>
      </c>
    </row>
    <row r="63" spans="1:17" ht="15" customHeight="1" x14ac:dyDescent="0.25">
      <c r="A63" s="70"/>
      <c r="B63" s="70" t="s">
        <v>347</v>
      </c>
      <c r="C63" s="184">
        <v>280000</v>
      </c>
      <c r="D63" s="188">
        <v>280000</v>
      </c>
      <c r="E63" s="71">
        <v>1810.72</v>
      </c>
      <c r="F63" s="130">
        <f>+E63/D63</f>
        <v>6.4668571428571431E-3</v>
      </c>
      <c r="G63" s="71">
        <v>1810.72</v>
      </c>
      <c r="H63" s="130">
        <f t="shared" si="1"/>
        <v>6.4668571428571431E-3</v>
      </c>
      <c r="I63" s="71">
        <v>1810.72</v>
      </c>
      <c r="J63" s="194">
        <f t="shared" si="2"/>
        <v>6.4668571428571431E-3</v>
      </c>
      <c r="K63" s="394">
        <v>1057.3699999999999</v>
      </c>
      <c r="L63" s="130">
        <v>1.0247789251016251E-3</v>
      </c>
      <c r="M63" s="591">
        <f t="shared" si="3"/>
        <v>0.71247529247094232</v>
      </c>
      <c r="N63" s="394">
        <v>1057.3699999999999</v>
      </c>
      <c r="O63" s="130">
        <v>1.0247789251016251E-3</v>
      </c>
      <c r="P63" s="591">
        <f t="shared" ref="P63" si="10">+I63/N63-1</f>
        <v>0.71247529247094232</v>
      </c>
      <c r="Q63" s="59" t="s">
        <v>349</v>
      </c>
    </row>
    <row r="64" spans="1:17" ht="15" customHeight="1" x14ac:dyDescent="0.25">
      <c r="A64" s="79"/>
      <c r="B64" s="550" t="s">
        <v>183</v>
      </c>
      <c r="C64" s="395">
        <v>250000</v>
      </c>
      <c r="D64" s="191">
        <v>250000</v>
      </c>
      <c r="E64" s="80">
        <v>4756.1000000000004</v>
      </c>
      <c r="F64" s="243">
        <f>+E64/D64</f>
        <v>1.90244E-2</v>
      </c>
      <c r="G64" s="80">
        <v>4756.1000000000004</v>
      </c>
      <c r="H64" s="243">
        <f t="shared" si="1"/>
        <v>1.90244E-2</v>
      </c>
      <c r="I64" s="80">
        <v>4756.1000000000004</v>
      </c>
      <c r="J64" s="195">
        <f t="shared" si="2"/>
        <v>1.90244E-2</v>
      </c>
      <c r="K64" s="585">
        <v>0</v>
      </c>
      <c r="L64" s="243">
        <v>0</v>
      </c>
      <c r="M64" s="245" t="s">
        <v>129</v>
      </c>
      <c r="N64" s="585">
        <v>0</v>
      </c>
      <c r="O64" s="243">
        <v>0</v>
      </c>
      <c r="P64" s="245" t="s">
        <v>129</v>
      </c>
      <c r="Q64" s="59">
        <v>352</v>
      </c>
    </row>
    <row r="65" spans="1:19" ht="15" customHeight="1" thickBot="1" x14ac:dyDescent="0.3">
      <c r="A65" s="527"/>
      <c r="B65" s="518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4884929.8099999996</v>
      </c>
      <c r="F65" s="377">
        <f>+E65/D65</f>
        <v>0.22103754796380087</v>
      </c>
      <c r="G65" s="174">
        <f t="shared" si="11"/>
        <v>4884929.8099999996</v>
      </c>
      <c r="H65" s="377">
        <f t="shared" si="1"/>
        <v>0.22103754796380087</v>
      </c>
      <c r="I65" s="174">
        <f t="shared" si="11"/>
        <v>4884929.8099999996</v>
      </c>
      <c r="J65" s="175">
        <f t="shared" si="2"/>
        <v>0.22103754796380087</v>
      </c>
      <c r="K65" s="608">
        <f t="shared" ref="K65" si="12">SUM(K62:K64)</f>
        <v>6491807.9199999999</v>
      </c>
      <c r="L65" s="377">
        <v>0.187</v>
      </c>
      <c r="M65" s="609">
        <f t="shared" si="3"/>
        <v>-0.24752397634093903</v>
      </c>
      <c r="N65" s="608">
        <f t="shared" ref="N65" si="13">SUM(N62:N64)</f>
        <v>6491807.9199999999</v>
      </c>
      <c r="O65" s="377">
        <v>0.187</v>
      </c>
      <c r="P65" s="609">
        <f>+I65/N65-1</f>
        <v>-0.24752397634093903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767</v>
      </c>
      <c r="D68" s="743" t="s">
        <v>779</v>
      </c>
      <c r="E68" s="741"/>
      <c r="F68" s="741"/>
      <c r="G68" s="741"/>
      <c r="H68" s="741"/>
      <c r="I68" s="741"/>
      <c r="J68" s="742"/>
      <c r="K68" s="749" t="s">
        <v>780</v>
      </c>
      <c r="L68" s="750"/>
      <c r="M68" s="750"/>
      <c r="N68" s="750"/>
      <c r="O68" s="750"/>
      <c r="P68" s="751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545</v>
      </c>
      <c r="L69" s="88" t="s">
        <v>546</v>
      </c>
      <c r="M69" s="88" t="s">
        <v>547</v>
      </c>
      <c r="N69" s="87" t="s">
        <v>39</v>
      </c>
      <c r="O69" s="88" t="s">
        <v>40</v>
      </c>
      <c r="P69" s="149" t="s">
        <v>362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766</v>
      </c>
      <c r="N70" s="564" t="s">
        <v>17</v>
      </c>
      <c r="O70" s="89" t="s">
        <v>18</v>
      </c>
      <c r="P70" s="587" t="s">
        <v>766</v>
      </c>
      <c r="Q70" s="58" t="s">
        <v>163</v>
      </c>
      <c r="S70" s="358"/>
    </row>
    <row r="71" spans="1:19" ht="15" customHeight="1" x14ac:dyDescent="0.25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1" si="14">+E71/D71</f>
        <v>1</v>
      </c>
      <c r="G71" s="82">
        <v>25094829</v>
      </c>
      <c r="H71" s="417">
        <f>+G71/D71</f>
        <v>1</v>
      </c>
      <c r="I71" s="82">
        <v>5500000</v>
      </c>
      <c r="J71" s="348">
        <f>I71/D71</f>
        <v>0.21916865821241499</v>
      </c>
      <c r="K71" s="565">
        <v>24587855.940000001</v>
      </c>
      <c r="L71" s="417">
        <v>1</v>
      </c>
      <c r="M71" s="210">
        <f t="shared" ref="M71:M140" si="15">+G71/K71-1</f>
        <v>2.0618839692128077E-2</v>
      </c>
      <c r="N71" s="565">
        <v>7800000</v>
      </c>
      <c r="O71" s="417">
        <v>0.3172297746917741</v>
      </c>
      <c r="P71" s="210">
        <f t="shared" ref="P71:P83" si="16">+I71/N71-1</f>
        <v>-0.29487179487179482</v>
      </c>
      <c r="Q71" s="60" t="s">
        <v>364</v>
      </c>
      <c r="S71" s="357"/>
    </row>
    <row r="72" spans="1:19" ht="15" customHeight="1" x14ac:dyDescent="0.25">
      <c r="A72" s="23"/>
      <c r="B72" s="23" t="s">
        <v>294</v>
      </c>
      <c r="C72" s="184">
        <v>858841</v>
      </c>
      <c r="D72" s="188">
        <v>858841</v>
      </c>
      <c r="E72" s="82">
        <v>858841</v>
      </c>
      <c r="F72" s="417">
        <f t="shared" si="14"/>
        <v>1</v>
      </c>
      <c r="G72" s="82">
        <v>858841</v>
      </c>
      <c r="H72" s="417">
        <f>+G72/D72</f>
        <v>1</v>
      </c>
      <c r="I72" s="82">
        <v>215000</v>
      </c>
      <c r="J72" s="348">
        <f>I72/D72</f>
        <v>0.25033737327398203</v>
      </c>
      <c r="K72" s="566">
        <v>858841</v>
      </c>
      <c r="L72" s="418">
        <v>1</v>
      </c>
      <c r="M72" s="210">
        <f t="shared" si="15"/>
        <v>0</v>
      </c>
      <c r="N72" s="566">
        <v>215000</v>
      </c>
      <c r="O72" s="418">
        <v>0.25033737327398203</v>
      </c>
      <c r="P72" s="210">
        <f t="shared" si="16"/>
        <v>0</v>
      </c>
      <c r="Q72" s="60" t="s">
        <v>365</v>
      </c>
      <c r="S72" s="357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50143662.619999997</v>
      </c>
      <c r="E73" s="82">
        <v>50143662.619999997</v>
      </c>
      <c r="F73" s="418">
        <f t="shared" si="14"/>
        <v>1</v>
      </c>
      <c r="G73" s="82">
        <v>50143662.619999997</v>
      </c>
      <c r="H73" s="418">
        <f t="shared" ref="H73:H94" si="17">+G73/D73</f>
        <v>1</v>
      </c>
      <c r="I73" s="82">
        <v>15900000</v>
      </c>
      <c r="J73" s="432">
        <f t="shared" ref="J73:J94" si="18">I73/D73</f>
        <v>0.31708892348957018</v>
      </c>
      <c r="K73" s="566">
        <v>43098862</v>
      </c>
      <c r="L73" s="418">
        <v>0.9993044101186811</v>
      </c>
      <c r="M73" s="211">
        <f t="shared" si="15"/>
        <v>0.16345676644548046</v>
      </c>
      <c r="N73" s="566">
        <v>23500000</v>
      </c>
      <c r="O73" s="418">
        <v>0.54487874036648587</v>
      </c>
      <c r="P73" s="210">
        <f t="shared" si="16"/>
        <v>-0.32340425531914896</v>
      </c>
      <c r="Q73" s="60" t="s">
        <v>366</v>
      </c>
      <c r="S73" s="357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48286057.25</v>
      </c>
      <c r="E74" s="82">
        <v>39601371.490000002</v>
      </c>
      <c r="F74" s="418">
        <f t="shared" si="14"/>
        <v>0.82014092152864693</v>
      </c>
      <c r="G74" s="82">
        <v>39601371.490000002</v>
      </c>
      <c r="H74" s="418">
        <f t="shared" si="17"/>
        <v>0.82014092152864693</v>
      </c>
      <c r="I74" s="82">
        <v>14674165.42</v>
      </c>
      <c r="J74" s="432">
        <f t="shared" si="18"/>
        <v>0.30390067559305639</v>
      </c>
      <c r="K74" s="566">
        <v>27048074.75</v>
      </c>
      <c r="L74" s="418">
        <v>0.69020175128340167</v>
      </c>
      <c r="M74" s="211">
        <f t="shared" si="15"/>
        <v>0.46411054598257495</v>
      </c>
      <c r="N74" s="566">
        <v>11000000</v>
      </c>
      <c r="O74" s="418">
        <v>0.28069351827406563</v>
      </c>
      <c r="P74" s="210">
        <f t="shared" si="16"/>
        <v>0.3340150381818181</v>
      </c>
      <c r="Q74" s="60" t="s">
        <v>504</v>
      </c>
      <c r="S74" s="358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143152893.16</v>
      </c>
      <c r="E75" s="82">
        <v>138280341</v>
      </c>
      <c r="F75" s="418">
        <f t="shared" si="14"/>
        <v>0.96596260087769226</v>
      </c>
      <c r="G75" s="82">
        <v>138280341</v>
      </c>
      <c r="H75" s="418">
        <f t="shared" si="17"/>
        <v>0.96596260087769226</v>
      </c>
      <c r="I75" s="82">
        <v>59030950</v>
      </c>
      <c r="J75" s="432">
        <f t="shared" si="18"/>
        <v>0.41236295471878398</v>
      </c>
      <c r="K75" s="566">
        <v>96018009.010000005</v>
      </c>
      <c r="L75" s="418">
        <v>0.97949864020678956</v>
      </c>
      <c r="M75" s="211">
        <f t="shared" si="15"/>
        <v>0.44015005545051955</v>
      </c>
      <c r="N75" s="566">
        <v>43953350</v>
      </c>
      <c r="O75" s="418">
        <v>0.44837678891101901</v>
      </c>
      <c r="P75" s="210">
        <f t="shared" si="16"/>
        <v>0.34303642384482647</v>
      </c>
      <c r="Q75" s="60" t="s">
        <v>446</v>
      </c>
      <c r="S75" s="357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0</v>
      </c>
      <c r="J76" s="432">
        <f t="shared" si="18"/>
        <v>0</v>
      </c>
      <c r="K76" s="566">
        <v>752000</v>
      </c>
      <c r="L76" s="418">
        <v>0.33948957958405013</v>
      </c>
      <c r="M76" s="211">
        <f t="shared" si="15"/>
        <v>1.8791090425531913</v>
      </c>
      <c r="N76" s="566">
        <v>752000</v>
      </c>
      <c r="O76" s="418">
        <v>0.33948957958405013</v>
      </c>
      <c r="P76" s="210">
        <f t="shared" si="16"/>
        <v>-1</v>
      </c>
      <c r="Q76" s="60" t="s">
        <v>367</v>
      </c>
      <c r="S76" s="357"/>
    </row>
    <row r="77" spans="1:19" ht="15" customHeight="1" x14ac:dyDescent="0.25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3800000</v>
      </c>
      <c r="J77" s="432">
        <f t="shared" si="18"/>
        <v>0.43431316287760813</v>
      </c>
      <c r="K77" s="566">
        <v>7713147</v>
      </c>
      <c r="L77" s="418">
        <v>0.99531579479155097</v>
      </c>
      <c r="M77" s="211">
        <f t="shared" si="15"/>
        <v>0</v>
      </c>
      <c r="N77" s="566">
        <v>1900000</v>
      </c>
      <c r="O77" s="418">
        <v>0.24517878501524043</v>
      </c>
      <c r="P77" s="210">
        <f t="shared" si="16"/>
        <v>1</v>
      </c>
      <c r="Q77" s="60" t="s">
        <v>541</v>
      </c>
      <c r="S77" s="357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3800000</v>
      </c>
      <c r="J78" s="432">
        <f t="shared" si="18"/>
        <v>0.15678083398863252</v>
      </c>
      <c r="K78" s="566">
        <v>22591226.289999999</v>
      </c>
      <c r="L78" s="418">
        <v>1</v>
      </c>
      <c r="M78" s="211">
        <f t="shared" si="15"/>
        <v>7.2879187205910689E-2</v>
      </c>
      <c r="N78" s="566">
        <v>4700000</v>
      </c>
      <c r="O78" s="418">
        <v>0.20804536857215467</v>
      </c>
      <c r="P78" s="210">
        <f t="shared" si="16"/>
        <v>-0.19148936170212771</v>
      </c>
      <c r="Q78" s="60" t="s">
        <v>542</v>
      </c>
      <c r="S78" s="357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10484584.129999999</v>
      </c>
      <c r="E79" s="62">
        <v>10484584.129999999</v>
      </c>
      <c r="F79" s="419">
        <f t="shared" si="14"/>
        <v>1</v>
      </c>
      <c r="G79" s="62">
        <v>10484584.129999999</v>
      </c>
      <c r="H79" s="419">
        <f t="shared" si="17"/>
        <v>1</v>
      </c>
      <c r="I79" s="62">
        <v>2700000</v>
      </c>
      <c r="J79" s="433">
        <f t="shared" si="18"/>
        <v>0.25752094375153822</v>
      </c>
      <c r="K79" s="602">
        <v>8862631.629999999</v>
      </c>
      <c r="L79" s="419">
        <v>1</v>
      </c>
      <c r="M79" s="592">
        <f t="shared" si="15"/>
        <v>0.18301025786851977</v>
      </c>
      <c r="N79" s="602">
        <v>3699554.02</v>
      </c>
      <c r="O79" s="419">
        <v>0.4174328996679737</v>
      </c>
      <c r="P79" s="210">
        <f t="shared" si="16"/>
        <v>-0.27018230159536905</v>
      </c>
      <c r="Q79" s="330" t="s">
        <v>368</v>
      </c>
      <c r="S79" s="357"/>
    </row>
    <row r="80" spans="1:19" ht="15" customHeight="1" x14ac:dyDescent="0.25">
      <c r="A80" s="55"/>
      <c r="B80" s="55" t="s">
        <v>768</v>
      </c>
      <c r="C80" s="176">
        <v>4718946</v>
      </c>
      <c r="D80" s="190">
        <v>3834373.73</v>
      </c>
      <c r="E80" s="82">
        <v>0</v>
      </c>
      <c r="F80" s="362">
        <f>E80/D80</f>
        <v>0</v>
      </c>
      <c r="G80" s="82">
        <v>0</v>
      </c>
      <c r="H80" s="362">
        <f t="shared" si="17"/>
        <v>0</v>
      </c>
      <c r="I80" s="82">
        <v>0</v>
      </c>
      <c r="J80" s="278">
        <f t="shared" si="18"/>
        <v>0</v>
      </c>
      <c r="K80" s="584">
        <v>0</v>
      </c>
      <c r="L80" s="362" t="s">
        <v>129</v>
      </c>
      <c r="M80" s="591" t="s">
        <v>129</v>
      </c>
      <c r="N80" s="584">
        <v>0</v>
      </c>
      <c r="O80" s="362" t="s">
        <v>129</v>
      </c>
      <c r="P80" s="591" t="s">
        <v>129</v>
      </c>
      <c r="Q80" s="60">
        <v>41099</v>
      </c>
      <c r="S80" s="357"/>
    </row>
    <row r="81" spans="1:19" ht="15" customHeight="1" x14ac:dyDescent="0.25">
      <c r="A81" s="68"/>
      <c r="B81" s="68" t="s">
        <v>302</v>
      </c>
      <c r="C81" s="488">
        <v>109886585.06999999</v>
      </c>
      <c r="D81" s="190">
        <v>110736042</v>
      </c>
      <c r="E81" s="82">
        <v>109886585.06999999</v>
      </c>
      <c r="F81" s="362">
        <f t="shared" si="14"/>
        <v>0.99232899321071988</v>
      </c>
      <c r="G81" s="82">
        <v>109886585.06999999</v>
      </c>
      <c r="H81" s="362">
        <f t="shared" si="17"/>
        <v>0.99232899321071988</v>
      </c>
      <c r="I81" s="82">
        <v>31000000</v>
      </c>
      <c r="J81" s="278">
        <f t="shared" si="18"/>
        <v>0.27994498846184152</v>
      </c>
      <c r="K81" s="584">
        <v>103023093</v>
      </c>
      <c r="L81" s="362">
        <v>1</v>
      </c>
      <c r="M81" s="210">
        <f t="shared" si="15"/>
        <v>6.6620908673359125E-2</v>
      </c>
      <c r="N81" s="584">
        <v>51277327.799999997</v>
      </c>
      <c r="O81" s="362">
        <v>0.49772654175700198</v>
      </c>
      <c r="P81" s="210">
        <f t="shared" si="16"/>
        <v>-0.39544431564548099</v>
      </c>
      <c r="Q81" s="331" t="s">
        <v>543</v>
      </c>
      <c r="S81" s="357"/>
    </row>
    <row r="82" spans="1:19" ht="15" customHeight="1" x14ac:dyDescent="0.25">
      <c r="A82" s="81"/>
      <c r="B82" s="81" t="s">
        <v>777</v>
      </c>
      <c r="C82" s="186">
        <v>835000</v>
      </c>
      <c r="D82" s="190">
        <v>820000</v>
      </c>
      <c r="E82" s="82">
        <v>0</v>
      </c>
      <c r="F82" s="362">
        <f t="shared" si="14"/>
        <v>0</v>
      </c>
      <c r="G82" s="82">
        <v>0</v>
      </c>
      <c r="H82" s="362">
        <f t="shared" si="17"/>
        <v>0</v>
      </c>
      <c r="I82" s="82">
        <v>0</v>
      </c>
      <c r="J82" s="278">
        <f t="shared" si="18"/>
        <v>0</v>
      </c>
      <c r="K82" s="584">
        <v>0</v>
      </c>
      <c r="L82" s="362" t="s">
        <v>129</v>
      </c>
      <c r="M82" s="210" t="s">
        <v>129</v>
      </c>
      <c r="N82" s="584">
        <v>0</v>
      </c>
      <c r="O82" s="362" t="s">
        <v>129</v>
      </c>
      <c r="P82" s="210" t="s">
        <v>129</v>
      </c>
      <c r="Q82" s="331">
        <v>44304</v>
      </c>
      <c r="S82" s="357"/>
    </row>
    <row r="83" spans="1:19" ht="15" customHeight="1" x14ac:dyDescent="0.25">
      <c r="A83" s="70"/>
      <c r="B83" s="70" t="s">
        <v>303</v>
      </c>
      <c r="C83" s="184">
        <v>48727097.020000003</v>
      </c>
      <c r="D83" s="188">
        <v>48727097.020000003</v>
      </c>
      <c r="E83" s="82">
        <v>48727097.020000003</v>
      </c>
      <c r="F83" s="362">
        <f t="shared" si="14"/>
        <v>1</v>
      </c>
      <c r="G83" s="82">
        <v>48727097.020000003</v>
      </c>
      <c r="H83" s="362">
        <f t="shared" si="17"/>
        <v>1</v>
      </c>
      <c r="I83" s="82">
        <v>10500000</v>
      </c>
      <c r="J83" s="278">
        <f t="shared" si="18"/>
        <v>0.21548585165437378</v>
      </c>
      <c r="K83" s="394">
        <v>47794228</v>
      </c>
      <c r="L83" s="420">
        <v>1</v>
      </c>
      <c r="M83" s="210">
        <f t="shared" si="15"/>
        <v>1.9518445198026813E-2</v>
      </c>
      <c r="N83" s="394">
        <v>10300000</v>
      </c>
      <c r="O83" s="420">
        <v>0.21550719471815719</v>
      </c>
      <c r="P83" s="210">
        <f t="shared" si="16"/>
        <v>1.9417475728155331E-2</v>
      </c>
      <c r="Q83" s="60" t="s">
        <v>369</v>
      </c>
      <c r="S83" s="357"/>
    </row>
    <row r="84" spans="1:19" ht="15" customHeight="1" x14ac:dyDescent="0.25">
      <c r="A84" s="70"/>
      <c r="B84" s="70" t="s">
        <v>304</v>
      </c>
      <c r="C84" s="184">
        <v>2749627.35</v>
      </c>
      <c r="D84" s="188">
        <v>2748104.19</v>
      </c>
      <c r="E84" s="82">
        <v>1971183.81</v>
      </c>
      <c r="F84" s="362">
        <f t="shared" si="14"/>
        <v>0.7172886010555517</v>
      </c>
      <c r="G84" s="82">
        <v>1971183.81</v>
      </c>
      <c r="H84" s="362">
        <f t="shared" si="17"/>
        <v>0.7172886010555517</v>
      </c>
      <c r="I84" s="82">
        <v>1520887.06</v>
      </c>
      <c r="J84" s="278">
        <f t="shared" si="18"/>
        <v>0.55343136753486777</v>
      </c>
      <c r="K84" s="394">
        <v>300254</v>
      </c>
      <c r="L84" s="420">
        <v>0.14744515762644775</v>
      </c>
      <c r="M84" s="211">
        <f t="shared" si="15"/>
        <v>5.5650542873700273</v>
      </c>
      <c r="N84" s="394">
        <v>0</v>
      </c>
      <c r="O84" s="420">
        <v>0</v>
      </c>
      <c r="P84" s="210" t="s">
        <v>129</v>
      </c>
      <c r="Q84" s="60" t="s">
        <v>370</v>
      </c>
      <c r="S84" s="357"/>
    </row>
    <row r="85" spans="1:19" ht="15" customHeight="1" x14ac:dyDescent="0.25">
      <c r="A85" s="72"/>
      <c r="B85" s="72" t="s">
        <v>305</v>
      </c>
      <c r="C85" s="185">
        <v>617526</v>
      </c>
      <c r="D85" s="189">
        <v>617526</v>
      </c>
      <c r="E85" s="62">
        <v>617526</v>
      </c>
      <c r="F85" s="268">
        <f t="shared" si="14"/>
        <v>1</v>
      </c>
      <c r="G85" s="62">
        <v>617526</v>
      </c>
      <c r="H85" s="421">
        <f t="shared" si="17"/>
        <v>1</v>
      </c>
      <c r="I85" s="62">
        <v>617526</v>
      </c>
      <c r="J85" s="278">
        <f t="shared" si="18"/>
        <v>1</v>
      </c>
      <c r="K85" s="583">
        <v>617526</v>
      </c>
      <c r="L85" s="421">
        <v>1</v>
      </c>
      <c r="M85" s="211">
        <f t="shared" si="15"/>
        <v>0</v>
      </c>
      <c r="N85" s="583">
        <v>617526</v>
      </c>
      <c r="O85" s="421">
        <v>1</v>
      </c>
      <c r="P85" s="211">
        <f t="shared" ref="P85:P94" si="19">+I85/N85-1</f>
        <v>0</v>
      </c>
      <c r="Q85" s="60" t="s">
        <v>371</v>
      </c>
      <c r="S85" s="357"/>
    </row>
    <row r="86" spans="1:19" ht="15" customHeight="1" x14ac:dyDescent="0.25">
      <c r="A86" s="68"/>
      <c r="B86" s="68" t="s">
        <v>306</v>
      </c>
      <c r="C86" s="186">
        <v>37061289.140000001</v>
      </c>
      <c r="D86" s="190">
        <v>38811129.980000004</v>
      </c>
      <c r="E86" s="82">
        <v>8367170</v>
      </c>
      <c r="F86" s="238">
        <f t="shared" si="14"/>
        <v>0.21558686913552211</v>
      </c>
      <c r="G86" s="82">
        <v>8367170</v>
      </c>
      <c r="H86" s="362">
        <f t="shared" si="17"/>
        <v>0.21558686913552211</v>
      </c>
      <c r="I86" s="82">
        <v>7310000</v>
      </c>
      <c r="J86" s="557">
        <f t="shared" si="18"/>
        <v>0.18834803325146576</v>
      </c>
      <c r="K86" s="582">
        <v>4507170</v>
      </c>
      <c r="L86" s="238">
        <v>0.15410993783639274</v>
      </c>
      <c r="M86" s="211">
        <f t="shared" si="15"/>
        <v>0.85641322603762449</v>
      </c>
      <c r="N86" s="582">
        <v>4500000</v>
      </c>
      <c r="O86" s="238">
        <v>0.15386477995366654</v>
      </c>
      <c r="P86" s="211">
        <f t="shared" si="19"/>
        <v>0.62444444444444436</v>
      </c>
      <c r="Q86" s="332" t="s">
        <v>544</v>
      </c>
      <c r="S86" s="357"/>
    </row>
    <row r="87" spans="1:19" ht="15" customHeight="1" x14ac:dyDescent="0.25">
      <c r="A87" s="70"/>
      <c r="B87" s="70" t="s">
        <v>307</v>
      </c>
      <c r="C87" s="184">
        <v>16869480</v>
      </c>
      <c r="D87" s="188">
        <v>16869480</v>
      </c>
      <c r="E87" s="82">
        <v>16869480</v>
      </c>
      <c r="F87" s="362">
        <f t="shared" si="14"/>
        <v>1</v>
      </c>
      <c r="G87" s="82">
        <v>16869480</v>
      </c>
      <c r="H87" s="362">
        <f t="shared" si="17"/>
        <v>1</v>
      </c>
      <c r="I87" s="82">
        <v>3900000</v>
      </c>
      <c r="J87" s="434">
        <f t="shared" si="18"/>
        <v>0.23118673486082558</v>
      </c>
      <c r="K87" s="394">
        <v>15669752</v>
      </c>
      <c r="L87" s="420">
        <v>0.91320892825922262</v>
      </c>
      <c r="M87" s="211">
        <f t="shared" si="15"/>
        <v>7.6563304894678552E-2</v>
      </c>
      <c r="N87" s="394">
        <v>5400000</v>
      </c>
      <c r="O87" s="420">
        <v>0.31470365405909434</v>
      </c>
      <c r="P87" s="211">
        <f t="shared" si="19"/>
        <v>-0.27777777777777779</v>
      </c>
      <c r="Q87" s="60" t="s">
        <v>372</v>
      </c>
      <c r="S87" s="357"/>
    </row>
    <row r="88" spans="1:19" ht="15" customHeight="1" x14ac:dyDescent="0.25">
      <c r="A88" s="70"/>
      <c r="B88" s="70" t="s">
        <v>769</v>
      </c>
      <c r="C88" s="184">
        <v>379378.92</v>
      </c>
      <c r="D88" s="188">
        <v>379378.92</v>
      </c>
      <c r="E88" s="82">
        <v>0</v>
      </c>
      <c r="F88" s="362">
        <f>E88/D88</f>
        <v>0</v>
      </c>
      <c r="G88" s="82">
        <v>0</v>
      </c>
      <c r="H88" s="362">
        <f t="shared" si="17"/>
        <v>0</v>
      </c>
      <c r="I88" s="82">
        <v>0</v>
      </c>
      <c r="J88" s="517">
        <f t="shared" si="18"/>
        <v>0</v>
      </c>
      <c r="K88" s="394">
        <v>0</v>
      </c>
      <c r="L88" s="420" t="s">
        <v>129</v>
      </c>
      <c r="M88" s="211" t="s">
        <v>129</v>
      </c>
      <c r="N88" s="394">
        <v>0</v>
      </c>
      <c r="O88" s="420" t="s">
        <v>129</v>
      </c>
      <c r="P88" s="211" t="s">
        <v>129</v>
      </c>
      <c r="Q88" s="60">
        <v>44411</v>
      </c>
      <c r="S88" s="357"/>
    </row>
    <row r="89" spans="1:19" ht="15" customHeight="1" x14ac:dyDescent="0.25">
      <c r="A89" s="70"/>
      <c r="B89" s="70" t="s">
        <v>308</v>
      </c>
      <c r="C89" s="184">
        <v>57148921</v>
      </c>
      <c r="D89" s="188">
        <v>57148921</v>
      </c>
      <c r="E89" s="82">
        <v>0</v>
      </c>
      <c r="F89" s="362">
        <f t="shared" si="14"/>
        <v>0</v>
      </c>
      <c r="G89" s="82">
        <v>0</v>
      </c>
      <c r="H89" s="362">
        <f t="shared" si="17"/>
        <v>0</v>
      </c>
      <c r="I89" s="82">
        <v>0</v>
      </c>
      <c r="J89" s="517">
        <f t="shared" si="18"/>
        <v>0</v>
      </c>
      <c r="K89" s="394">
        <v>0</v>
      </c>
      <c r="L89" s="420">
        <v>0</v>
      </c>
      <c r="M89" s="211" t="s">
        <v>129</v>
      </c>
      <c r="N89" s="394">
        <v>0</v>
      </c>
      <c r="O89" s="420">
        <v>0</v>
      </c>
      <c r="P89" s="211" t="s">
        <v>129</v>
      </c>
      <c r="Q89" s="59" t="s">
        <v>373</v>
      </c>
      <c r="S89" s="357"/>
    </row>
    <row r="90" spans="1:19" ht="15" customHeight="1" x14ac:dyDescent="0.25">
      <c r="A90" s="70"/>
      <c r="B90" s="70" t="s">
        <v>309</v>
      </c>
      <c r="C90" s="184">
        <v>2726590</v>
      </c>
      <c r="D90" s="188">
        <v>2726590</v>
      </c>
      <c r="E90" s="82">
        <v>2726590</v>
      </c>
      <c r="F90" s="362">
        <f t="shared" si="14"/>
        <v>1</v>
      </c>
      <c r="G90" s="82">
        <v>2726590</v>
      </c>
      <c r="H90" s="362">
        <f t="shared" si="17"/>
        <v>1</v>
      </c>
      <c r="I90" s="82">
        <v>0</v>
      </c>
      <c r="J90" s="434">
        <f t="shared" si="18"/>
        <v>0</v>
      </c>
      <c r="K90" s="394">
        <v>2726590</v>
      </c>
      <c r="L90" s="420">
        <v>1</v>
      </c>
      <c r="M90" s="211">
        <f t="shared" si="15"/>
        <v>0</v>
      </c>
      <c r="N90" s="394">
        <v>1135000</v>
      </c>
      <c r="O90" s="420">
        <v>0.41627087314190986</v>
      </c>
      <c r="P90" s="211">
        <f t="shared" si="19"/>
        <v>-1</v>
      </c>
      <c r="Q90" s="60" t="s">
        <v>374</v>
      </c>
      <c r="S90" s="357"/>
    </row>
    <row r="91" spans="1:19" ht="15" customHeight="1" x14ac:dyDescent="0.25">
      <c r="A91" s="70"/>
      <c r="B91" s="70" t="s">
        <v>310</v>
      </c>
      <c r="C91" s="184">
        <v>3529897</v>
      </c>
      <c r="D91" s="188">
        <v>8461668.3399999999</v>
      </c>
      <c r="E91" s="82">
        <v>3529897</v>
      </c>
      <c r="F91" s="420">
        <f t="shared" si="14"/>
        <v>0.41716324230216756</v>
      </c>
      <c r="G91" s="82">
        <v>3529897</v>
      </c>
      <c r="H91" s="420">
        <f t="shared" si="17"/>
        <v>0.41716324230216756</v>
      </c>
      <c r="I91" s="82">
        <v>950000</v>
      </c>
      <c r="J91" s="434">
        <f t="shared" si="18"/>
        <v>0.1122710039944676</v>
      </c>
      <c r="K91" s="394">
        <v>2437025.67</v>
      </c>
      <c r="L91" s="420">
        <v>0.73288962832139104</v>
      </c>
      <c r="M91" s="211">
        <f t="shared" si="15"/>
        <v>0.44844473468348811</v>
      </c>
      <c r="N91" s="394">
        <v>580000</v>
      </c>
      <c r="O91" s="420">
        <v>0.17442408984818236</v>
      </c>
      <c r="P91" s="211">
        <f t="shared" si="19"/>
        <v>0.63793103448275867</v>
      </c>
      <c r="Q91" s="60" t="s">
        <v>375</v>
      </c>
      <c r="S91" s="357"/>
    </row>
    <row r="92" spans="1:19" ht="15" customHeight="1" x14ac:dyDescent="0.25">
      <c r="A92" s="70"/>
      <c r="B92" s="70" t="s">
        <v>311</v>
      </c>
      <c r="C92" s="184">
        <v>0</v>
      </c>
      <c r="D92" s="188">
        <v>0</v>
      </c>
      <c r="E92" s="82">
        <v>0</v>
      </c>
      <c r="F92" s="420" t="s">
        <v>129</v>
      </c>
      <c r="G92" s="82">
        <v>0</v>
      </c>
      <c r="H92" s="420" t="s">
        <v>129</v>
      </c>
      <c r="I92" s="82">
        <v>0</v>
      </c>
      <c r="J92" s="434" t="s">
        <v>129</v>
      </c>
      <c r="K92" s="394">
        <v>0</v>
      </c>
      <c r="L92" s="420" t="s">
        <v>129</v>
      </c>
      <c r="M92" s="594" t="s">
        <v>129</v>
      </c>
      <c r="N92" s="394">
        <v>0</v>
      </c>
      <c r="O92" s="420" t="s">
        <v>129</v>
      </c>
      <c r="P92" s="211" t="s">
        <v>129</v>
      </c>
      <c r="Q92" s="60" t="s">
        <v>376</v>
      </c>
      <c r="S92" s="358"/>
    </row>
    <row r="93" spans="1:19" ht="15" customHeight="1" x14ac:dyDescent="0.25">
      <c r="A93" s="70"/>
      <c r="B93" s="70" t="s">
        <v>312</v>
      </c>
      <c r="C93" s="184">
        <v>0</v>
      </c>
      <c r="D93" s="188">
        <v>0</v>
      </c>
      <c r="E93" s="82">
        <v>0</v>
      </c>
      <c r="F93" s="420" t="s">
        <v>129</v>
      </c>
      <c r="G93" s="82">
        <v>0</v>
      </c>
      <c r="H93" s="420" t="s">
        <v>129</v>
      </c>
      <c r="I93" s="82">
        <v>0</v>
      </c>
      <c r="J93" s="434" t="s">
        <v>129</v>
      </c>
      <c r="K93" s="394">
        <v>0</v>
      </c>
      <c r="L93" s="420" t="s">
        <v>129</v>
      </c>
      <c r="M93" s="594" t="s">
        <v>129</v>
      </c>
      <c r="N93" s="394">
        <v>0</v>
      </c>
      <c r="O93" s="420" t="s">
        <v>129</v>
      </c>
      <c r="P93" s="211" t="s">
        <v>129</v>
      </c>
      <c r="Q93" s="60" t="s">
        <v>377</v>
      </c>
      <c r="S93" s="357"/>
    </row>
    <row r="94" spans="1:19" ht="15" customHeight="1" x14ac:dyDescent="0.25">
      <c r="A94" s="70"/>
      <c r="B94" s="70" t="s">
        <v>313</v>
      </c>
      <c r="C94" s="481">
        <v>6986478</v>
      </c>
      <c r="D94" s="188">
        <v>7686478</v>
      </c>
      <c r="E94" s="82">
        <v>7686478</v>
      </c>
      <c r="F94" s="420">
        <f t="shared" ref="F94" si="20">+E94/D94</f>
        <v>1</v>
      </c>
      <c r="G94" s="82">
        <v>7686478</v>
      </c>
      <c r="H94" s="420">
        <f t="shared" si="17"/>
        <v>1</v>
      </c>
      <c r="I94" s="82">
        <v>3100000</v>
      </c>
      <c r="J94" s="434">
        <f t="shared" si="18"/>
        <v>0.40330564921931733</v>
      </c>
      <c r="K94" s="394">
        <v>4893478</v>
      </c>
      <c r="L94" s="420">
        <v>1</v>
      </c>
      <c r="M94" s="594">
        <f t="shared" si="15"/>
        <v>0.57075969279927286</v>
      </c>
      <c r="N94" s="394">
        <v>2424000</v>
      </c>
      <c r="O94" s="420">
        <v>0.49535320277316053</v>
      </c>
      <c r="P94" s="211">
        <f t="shared" si="19"/>
        <v>0.27887788778877898</v>
      </c>
      <c r="Q94" s="60" t="s">
        <v>378</v>
      </c>
      <c r="S94" s="358"/>
    </row>
    <row r="95" spans="1:19" ht="15" customHeight="1" x14ac:dyDescent="0.25">
      <c r="A95" s="70"/>
      <c r="B95" s="70" t="s">
        <v>314</v>
      </c>
      <c r="C95" s="184">
        <v>0</v>
      </c>
      <c r="D95" s="188">
        <v>0</v>
      </c>
      <c r="E95" s="82">
        <v>0</v>
      </c>
      <c r="F95" s="420" t="s">
        <v>129</v>
      </c>
      <c r="G95" s="82">
        <v>0</v>
      </c>
      <c r="H95" s="420" t="s">
        <v>129</v>
      </c>
      <c r="I95" s="82">
        <v>0</v>
      </c>
      <c r="J95" s="434" t="s">
        <v>129</v>
      </c>
      <c r="K95" s="394">
        <v>0</v>
      </c>
      <c r="L95" s="420" t="s">
        <v>129</v>
      </c>
      <c r="M95" s="594" t="s">
        <v>129</v>
      </c>
      <c r="N95" s="394">
        <v>0</v>
      </c>
      <c r="O95" s="420" t="s">
        <v>129</v>
      </c>
      <c r="P95" s="211" t="s">
        <v>129</v>
      </c>
      <c r="Q95" s="60" t="s">
        <v>379</v>
      </c>
      <c r="S95" s="357"/>
    </row>
    <row r="96" spans="1:19" ht="15" customHeight="1" x14ac:dyDescent="0.25">
      <c r="A96" s="70"/>
      <c r="B96" s="74" t="s">
        <v>315</v>
      </c>
      <c r="C96" s="184">
        <v>0</v>
      </c>
      <c r="D96" s="188">
        <v>0</v>
      </c>
      <c r="E96" s="82">
        <v>0</v>
      </c>
      <c r="F96" s="420" t="s">
        <v>129</v>
      </c>
      <c r="G96" s="82">
        <v>0</v>
      </c>
      <c r="H96" s="420" t="s">
        <v>129</v>
      </c>
      <c r="I96" s="82">
        <v>0</v>
      </c>
      <c r="J96" s="434" t="s">
        <v>129</v>
      </c>
      <c r="K96" s="394">
        <v>0</v>
      </c>
      <c r="L96" s="420" t="s">
        <v>129</v>
      </c>
      <c r="M96" s="594" t="s">
        <v>129</v>
      </c>
      <c r="N96" s="394">
        <v>0</v>
      </c>
      <c r="O96" s="420" t="s">
        <v>129</v>
      </c>
      <c r="P96" s="211" t="s">
        <v>129</v>
      </c>
      <c r="Q96" s="60" t="s">
        <v>380</v>
      </c>
      <c r="S96" s="357"/>
    </row>
    <row r="97" spans="1:19" ht="15" customHeight="1" x14ac:dyDescent="0.25">
      <c r="A97" s="70"/>
      <c r="B97" s="74" t="s">
        <v>414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>
        <v>0</v>
      </c>
      <c r="L97" s="420" t="s">
        <v>129</v>
      </c>
      <c r="M97" s="594" t="s">
        <v>129</v>
      </c>
      <c r="N97" s="394">
        <v>0</v>
      </c>
      <c r="O97" s="420" t="s">
        <v>129</v>
      </c>
      <c r="P97" s="211" t="s">
        <v>129</v>
      </c>
      <c r="Q97" s="60">
        <v>44438</v>
      </c>
      <c r="S97" s="357"/>
    </row>
    <row r="98" spans="1:19" ht="15" customHeight="1" x14ac:dyDescent="0.25">
      <c r="A98" s="70"/>
      <c r="B98" s="74" t="s">
        <v>449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>
        <v>0</v>
      </c>
      <c r="L98" s="420" t="s">
        <v>129</v>
      </c>
      <c r="M98" s="595" t="s">
        <v>129</v>
      </c>
      <c r="N98" s="394">
        <v>0</v>
      </c>
      <c r="O98" s="420" t="s">
        <v>129</v>
      </c>
      <c r="P98" s="211" t="s">
        <v>129</v>
      </c>
      <c r="Q98" s="60" t="s">
        <v>462</v>
      </c>
      <c r="S98" s="357"/>
    </row>
    <row r="99" spans="1:19" ht="15" customHeight="1" x14ac:dyDescent="0.25">
      <c r="A99" s="70"/>
      <c r="B99" s="70" t="s">
        <v>316</v>
      </c>
      <c r="C99" s="184">
        <v>11864168</v>
      </c>
      <c r="D99" s="188">
        <v>11864168</v>
      </c>
      <c r="E99" s="82">
        <v>0</v>
      </c>
      <c r="F99" s="420">
        <f t="shared" ref="F99:F102" si="21">+E99/D99</f>
        <v>0</v>
      </c>
      <c r="G99" s="82">
        <v>0</v>
      </c>
      <c r="H99" s="420">
        <f t="shared" ref="H99:H102" si="22">+G99/D99</f>
        <v>0</v>
      </c>
      <c r="I99" s="82">
        <v>0</v>
      </c>
      <c r="J99" s="434">
        <f t="shared" ref="J99:J102" si="23">I99/D99</f>
        <v>0</v>
      </c>
      <c r="K99" s="394">
        <v>0</v>
      </c>
      <c r="L99" s="420" t="s">
        <v>129</v>
      </c>
      <c r="M99" s="594" t="s">
        <v>129</v>
      </c>
      <c r="N99" s="394">
        <v>0</v>
      </c>
      <c r="O99" s="420" t="s">
        <v>129</v>
      </c>
      <c r="P99" s="211" t="s">
        <v>129</v>
      </c>
      <c r="Q99" s="60" t="s">
        <v>382</v>
      </c>
      <c r="S99" s="358"/>
    </row>
    <row r="100" spans="1:19" ht="15" customHeight="1" x14ac:dyDescent="0.25">
      <c r="A100" s="70"/>
      <c r="B100" s="70" t="s">
        <v>317</v>
      </c>
      <c r="C100" s="184">
        <v>3884039.66</v>
      </c>
      <c r="D100" s="188">
        <v>3884039.66</v>
      </c>
      <c r="E100" s="82">
        <v>3884039.66</v>
      </c>
      <c r="F100" s="420">
        <f t="shared" si="21"/>
        <v>1</v>
      </c>
      <c r="G100" s="71">
        <v>3884039.66</v>
      </c>
      <c r="H100" s="420">
        <f t="shared" si="22"/>
        <v>1</v>
      </c>
      <c r="I100" s="71">
        <v>0</v>
      </c>
      <c r="J100" s="434">
        <f t="shared" si="23"/>
        <v>0</v>
      </c>
      <c r="K100" s="394">
        <v>3884039.66</v>
      </c>
      <c r="L100" s="420">
        <v>0.94044617831721056</v>
      </c>
      <c r="M100" s="595">
        <f t="shared" si="15"/>
        <v>0</v>
      </c>
      <c r="N100" s="394">
        <v>0</v>
      </c>
      <c r="O100" s="420">
        <v>0</v>
      </c>
      <c r="P100" s="211" t="s">
        <v>129</v>
      </c>
      <c r="Q100" s="60" t="s">
        <v>383</v>
      </c>
      <c r="S100" s="358"/>
    </row>
    <row r="101" spans="1:19" ht="15" customHeight="1" x14ac:dyDescent="0.25">
      <c r="A101" s="79"/>
      <c r="B101" s="123" t="s">
        <v>381</v>
      </c>
      <c r="C101" s="184">
        <v>0</v>
      </c>
      <c r="D101" s="188">
        <v>0</v>
      </c>
      <c r="E101" s="82">
        <v>0</v>
      </c>
      <c r="F101" s="130" t="s">
        <v>129</v>
      </c>
      <c r="G101" s="82">
        <v>0</v>
      </c>
      <c r="H101" s="414" t="s">
        <v>129</v>
      </c>
      <c r="I101" s="82">
        <v>0</v>
      </c>
      <c r="J101" s="434" t="s">
        <v>129</v>
      </c>
      <c r="K101" s="394">
        <v>0</v>
      </c>
      <c r="L101" s="243" t="s">
        <v>129</v>
      </c>
      <c r="M101" s="594" t="s">
        <v>129</v>
      </c>
      <c r="N101" s="394">
        <v>0</v>
      </c>
      <c r="O101" s="243" t="s">
        <v>129</v>
      </c>
      <c r="P101" s="211" t="s">
        <v>129</v>
      </c>
      <c r="Q101" s="122" t="s">
        <v>384</v>
      </c>
      <c r="S101" s="358"/>
    </row>
    <row r="102" spans="1:19" ht="15" customHeight="1" x14ac:dyDescent="0.25">
      <c r="A102" s="72"/>
      <c r="B102" s="72" t="s">
        <v>318</v>
      </c>
      <c r="C102" s="185">
        <v>2068219.33</v>
      </c>
      <c r="D102" s="189">
        <v>2068219.33</v>
      </c>
      <c r="E102" s="73">
        <v>1720850.18</v>
      </c>
      <c r="F102" s="513">
        <f t="shared" si="21"/>
        <v>0.83204433641958075</v>
      </c>
      <c r="G102" s="73">
        <v>1720850.18</v>
      </c>
      <c r="H102" s="513">
        <f t="shared" si="22"/>
        <v>0.83204433641958075</v>
      </c>
      <c r="I102" s="73">
        <v>130588.79</v>
      </c>
      <c r="J102" s="435">
        <f t="shared" si="23"/>
        <v>6.314068730805257E-2</v>
      </c>
      <c r="K102" s="583">
        <v>0</v>
      </c>
      <c r="L102" s="421">
        <v>0</v>
      </c>
      <c r="M102" s="590" t="s">
        <v>129</v>
      </c>
      <c r="N102" s="583">
        <v>0</v>
      </c>
      <c r="O102" s="421">
        <v>0</v>
      </c>
      <c r="P102" s="211" t="s">
        <v>129</v>
      </c>
      <c r="Q102" s="60" t="s">
        <v>385</v>
      </c>
      <c r="S102" s="357"/>
    </row>
    <row r="103" spans="1:19" ht="15" customHeight="1" x14ac:dyDescent="0.25">
      <c r="A103" s="55"/>
      <c r="B103" s="55" t="s">
        <v>463</v>
      </c>
      <c r="C103" s="489">
        <v>4677000</v>
      </c>
      <c r="D103" s="396">
        <v>4877000</v>
      </c>
      <c r="E103" s="82">
        <v>4877000</v>
      </c>
      <c r="F103" s="423">
        <f>+E103/D103</f>
        <v>1</v>
      </c>
      <c r="G103" s="80">
        <v>4877000</v>
      </c>
      <c r="H103" s="423">
        <f>+G103/D103</f>
        <v>1</v>
      </c>
      <c r="I103" s="56">
        <v>2500000</v>
      </c>
      <c r="J103" s="438">
        <f>I103/D103</f>
        <v>0.51261021119540706</v>
      </c>
      <c r="K103" s="603">
        <v>5871140.4000000004</v>
      </c>
      <c r="L103" s="421">
        <v>0.68244165615569685</v>
      </c>
      <c r="M103" s="596">
        <f t="shared" si="15"/>
        <v>-0.16932662690198996</v>
      </c>
      <c r="N103" s="603">
        <v>3900000</v>
      </c>
      <c r="O103" s="421">
        <v>0.45332291133886315</v>
      </c>
      <c r="P103" s="596">
        <f t="shared" ref="P103" si="24">+I103/N103-1</f>
        <v>-0.35897435897435892</v>
      </c>
      <c r="Q103" s="60">
        <v>44453</v>
      </c>
      <c r="R103" s="46"/>
      <c r="S103" s="358"/>
    </row>
    <row r="104" spans="1:19" ht="15" customHeight="1" x14ac:dyDescent="0.25">
      <c r="A104" s="68"/>
      <c r="B104" s="551" t="s">
        <v>363</v>
      </c>
      <c r="C104" s="553">
        <v>0</v>
      </c>
      <c r="D104" s="539">
        <v>0</v>
      </c>
      <c r="E104" s="555">
        <v>0</v>
      </c>
      <c r="F104" s="556" t="s">
        <v>129</v>
      </c>
      <c r="G104" s="555">
        <v>0</v>
      </c>
      <c r="H104" s="556" t="s">
        <v>129</v>
      </c>
      <c r="I104" s="555">
        <v>0</v>
      </c>
      <c r="J104" s="557" t="s">
        <v>129</v>
      </c>
      <c r="K104" s="567">
        <v>0</v>
      </c>
      <c r="L104" s="556" t="s">
        <v>129</v>
      </c>
      <c r="M104" s="597" t="s">
        <v>129</v>
      </c>
      <c r="N104" s="567">
        <v>0</v>
      </c>
      <c r="O104" s="556" t="s">
        <v>129</v>
      </c>
      <c r="P104" s="597" t="s">
        <v>129</v>
      </c>
      <c r="Q104" s="60">
        <v>449</v>
      </c>
      <c r="R104" s="476"/>
      <c r="S104" s="358"/>
    </row>
    <row r="105" spans="1:19" ht="15" customHeight="1" x14ac:dyDescent="0.25">
      <c r="A105" s="126"/>
      <c r="B105" s="552" t="s">
        <v>344</v>
      </c>
      <c r="C105" s="192">
        <f>SUM(C71:C104)</f>
        <v>620667325.52999997</v>
      </c>
      <c r="D105" s="554">
        <f>SUM(D71:D104)</f>
        <v>635433276.83000004</v>
      </c>
      <c r="E105" s="127">
        <f>SUM(E71:E104)</f>
        <v>509443419.48000002</v>
      </c>
      <c r="F105" s="426">
        <f>E105/D105</f>
        <v>0.80172606323274664</v>
      </c>
      <c r="G105" s="127">
        <f>SUM(G71:G104)</f>
        <v>509443419.48000002</v>
      </c>
      <c r="H105" s="426">
        <f>+G105/D105</f>
        <v>0.80172606323274664</v>
      </c>
      <c r="I105" s="127">
        <f>SUM(I71:I104)</f>
        <v>167149117.27000001</v>
      </c>
      <c r="J105" s="436">
        <f>I105/D105</f>
        <v>0.2630474722757053</v>
      </c>
      <c r="K105" s="604">
        <v>423254944.35000002</v>
      </c>
      <c r="L105" s="426">
        <v>0.79027224728478929</v>
      </c>
      <c r="M105" s="598">
        <f t="shared" si="15"/>
        <v>0.20363252994565983</v>
      </c>
      <c r="N105" s="604">
        <v>177653757.81999999</v>
      </c>
      <c r="O105" s="426">
        <v>0.33170276285042788</v>
      </c>
      <c r="P105" s="598">
        <f>+I105/N105-1</f>
        <v>-5.9129852804145844E-2</v>
      </c>
      <c r="S105" s="358"/>
    </row>
    <row r="106" spans="1:19" ht="14.4" thickBot="1" x14ac:dyDescent="0.3">
      <c r="A106" s="7" t="s">
        <v>233</v>
      </c>
    </row>
    <row r="107" spans="1:19" x14ac:dyDescent="0.25">
      <c r="A107" s="8" t="s">
        <v>290</v>
      </c>
      <c r="C107" s="164" t="s">
        <v>767</v>
      </c>
      <c r="D107" s="743" t="s">
        <v>779</v>
      </c>
      <c r="E107" s="741"/>
      <c r="F107" s="741"/>
      <c r="G107" s="741"/>
      <c r="H107" s="741"/>
      <c r="I107" s="741"/>
      <c r="J107" s="742"/>
      <c r="K107" s="749" t="s">
        <v>780</v>
      </c>
      <c r="L107" s="750"/>
      <c r="M107" s="750"/>
      <c r="N107" s="750"/>
      <c r="O107" s="750"/>
      <c r="P107" s="751"/>
    </row>
    <row r="108" spans="1:19" x14ac:dyDescent="0.25">
      <c r="C108" s="157">
        <v>1</v>
      </c>
      <c r="D108" s="148">
        <v>2</v>
      </c>
      <c r="E108" s="87">
        <v>3</v>
      </c>
      <c r="F108" s="88" t="s">
        <v>36</v>
      </c>
      <c r="G108" s="87">
        <v>4</v>
      </c>
      <c r="H108" s="88" t="s">
        <v>37</v>
      </c>
      <c r="I108" s="87">
        <v>5</v>
      </c>
      <c r="J108" s="149" t="s">
        <v>38</v>
      </c>
      <c r="K108" s="87" t="s">
        <v>545</v>
      </c>
      <c r="L108" s="88" t="s">
        <v>546</v>
      </c>
      <c r="M108" s="88" t="s">
        <v>547</v>
      </c>
      <c r="N108" s="87" t="s">
        <v>39</v>
      </c>
      <c r="O108" s="88" t="s">
        <v>40</v>
      </c>
      <c r="P108" s="149" t="s">
        <v>362</v>
      </c>
    </row>
    <row r="109" spans="1:19" ht="26.4" x14ac:dyDescent="0.25">
      <c r="A109" s="1"/>
      <c r="B109" s="2" t="s">
        <v>150</v>
      </c>
      <c r="C109" s="158" t="s">
        <v>13</v>
      </c>
      <c r="D109" s="112" t="s">
        <v>350</v>
      </c>
      <c r="E109" s="89" t="s">
        <v>15</v>
      </c>
      <c r="F109" s="89" t="s">
        <v>18</v>
      </c>
      <c r="G109" s="89" t="s">
        <v>16</v>
      </c>
      <c r="H109" s="89" t="s">
        <v>18</v>
      </c>
      <c r="I109" s="89" t="s">
        <v>17</v>
      </c>
      <c r="J109" s="113" t="s">
        <v>18</v>
      </c>
      <c r="K109" s="89" t="s">
        <v>16</v>
      </c>
      <c r="L109" s="89" t="s">
        <v>18</v>
      </c>
      <c r="M109" s="89" t="s">
        <v>766</v>
      </c>
      <c r="N109" s="564" t="s">
        <v>17</v>
      </c>
      <c r="O109" s="89" t="s">
        <v>18</v>
      </c>
      <c r="P109" s="587" t="s">
        <v>766</v>
      </c>
      <c r="Q109" s="58" t="s">
        <v>163</v>
      </c>
      <c r="S109" s="358"/>
    </row>
    <row r="110" spans="1:19" ht="15" customHeight="1" x14ac:dyDescent="0.25">
      <c r="A110" s="81"/>
      <c r="B110" s="240" t="s">
        <v>429</v>
      </c>
      <c r="C110" s="186">
        <v>2000000</v>
      </c>
      <c r="D110" s="464">
        <v>2000000</v>
      </c>
      <c r="E110" s="82">
        <v>0</v>
      </c>
      <c r="F110" s="362">
        <f>+E110/D110</f>
        <v>0</v>
      </c>
      <c r="G110" s="82">
        <v>0</v>
      </c>
      <c r="H110" s="362">
        <f>+G110/D110</f>
        <v>0</v>
      </c>
      <c r="I110" s="82">
        <v>0</v>
      </c>
      <c r="J110" s="278">
        <f>I110/D110</f>
        <v>0</v>
      </c>
      <c r="K110" s="605">
        <v>3500000</v>
      </c>
      <c r="L110" s="362">
        <v>0.86805555555555558</v>
      </c>
      <c r="M110" s="660">
        <f t="shared" si="15"/>
        <v>-1</v>
      </c>
      <c r="N110" s="605">
        <v>1500000</v>
      </c>
      <c r="O110" s="362">
        <v>0.37202380952380953</v>
      </c>
      <c r="P110" s="660">
        <f>+I110/N110-1</f>
        <v>-1</v>
      </c>
      <c r="Q110" s="122" t="s">
        <v>450</v>
      </c>
      <c r="S110" s="358"/>
    </row>
    <row r="111" spans="1:19" ht="15" customHeight="1" x14ac:dyDescent="0.25">
      <c r="A111" s="70"/>
      <c r="B111" s="241" t="s">
        <v>396</v>
      </c>
      <c r="C111" s="186">
        <v>105000</v>
      </c>
      <c r="D111" s="464">
        <v>105000</v>
      </c>
      <c r="E111" s="82">
        <v>87568.43</v>
      </c>
      <c r="F111" s="362">
        <f>+E111/D111</f>
        <v>0.83398504761904757</v>
      </c>
      <c r="G111" s="82">
        <v>87568.43</v>
      </c>
      <c r="H111" s="362">
        <f>+G111/D111</f>
        <v>0.83398504761904757</v>
      </c>
      <c r="I111" s="82">
        <v>0</v>
      </c>
      <c r="J111" s="278">
        <f>I111/D111</f>
        <v>0</v>
      </c>
      <c r="K111" s="605">
        <v>31735.279999999999</v>
      </c>
      <c r="L111" s="362">
        <v>0.79338199999999992</v>
      </c>
      <c r="M111" s="660">
        <f t="shared" si="15"/>
        <v>1.7593400782977175</v>
      </c>
      <c r="N111" s="605">
        <v>0</v>
      </c>
      <c r="O111" s="362">
        <v>0</v>
      </c>
      <c r="P111" s="599" t="s">
        <v>129</v>
      </c>
      <c r="Q111" s="122">
        <v>46101</v>
      </c>
      <c r="S111" s="358"/>
    </row>
    <row r="112" spans="1:19" ht="15" customHeight="1" x14ac:dyDescent="0.25">
      <c r="A112" s="70"/>
      <c r="B112" s="241" t="s">
        <v>411</v>
      </c>
      <c r="C112" s="186">
        <v>0</v>
      </c>
      <c r="D112" s="464">
        <v>0</v>
      </c>
      <c r="E112" s="82">
        <v>0</v>
      </c>
      <c r="F112" s="420" t="s">
        <v>129</v>
      </c>
      <c r="G112" s="82">
        <v>0</v>
      </c>
      <c r="H112" s="362" t="s">
        <v>129</v>
      </c>
      <c r="I112" s="82">
        <v>0</v>
      </c>
      <c r="J112" s="278" t="s">
        <v>129</v>
      </c>
      <c r="K112" s="394">
        <v>0</v>
      </c>
      <c r="L112" s="362" t="s">
        <v>129</v>
      </c>
      <c r="M112" s="594" t="s">
        <v>129</v>
      </c>
      <c r="N112" s="394">
        <v>0</v>
      </c>
      <c r="O112" s="362" t="s">
        <v>129</v>
      </c>
      <c r="P112" s="594" t="s">
        <v>129</v>
      </c>
      <c r="Q112" s="122">
        <v>46102</v>
      </c>
      <c r="S112" s="358"/>
    </row>
    <row r="113" spans="1:19" ht="15" customHeight="1" x14ac:dyDescent="0.25">
      <c r="A113" s="81"/>
      <c r="B113" s="240" t="s">
        <v>426</v>
      </c>
      <c r="C113" s="186">
        <v>0</v>
      </c>
      <c r="D113" s="464">
        <v>0</v>
      </c>
      <c r="E113" s="82">
        <v>0</v>
      </c>
      <c r="F113" s="420" t="s">
        <v>129</v>
      </c>
      <c r="G113" s="82">
        <v>0</v>
      </c>
      <c r="H113" s="362" t="s">
        <v>129</v>
      </c>
      <c r="I113" s="82">
        <v>0</v>
      </c>
      <c r="J113" s="278" t="s">
        <v>129</v>
      </c>
      <c r="K113" s="584">
        <v>0</v>
      </c>
      <c r="L113" s="362" t="s">
        <v>129</v>
      </c>
      <c r="M113" s="594" t="s">
        <v>129</v>
      </c>
      <c r="N113" s="584">
        <v>0</v>
      </c>
      <c r="O113" s="362" t="s">
        <v>129</v>
      </c>
      <c r="P113" s="594" t="s">
        <v>129</v>
      </c>
      <c r="Q113" s="122">
        <v>462</v>
      </c>
      <c r="S113" s="358"/>
    </row>
    <row r="114" spans="1:19" ht="15" customHeight="1" x14ac:dyDescent="0.25">
      <c r="A114" s="81"/>
      <c r="B114" s="81" t="s">
        <v>319</v>
      </c>
      <c r="C114" s="186">
        <v>0</v>
      </c>
      <c r="D114" s="464">
        <v>0</v>
      </c>
      <c r="E114" s="82">
        <v>0</v>
      </c>
      <c r="F114" s="78" t="s">
        <v>129</v>
      </c>
      <c r="G114" s="82">
        <v>0</v>
      </c>
      <c r="H114" s="78" t="s">
        <v>129</v>
      </c>
      <c r="I114" s="82">
        <v>0</v>
      </c>
      <c r="J114" s="172" t="s">
        <v>129</v>
      </c>
      <c r="K114" s="584">
        <v>0</v>
      </c>
      <c r="L114" s="78" t="s">
        <v>129</v>
      </c>
      <c r="M114" s="594" t="s">
        <v>129</v>
      </c>
      <c r="N114" s="584">
        <v>0</v>
      </c>
      <c r="O114" s="78" t="s">
        <v>129</v>
      </c>
      <c r="P114" s="594" t="s">
        <v>129</v>
      </c>
      <c r="Q114" s="60">
        <v>463</v>
      </c>
      <c r="S114" s="358"/>
    </row>
    <row r="115" spans="1:19" ht="15" customHeight="1" x14ac:dyDescent="0.25">
      <c r="A115" s="70"/>
      <c r="B115" s="70" t="s">
        <v>320</v>
      </c>
      <c r="C115" s="186">
        <v>0</v>
      </c>
      <c r="D115" s="464">
        <v>398251.18</v>
      </c>
      <c r="E115" s="82">
        <v>398251.18</v>
      </c>
      <c r="F115" s="420">
        <v>0.83398504761904757</v>
      </c>
      <c r="G115" s="82">
        <v>398251.18</v>
      </c>
      <c r="H115" s="420">
        <f>+G115/D115</f>
        <v>1</v>
      </c>
      <c r="I115" s="82">
        <v>398251.18</v>
      </c>
      <c r="J115" s="434">
        <f>I115/D115</f>
        <v>1</v>
      </c>
      <c r="K115" s="394">
        <v>3584260.62</v>
      </c>
      <c r="L115" s="420">
        <v>6.53127505253841E-2</v>
      </c>
      <c r="M115" s="594">
        <f t="shared" si="15"/>
        <v>-0.88888888888888884</v>
      </c>
      <c r="N115" s="394">
        <v>3584260.62</v>
      </c>
      <c r="O115" s="420">
        <v>6.53127505253841E-2</v>
      </c>
      <c r="P115" s="594">
        <f>+I115/N115-1</f>
        <v>-0.88888888888888884</v>
      </c>
      <c r="Q115" s="60">
        <v>46401</v>
      </c>
      <c r="S115" s="358"/>
    </row>
    <row r="116" spans="1:19" ht="15" customHeight="1" x14ac:dyDescent="0.25">
      <c r="A116" s="70"/>
      <c r="B116" s="70" t="s">
        <v>321</v>
      </c>
      <c r="C116" s="186">
        <v>1997000</v>
      </c>
      <c r="D116" s="464">
        <v>1997000</v>
      </c>
      <c r="E116" s="82">
        <v>110000</v>
      </c>
      <c r="F116" s="420">
        <f t="shared" ref="F116:F124" si="25">+E116/D116</f>
        <v>5.5082623935903859E-2</v>
      </c>
      <c r="G116" s="82">
        <v>110000</v>
      </c>
      <c r="H116" s="420">
        <f t="shared" ref="H116:H120" si="26">+G116/D116</f>
        <v>5.5082623935903859E-2</v>
      </c>
      <c r="I116" s="82">
        <v>0</v>
      </c>
      <c r="J116" s="434">
        <f t="shared" ref="J116:J123" si="27">I116/D116</f>
        <v>0</v>
      </c>
      <c r="K116" s="394">
        <v>110000</v>
      </c>
      <c r="L116" s="420">
        <v>1</v>
      </c>
      <c r="M116" s="594">
        <f t="shared" si="15"/>
        <v>0</v>
      </c>
      <c r="N116" s="394">
        <v>0</v>
      </c>
      <c r="O116" s="420">
        <v>0</v>
      </c>
      <c r="P116" s="594" t="s">
        <v>129</v>
      </c>
      <c r="Q116" s="60">
        <v>46410</v>
      </c>
      <c r="S116" s="358"/>
    </row>
    <row r="117" spans="1:19" ht="15" customHeight="1" x14ac:dyDescent="0.25">
      <c r="A117" s="72"/>
      <c r="B117" s="72" t="s">
        <v>322</v>
      </c>
      <c r="C117" s="185">
        <v>108534406.23999999</v>
      </c>
      <c r="D117" s="490">
        <v>108579406.23999999</v>
      </c>
      <c r="E117" s="82">
        <v>95519247.309999987</v>
      </c>
      <c r="F117" s="421">
        <f t="shared" si="25"/>
        <v>0.87971790063824529</v>
      </c>
      <c r="G117" s="82">
        <v>95519247.309999987</v>
      </c>
      <c r="H117" s="421">
        <f t="shared" si="26"/>
        <v>0.87971790063824529</v>
      </c>
      <c r="I117" s="82">
        <v>23451866.84</v>
      </c>
      <c r="J117" s="435">
        <f t="shared" si="27"/>
        <v>0.2159881661920571</v>
      </c>
      <c r="K117" s="583">
        <v>90365277.209999993</v>
      </c>
      <c r="L117" s="421">
        <v>0.94595220185423701</v>
      </c>
      <c r="M117" s="590">
        <f t="shared" si="15"/>
        <v>5.7034850764887013E-2</v>
      </c>
      <c r="N117" s="583">
        <v>29612490.739999998</v>
      </c>
      <c r="O117" s="421">
        <v>0.30998633194909669</v>
      </c>
      <c r="P117" s="590">
        <f>+I117/N117-1</f>
        <v>-0.20804139557495394</v>
      </c>
      <c r="Q117" s="60" t="s">
        <v>328</v>
      </c>
      <c r="S117" s="358"/>
    </row>
    <row r="118" spans="1:19" ht="15" customHeight="1" x14ac:dyDescent="0.25">
      <c r="A118" s="63"/>
      <c r="B118" s="63" t="s">
        <v>323</v>
      </c>
      <c r="C118" s="489">
        <v>0</v>
      </c>
      <c r="D118" s="491">
        <v>0</v>
      </c>
      <c r="E118" s="64">
        <v>0</v>
      </c>
      <c r="F118" s="423" t="s">
        <v>129</v>
      </c>
      <c r="G118" s="64">
        <v>0</v>
      </c>
      <c r="H118" s="423" t="s">
        <v>129</v>
      </c>
      <c r="I118" s="64">
        <v>0</v>
      </c>
      <c r="J118" s="437" t="s">
        <v>129</v>
      </c>
      <c r="K118" s="603">
        <v>0</v>
      </c>
      <c r="L118" s="423" t="s">
        <v>129</v>
      </c>
      <c r="M118" s="590" t="s">
        <v>129</v>
      </c>
      <c r="N118" s="603">
        <v>0</v>
      </c>
      <c r="O118" s="423" t="s">
        <v>129</v>
      </c>
      <c r="P118" s="590" t="s">
        <v>129</v>
      </c>
      <c r="Q118" s="60">
        <v>465</v>
      </c>
      <c r="S118" s="358"/>
    </row>
    <row r="119" spans="1:19" ht="15" customHeight="1" x14ac:dyDescent="0.25">
      <c r="A119" s="68"/>
      <c r="B119" s="68" t="s">
        <v>324</v>
      </c>
      <c r="C119" s="186">
        <v>132984242.02</v>
      </c>
      <c r="D119" s="464">
        <v>132984242.02</v>
      </c>
      <c r="E119" s="71">
        <v>112255416.90000001</v>
      </c>
      <c r="F119" s="362">
        <f t="shared" si="25"/>
        <v>0.84412570387939267</v>
      </c>
      <c r="G119" s="71">
        <v>112255416.90000001</v>
      </c>
      <c r="H119" s="362">
        <f t="shared" si="26"/>
        <v>0.84412570387939267</v>
      </c>
      <c r="I119" s="71">
        <v>45326944.549999997</v>
      </c>
      <c r="J119" s="239">
        <f t="shared" si="27"/>
        <v>0.3408444779734362</v>
      </c>
      <c r="K119" s="582">
        <v>110924325</v>
      </c>
      <c r="L119" s="238">
        <v>0.95136971527631864</v>
      </c>
      <c r="M119" s="593">
        <f t="shared" si="15"/>
        <v>1.2000000000000011E-2</v>
      </c>
      <c r="N119" s="582">
        <v>53726164.079999998</v>
      </c>
      <c r="O119" s="238">
        <v>0.46079564084503893</v>
      </c>
      <c r="P119" s="593">
        <f>+I119/N119-1</f>
        <v>-0.15633387705649882</v>
      </c>
      <c r="Q119" s="60">
        <v>46701</v>
      </c>
      <c r="S119" s="358"/>
    </row>
    <row r="120" spans="1:19" ht="15" customHeight="1" x14ac:dyDescent="0.25">
      <c r="A120" s="70"/>
      <c r="B120" s="70" t="s">
        <v>325</v>
      </c>
      <c r="C120" s="186">
        <v>69600900.939999998</v>
      </c>
      <c r="D120" s="464">
        <v>69612434.280000001</v>
      </c>
      <c r="E120" s="71">
        <v>69417129.870000005</v>
      </c>
      <c r="F120" s="420">
        <f t="shared" si="25"/>
        <v>0.99719440338468224</v>
      </c>
      <c r="G120" s="71">
        <v>69417129.870000005</v>
      </c>
      <c r="H120" s="420">
        <f t="shared" si="26"/>
        <v>0.99719440338468224</v>
      </c>
      <c r="I120" s="71">
        <v>28955899.68</v>
      </c>
      <c r="J120" s="434">
        <f t="shared" si="27"/>
        <v>0.41595872891804869</v>
      </c>
      <c r="K120" s="394">
        <v>63091007.549999997</v>
      </c>
      <c r="L120" s="420">
        <v>0.99953802894898658</v>
      </c>
      <c r="M120" s="594">
        <f t="shared" si="15"/>
        <v>0.1002697938368875</v>
      </c>
      <c r="N120" s="394">
        <v>26329830</v>
      </c>
      <c r="O120" s="420">
        <v>0.41713815332406901</v>
      </c>
      <c r="P120" s="594">
        <f>+I120/N120-1</f>
        <v>9.9737433929501185E-2</v>
      </c>
      <c r="Q120" s="60">
        <v>46703</v>
      </c>
      <c r="S120" s="358"/>
    </row>
    <row r="121" spans="1:19" ht="15" customHeight="1" x14ac:dyDescent="0.25">
      <c r="A121" s="70"/>
      <c r="B121" s="70" t="s">
        <v>336</v>
      </c>
      <c r="C121" s="186">
        <v>0</v>
      </c>
      <c r="D121" s="464">
        <v>0</v>
      </c>
      <c r="E121" s="71">
        <v>0</v>
      </c>
      <c r="F121" s="420" t="s">
        <v>129</v>
      </c>
      <c r="G121" s="71">
        <v>0</v>
      </c>
      <c r="H121" s="420" t="s">
        <v>129</v>
      </c>
      <c r="I121" s="71">
        <v>0</v>
      </c>
      <c r="J121" s="434" t="s">
        <v>129</v>
      </c>
      <c r="K121" s="394">
        <v>0</v>
      </c>
      <c r="L121" s="420" t="s">
        <v>129</v>
      </c>
      <c r="M121" s="594" t="s">
        <v>129</v>
      </c>
      <c r="N121" s="394">
        <v>0</v>
      </c>
      <c r="O121" s="420" t="s">
        <v>129</v>
      </c>
      <c r="P121" s="594" t="s">
        <v>129</v>
      </c>
      <c r="Q121" s="60" t="s">
        <v>393</v>
      </c>
      <c r="S121" s="358"/>
    </row>
    <row r="122" spans="1:19" ht="15" customHeight="1" x14ac:dyDescent="0.25">
      <c r="A122" s="70"/>
      <c r="B122" s="70" t="s">
        <v>337</v>
      </c>
      <c r="C122" s="186">
        <v>1142000</v>
      </c>
      <c r="D122" s="464">
        <v>1142000</v>
      </c>
      <c r="E122" s="71">
        <v>1142000</v>
      </c>
      <c r="F122" s="420">
        <f t="shared" si="25"/>
        <v>1</v>
      </c>
      <c r="G122" s="71">
        <v>1142000</v>
      </c>
      <c r="H122" s="420">
        <f t="shared" ref="H122:H124" si="28">+G122/D122</f>
        <v>1</v>
      </c>
      <c r="I122" s="71">
        <v>380000</v>
      </c>
      <c r="J122" s="434">
        <f t="shared" si="27"/>
        <v>0.33274956217162871</v>
      </c>
      <c r="K122" s="394">
        <v>1142000</v>
      </c>
      <c r="L122" s="420">
        <v>0.75428529156891344</v>
      </c>
      <c r="M122" s="594">
        <f t="shared" si="15"/>
        <v>0</v>
      </c>
      <c r="N122" s="394">
        <v>570000</v>
      </c>
      <c r="O122" s="420">
        <v>0.37648215078308289</v>
      </c>
      <c r="P122" s="594">
        <f>+I122/N122-1</f>
        <v>-0.33333333333333337</v>
      </c>
      <c r="Q122" s="60" t="s">
        <v>394</v>
      </c>
      <c r="S122" s="358"/>
    </row>
    <row r="123" spans="1:19" ht="15" customHeight="1" x14ac:dyDescent="0.25">
      <c r="A123" s="70"/>
      <c r="B123" s="70" t="s">
        <v>335</v>
      </c>
      <c r="C123" s="186">
        <v>421003.62</v>
      </c>
      <c r="D123" s="464">
        <v>421003.62</v>
      </c>
      <c r="E123" s="71">
        <v>421003.62</v>
      </c>
      <c r="F123" s="420">
        <f t="shared" si="25"/>
        <v>1</v>
      </c>
      <c r="G123" s="71">
        <v>421003.62</v>
      </c>
      <c r="H123" s="420">
        <f t="shared" si="28"/>
        <v>1</v>
      </c>
      <c r="I123" s="71">
        <v>0</v>
      </c>
      <c r="J123" s="434">
        <f t="shared" si="27"/>
        <v>0</v>
      </c>
      <c r="K123" s="394">
        <v>271003.62</v>
      </c>
      <c r="L123" s="420">
        <v>1</v>
      </c>
      <c r="M123" s="594">
        <f t="shared" si="15"/>
        <v>0.55349814146394061</v>
      </c>
      <c r="N123" s="394">
        <v>0</v>
      </c>
      <c r="O123" s="420">
        <v>0</v>
      </c>
      <c r="P123" s="594" t="s">
        <v>129</v>
      </c>
      <c r="Q123" s="60" t="s">
        <v>389</v>
      </c>
      <c r="S123" s="358"/>
    </row>
    <row r="124" spans="1:19" ht="15" customHeight="1" x14ac:dyDescent="0.25">
      <c r="A124" s="70"/>
      <c r="B124" s="70" t="s">
        <v>332</v>
      </c>
      <c r="C124" s="186">
        <v>17276353.23</v>
      </c>
      <c r="D124" s="464">
        <v>17276353.23</v>
      </c>
      <c r="E124" s="71">
        <v>17276353.23</v>
      </c>
      <c r="F124" s="420">
        <f t="shared" si="25"/>
        <v>1</v>
      </c>
      <c r="G124" s="71">
        <v>17276353.23</v>
      </c>
      <c r="H124" s="420">
        <f t="shared" si="28"/>
        <v>1</v>
      </c>
      <c r="I124" s="71">
        <v>7198480.5</v>
      </c>
      <c r="J124" s="434">
        <f>I124/D124</f>
        <v>0.41666666594313434</v>
      </c>
      <c r="K124" s="394">
        <v>15409576.619999999</v>
      </c>
      <c r="L124" s="420">
        <v>0.9963869840726397</v>
      </c>
      <c r="M124" s="594">
        <f t="shared" si="15"/>
        <v>0.12114392601657364</v>
      </c>
      <c r="N124" s="394">
        <v>6475000</v>
      </c>
      <c r="O124" s="420">
        <v>0.41867507985241076</v>
      </c>
      <c r="P124" s="594">
        <f>+I124/N124-1</f>
        <v>0.11173444015444023</v>
      </c>
      <c r="Q124" s="60" t="s">
        <v>386</v>
      </c>
      <c r="S124" s="358"/>
    </row>
    <row r="125" spans="1:19" ht="15" customHeight="1" x14ac:dyDescent="0.25">
      <c r="A125" s="70"/>
      <c r="B125" s="70" t="s">
        <v>334</v>
      </c>
      <c r="C125" s="186">
        <v>0</v>
      </c>
      <c r="D125" s="464">
        <v>0</v>
      </c>
      <c r="E125" s="71">
        <v>0</v>
      </c>
      <c r="F125" s="130" t="s">
        <v>129</v>
      </c>
      <c r="G125" s="71">
        <v>0</v>
      </c>
      <c r="H125" s="130" t="s">
        <v>129</v>
      </c>
      <c r="I125" s="71">
        <v>0</v>
      </c>
      <c r="J125" s="194" t="s">
        <v>129</v>
      </c>
      <c r="K125" s="394">
        <v>0</v>
      </c>
      <c r="L125" s="130" t="s">
        <v>129</v>
      </c>
      <c r="M125" s="594" t="s">
        <v>129</v>
      </c>
      <c r="N125" s="394">
        <v>0</v>
      </c>
      <c r="O125" s="130" t="s">
        <v>129</v>
      </c>
      <c r="P125" s="594" t="s">
        <v>129</v>
      </c>
      <c r="Q125" s="60" t="s">
        <v>387</v>
      </c>
      <c r="S125" s="358"/>
    </row>
    <row r="126" spans="1:19" ht="15" customHeight="1" x14ac:dyDescent="0.25">
      <c r="A126" s="70"/>
      <c r="B126" s="70" t="s">
        <v>333</v>
      </c>
      <c r="C126" s="186">
        <v>2248848</v>
      </c>
      <c r="D126" s="464">
        <v>2248848</v>
      </c>
      <c r="E126" s="71">
        <v>2248848</v>
      </c>
      <c r="F126" s="420">
        <f t="shared" ref="F126:F140" si="29">+E126/D126</f>
        <v>1</v>
      </c>
      <c r="G126" s="71">
        <v>2248848</v>
      </c>
      <c r="H126" s="420">
        <f t="shared" ref="H126:H140" si="30">+G126/D126</f>
        <v>1</v>
      </c>
      <c r="I126" s="71">
        <v>1500000</v>
      </c>
      <c r="J126" s="434">
        <f t="shared" ref="J126:J140" si="31">I126/D126</f>
        <v>0.66700817485219099</v>
      </c>
      <c r="K126" s="394">
        <v>2248848</v>
      </c>
      <c r="L126" s="420">
        <v>1</v>
      </c>
      <c r="M126" s="594">
        <f t="shared" si="15"/>
        <v>0</v>
      </c>
      <c r="N126" s="394">
        <v>750000</v>
      </c>
      <c r="O126" s="420">
        <v>0.3335040874260955</v>
      </c>
      <c r="P126" s="594">
        <f>+I126/N126-1</f>
        <v>1</v>
      </c>
      <c r="Q126" s="60" t="s">
        <v>388</v>
      </c>
      <c r="S126" s="358"/>
    </row>
    <row r="127" spans="1:19" ht="15" customHeight="1" x14ac:dyDescent="0.25">
      <c r="A127" s="70"/>
      <c r="B127" s="70" t="s">
        <v>331</v>
      </c>
      <c r="C127" s="186">
        <v>1237126</v>
      </c>
      <c r="D127" s="464">
        <v>1542126</v>
      </c>
      <c r="E127" s="71">
        <v>666451.71</v>
      </c>
      <c r="F127" s="420">
        <f t="shared" si="29"/>
        <v>0.43216423949793981</v>
      </c>
      <c r="G127" s="71">
        <v>666451.71</v>
      </c>
      <c r="H127" s="420">
        <f t="shared" si="30"/>
        <v>0.43216423949793981</v>
      </c>
      <c r="I127" s="71">
        <v>0</v>
      </c>
      <c r="J127" s="434">
        <f t="shared" si="31"/>
        <v>0</v>
      </c>
      <c r="K127" s="394">
        <v>525880</v>
      </c>
      <c r="L127" s="420">
        <v>0.27389897175905142</v>
      </c>
      <c r="M127" s="594">
        <f t="shared" si="15"/>
        <v>0.26730757967597163</v>
      </c>
      <c r="N127" s="394">
        <v>0</v>
      </c>
      <c r="O127" s="420">
        <v>0</v>
      </c>
      <c r="P127" s="594" t="s">
        <v>129</v>
      </c>
      <c r="Q127" s="60" t="s">
        <v>392</v>
      </c>
      <c r="S127" s="358"/>
    </row>
    <row r="128" spans="1:19" ht="15" customHeight="1" x14ac:dyDescent="0.25">
      <c r="A128" s="70"/>
      <c r="B128" s="70" t="s">
        <v>329</v>
      </c>
      <c r="C128" s="186">
        <v>185101.56</v>
      </c>
      <c r="D128" s="464">
        <v>260101.56</v>
      </c>
      <c r="E128" s="71">
        <v>260101.56</v>
      </c>
      <c r="F128" s="420">
        <f t="shared" si="29"/>
        <v>1</v>
      </c>
      <c r="G128" s="71">
        <v>260101.56</v>
      </c>
      <c r="H128" s="420">
        <f t="shared" si="30"/>
        <v>1</v>
      </c>
      <c r="I128" s="71">
        <v>69000</v>
      </c>
      <c r="J128" s="434">
        <f t="shared" si="31"/>
        <v>0.26528099254768023</v>
      </c>
      <c r="K128" s="394">
        <v>275101.56</v>
      </c>
      <c r="L128" s="420">
        <v>0.91608435200936023</v>
      </c>
      <c r="M128" s="594">
        <f t="shared" si="15"/>
        <v>-5.45253178498879E-2</v>
      </c>
      <c r="N128" s="394">
        <v>77500</v>
      </c>
      <c r="O128" s="420">
        <v>0.25807391743153119</v>
      </c>
      <c r="P128" s="594">
        <f t="shared" ref="P128:P129" si="32">+I128/N128-1</f>
        <v>-0.10967741935483866</v>
      </c>
      <c r="Q128" s="60" t="s">
        <v>390</v>
      </c>
      <c r="S128" s="358"/>
    </row>
    <row r="129" spans="1:19" ht="15" customHeight="1" x14ac:dyDescent="0.25">
      <c r="A129" s="70"/>
      <c r="B129" s="70" t="s">
        <v>330</v>
      </c>
      <c r="C129" s="186">
        <v>1108512.45</v>
      </c>
      <c r="D129" s="464">
        <v>1108512.45</v>
      </c>
      <c r="E129" s="71">
        <v>1108512.45</v>
      </c>
      <c r="F129" s="420">
        <f t="shared" si="29"/>
        <v>1</v>
      </c>
      <c r="G129" s="71">
        <v>1108512.45</v>
      </c>
      <c r="H129" s="420">
        <f t="shared" si="30"/>
        <v>1</v>
      </c>
      <c r="I129" s="71">
        <v>720000</v>
      </c>
      <c r="J129" s="434">
        <f t="shared" si="31"/>
        <v>0.64951909200478541</v>
      </c>
      <c r="K129" s="394">
        <v>1008512.45</v>
      </c>
      <c r="L129" s="420">
        <v>1</v>
      </c>
      <c r="M129" s="594">
        <f t="shared" si="15"/>
        <v>9.9155940018390565E-2</v>
      </c>
      <c r="N129" s="394">
        <v>670000</v>
      </c>
      <c r="O129" s="420">
        <v>0.66434479812321601</v>
      </c>
      <c r="P129" s="594">
        <f t="shared" si="32"/>
        <v>7.4626865671641784E-2</v>
      </c>
      <c r="Q129" s="60" t="s">
        <v>391</v>
      </c>
      <c r="S129" s="358"/>
    </row>
    <row r="130" spans="1:19" ht="15" customHeight="1" x14ac:dyDescent="0.25">
      <c r="A130" s="70"/>
      <c r="B130" s="70" t="s">
        <v>327</v>
      </c>
      <c r="C130" s="186">
        <v>11341014</v>
      </c>
      <c r="D130" s="464">
        <v>11341014</v>
      </c>
      <c r="E130" s="71">
        <v>11341014</v>
      </c>
      <c r="F130" s="420">
        <f t="shared" si="29"/>
        <v>1</v>
      </c>
      <c r="G130" s="71">
        <v>11341014</v>
      </c>
      <c r="H130" s="420">
        <f t="shared" si="30"/>
        <v>1</v>
      </c>
      <c r="I130" s="71">
        <v>1270000</v>
      </c>
      <c r="J130" s="434">
        <f t="shared" si="31"/>
        <v>0.11198293203764673</v>
      </c>
      <c r="K130" s="394">
        <v>8541014</v>
      </c>
      <c r="L130" s="420">
        <v>1</v>
      </c>
      <c r="M130" s="594">
        <f t="shared" si="15"/>
        <v>0.32782992745357875</v>
      </c>
      <c r="N130" s="394">
        <v>7270000</v>
      </c>
      <c r="O130" s="420">
        <v>0.85118699020982758</v>
      </c>
      <c r="P130" s="594">
        <f>+I130/N130-1</f>
        <v>-0.82530949105914719</v>
      </c>
      <c r="Q130" s="60">
        <v>46743</v>
      </c>
      <c r="S130" s="358"/>
    </row>
    <row r="131" spans="1:19" ht="15" customHeight="1" x14ac:dyDescent="0.25">
      <c r="A131" s="70"/>
      <c r="B131" s="70" t="s">
        <v>326</v>
      </c>
      <c r="C131" s="186">
        <v>1136412.6100000001</v>
      </c>
      <c r="D131" s="464">
        <v>1136412.6100000001</v>
      </c>
      <c r="E131" s="71">
        <v>480412.61</v>
      </c>
      <c r="F131" s="420">
        <f t="shared" si="29"/>
        <v>0.42274487784854831</v>
      </c>
      <c r="G131" s="71">
        <v>480412.61</v>
      </c>
      <c r="H131" s="420">
        <f t="shared" si="30"/>
        <v>0.42274487784854831</v>
      </c>
      <c r="I131" s="71">
        <v>284000</v>
      </c>
      <c r="J131" s="434">
        <f t="shared" si="31"/>
        <v>0.24990922971190893</v>
      </c>
      <c r="K131" s="394">
        <v>1172912.6100000001</v>
      </c>
      <c r="L131" s="420">
        <v>1</v>
      </c>
      <c r="M131" s="594">
        <f t="shared" si="15"/>
        <v>-0.59041056775747347</v>
      </c>
      <c r="N131" s="394">
        <v>604500</v>
      </c>
      <c r="O131" s="420">
        <v>0.51538366528432156</v>
      </c>
      <c r="P131" s="594">
        <f t="shared" ref="P131:P136" si="33">+I131/N131-1</f>
        <v>-0.53019023986765923</v>
      </c>
      <c r="Q131" s="60">
        <v>46746</v>
      </c>
      <c r="S131" s="358"/>
    </row>
    <row r="132" spans="1:19" ht="15" customHeight="1" x14ac:dyDescent="0.25">
      <c r="A132" s="70"/>
      <c r="B132" s="70" t="s">
        <v>338</v>
      </c>
      <c r="C132" s="186">
        <v>1490399</v>
      </c>
      <c r="D132" s="464">
        <v>1490399</v>
      </c>
      <c r="E132" s="71">
        <v>1241399</v>
      </c>
      <c r="F132" s="420">
        <f t="shared" si="29"/>
        <v>0.83293064474680945</v>
      </c>
      <c r="G132" s="71">
        <v>1241399</v>
      </c>
      <c r="H132" s="420">
        <f t="shared" si="30"/>
        <v>0.83293064474680945</v>
      </c>
      <c r="I132" s="71">
        <v>620000</v>
      </c>
      <c r="J132" s="434">
        <f t="shared" si="31"/>
        <v>0.41599598496778378</v>
      </c>
      <c r="K132" s="394">
        <v>1241399</v>
      </c>
      <c r="L132" s="420">
        <v>0.6566862339643641</v>
      </c>
      <c r="M132" s="594">
        <f t="shared" si="15"/>
        <v>0</v>
      </c>
      <c r="N132" s="394">
        <v>620000</v>
      </c>
      <c r="O132" s="420">
        <v>0.32797308927903579</v>
      </c>
      <c r="P132" s="594">
        <f t="shared" si="33"/>
        <v>0</v>
      </c>
      <c r="Q132" s="60" t="s">
        <v>395</v>
      </c>
      <c r="S132" s="358"/>
    </row>
    <row r="133" spans="1:19" ht="15" customHeight="1" x14ac:dyDescent="0.25">
      <c r="A133" s="72"/>
      <c r="B133" s="72" t="s">
        <v>339</v>
      </c>
      <c r="C133" s="176">
        <v>6277211.96</v>
      </c>
      <c r="D133" s="493">
        <v>7484110.3500000127</v>
      </c>
      <c r="E133" s="73">
        <v>2352056.2299999981</v>
      </c>
      <c r="F133" s="513">
        <f t="shared" si="29"/>
        <v>0.31427332308107858</v>
      </c>
      <c r="G133" s="71">
        <v>2352056.2299999981</v>
      </c>
      <c r="H133" s="421">
        <f t="shared" si="30"/>
        <v>0.31427332308107858</v>
      </c>
      <c r="I133" s="71">
        <v>2109915.4799999967</v>
      </c>
      <c r="J133" s="435">
        <f t="shared" si="31"/>
        <v>0.28191934396050067</v>
      </c>
      <c r="K133" s="583">
        <v>3044701.73</v>
      </c>
      <c r="L133" s="421">
        <v>0.90371715034028066</v>
      </c>
      <c r="M133" s="590">
        <f t="shared" si="15"/>
        <v>-0.22749207029878815</v>
      </c>
      <c r="N133" s="583">
        <v>2943095.7</v>
      </c>
      <c r="O133" s="421">
        <v>0.87355882284821829</v>
      </c>
      <c r="P133" s="590">
        <f t="shared" si="33"/>
        <v>-0.28309654354766767</v>
      </c>
      <c r="Q133" s="60" t="s">
        <v>340</v>
      </c>
      <c r="S133" s="358"/>
    </row>
    <row r="134" spans="1:19" ht="15" customHeight="1" x14ac:dyDescent="0.25">
      <c r="A134" s="68"/>
      <c r="B134" s="68" t="s">
        <v>341</v>
      </c>
      <c r="C134" s="488">
        <v>3977488.74</v>
      </c>
      <c r="D134" s="494">
        <v>4375280.2</v>
      </c>
      <c r="E134" s="82">
        <v>3370291.46</v>
      </c>
      <c r="F134" s="238">
        <f t="shared" si="29"/>
        <v>0.77030299910849132</v>
      </c>
      <c r="G134" s="69">
        <v>125000</v>
      </c>
      <c r="H134" s="420">
        <f t="shared" si="30"/>
        <v>2.8569598811065858E-2</v>
      </c>
      <c r="I134" s="69">
        <v>0</v>
      </c>
      <c r="J134" s="434">
        <f t="shared" si="31"/>
        <v>0</v>
      </c>
      <c r="K134" s="582">
        <v>125000</v>
      </c>
      <c r="L134" s="238">
        <v>8.8422349621772339E-2</v>
      </c>
      <c r="M134" s="724">
        <f t="shared" si="15"/>
        <v>0</v>
      </c>
      <c r="N134" s="582">
        <v>0</v>
      </c>
      <c r="O134" s="238">
        <v>0</v>
      </c>
      <c r="P134" s="600" t="s">
        <v>129</v>
      </c>
      <c r="Q134" s="60">
        <v>47</v>
      </c>
      <c r="S134" s="358"/>
    </row>
    <row r="135" spans="1:19" ht="15" customHeight="1" x14ac:dyDescent="0.25">
      <c r="A135" s="70"/>
      <c r="B135" s="70" t="s">
        <v>342</v>
      </c>
      <c r="C135" s="186">
        <v>92249396.719999999</v>
      </c>
      <c r="D135" s="464">
        <v>88706375.280000001</v>
      </c>
      <c r="E135" s="71">
        <v>58894615.780000001</v>
      </c>
      <c r="F135" s="420">
        <f t="shared" si="29"/>
        <v>0.66392765564031064</v>
      </c>
      <c r="G135" s="82">
        <v>32750968.68</v>
      </c>
      <c r="H135" s="420">
        <f t="shared" si="30"/>
        <v>0.36920648123229233</v>
      </c>
      <c r="I135" s="71">
        <v>15957754.33</v>
      </c>
      <c r="J135" s="434">
        <f t="shared" si="31"/>
        <v>0.17989410884651355</v>
      </c>
      <c r="K135" s="394">
        <v>35310188.329999998</v>
      </c>
      <c r="L135" s="420">
        <v>0.3671668124821349</v>
      </c>
      <c r="M135" s="591">
        <f t="shared" si="15"/>
        <v>-7.2478221472006443E-2</v>
      </c>
      <c r="N135" s="394">
        <v>19936950.640000001</v>
      </c>
      <c r="O135" s="420">
        <v>0.20731089136908207</v>
      </c>
      <c r="P135" s="594">
        <f t="shared" si="33"/>
        <v>-0.1995890134781414</v>
      </c>
      <c r="Q135" s="60">
        <v>48</v>
      </c>
      <c r="S135" s="358"/>
    </row>
    <row r="136" spans="1:19" ht="15" customHeight="1" x14ac:dyDescent="0.25">
      <c r="A136" s="72"/>
      <c r="B136" s="72" t="s">
        <v>343</v>
      </c>
      <c r="C136" s="176">
        <v>125828.35</v>
      </c>
      <c r="D136" s="493">
        <v>142693.53</v>
      </c>
      <c r="E136" s="73">
        <v>14914.93</v>
      </c>
      <c r="F136" s="421">
        <f t="shared" si="29"/>
        <v>0.10452422054454746</v>
      </c>
      <c r="G136" s="73">
        <v>14914.93</v>
      </c>
      <c r="H136" s="421">
        <f t="shared" si="30"/>
        <v>0.10452422054454746</v>
      </c>
      <c r="I136" s="73">
        <v>14914.93</v>
      </c>
      <c r="J136" s="435">
        <f t="shared" si="31"/>
        <v>0.10452422054454746</v>
      </c>
      <c r="K136" s="583">
        <v>54030.55</v>
      </c>
      <c r="L136" s="421">
        <v>0.42939885963695779</v>
      </c>
      <c r="M136" s="645">
        <f t="shared" si="15"/>
        <v>-0.72395376319508131</v>
      </c>
      <c r="N136" s="583">
        <v>54030.55</v>
      </c>
      <c r="O136" s="421">
        <v>0.42939885963695779</v>
      </c>
      <c r="P136" s="590">
        <f t="shared" si="33"/>
        <v>-0.72395376319508131</v>
      </c>
      <c r="Q136" s="60">
        <v>49</v>
      </c>
      <c r="S136" s="358"/>
    </row>
    <row r="137" spans="1:19" ht="15" customHeight="1" x14ac:dyDescent="0.25">
      <c r="A137" s="61"/>
      <c r="B137" s="61" t="s">
        <v>453</v>
      </c>
      <c r="C137" s="489">
        <v>13647818.9</v>
      </c>
      <c r="D137" s="491">
        <v>9829606.0399999991</v>
      </c>
      <c r="E137" s="62">
        <v>0</v>
      </c>
      <c r="F137" s="422">
        <f>+E137/D137</f>
        <v>0</v>
      </c>
      <c r="G137" s="62">
        <v>0</v>
      </c>
      <c r="H137" s="422">
        <f>+G137/D137</f>
        <v>0</v>
      </c>
      <c r="I137" s="62">
        <v>0</v>
      </c>
      <c r="J137" s="438">
        <f>I137/D137</f>
        <v>0</v>
      </c>
      <c r="K137" s="581">
        <v>0</v>
      </c>
      <c r="L137" s="422" t="s">
        <v>129</v>
      </c>
      <c r="M137" s="245" t="s">
        <v>129</v>
      </c>
      <c r="N137" s="581">
        <v>0</v>
      </c>
      <c r="O137" s="422" t="s">
        <v>129</v>
      </c>
      <c r="P137" s="245" t="s">
        <v>129</v>
      </c>
      <c r="Q137" s="60">
        <v>5</v>
      </c>
      <c r="S137" s="357"/>
    </row>
    <row r="138" spans="1:19" ht="15" customHeight="1" x14ac:dyDescent="0.25">
      <c r="A138" s="75"/>
      <c r="B138" s="76" t="s">
        <v>345</v>
      </c>
      <c r="C138" s="193">
        <f>SUM(C110:C137)</f>
        <v>469086064.34000003</v>
      </c>
      <c r="D138" s="196">
        <f>SUM(D110:D137)</f>
        <v>464181169.59000009</v>
      </c>
      <c r="E138" s="77">
        <f>SUM(E110:E137)</f>
        <v>378605588.27000004</v>
      </c>
      <c r="F138" s="424">
        <f>+E138/D138</f>
        <v>0.81564185079806906</v>
      </c>
      <c r="G138" s="77">
        <f>SUM(G110:G137)</f>
        <v>349216649.71000004</v>
      </c>
      <c r="H138" s="424">
        <f t="shared" si="30"/>
        <v>0.7523283420101996</v>
      </c>
      <c r="I138" s="77">
        <f>SUM(I110:I137)</f>
        <v>128257027.48999999</v>
      </c>
      <c r="J138" s="439">
        <f t="shared" si="31"/>
        <v>0.27630812254466569</v>
      </c>
      <c r="K138" s="606">
        <f>SUM(K110:K137)</f>
        <v>341976774.13000005</v>
      </c>
      <c r="L138" s="424">
        <v>0.71875358280631807</v>
      </c>
      <c r="M138" s="601">
        <f t="shared" si="15"/>
        <v>2.1170664582173648E-2</v>
      </c>
      <c r="N138" s="606">
        <f>SUM(N110:N137)</f>
        <v>154723822.32999998</v>
      </c>
      <c r="O138" s="424">
        <v>0.32519255709132061</v>
      </c>
      <c r="P138" s="601">
        <f>+I138/N138-1</f>
        <v>-0.17105830531739807</v>
      </c>
      <c r="S138" s="357"/>
    </row>
    <row r="139" spans="1:19" ht="21" customHeight="1" thickBot="1" x14ac:dyDescent="0.3">
      <c r="A139" s="9"/>
      <c r="B139" s="2" t="s">
        <v>3</v>
      </c>
      <c r="C139" s="162">
        <f>C105+C138</f>
        <v>1089753389.8699999</v>
      </c>
      <c r="D139" s="152">
        <f>D105+D138</f>
        <v>1099614446.4200001</v>
      </c>
      <c r="E139" s="84">
        <f>E105+E138</f>
        <v>888049007.75</v>
      </c>
      <c r="F139" s="90">
        <f>+E139/D139</f>
        <v>0.80760034632248523</v>
      </c>
      <c r="G139" s="84">
        <f>G105+G138</f>
        <v>858660069.19000006</v>
      </c>
      <c r="H139" s="90">
        <f t="shared" si="30"/>
        <v>0.78087376169486322</v>
      </c>
      <c r="I139" s="84">
        <f>I105+I138</f>
        <v>295406144.75999999</v>
      </c>
      <c r="J139" s="170">
        <f t="shared" si="31"/>
        <v>0.26864520170842587</v>
      </c>
      <c r="K139" s="568">
        <f>K105+K138</f>
        <v>765231718.48000002</v>
      </c>
      <c r="L139" s="90">
        <v>0.75662691603947574</v>
      </c>
      <c r="M139" s="213">
        <f t="shared" si="15"/>
        <v>0.12209158148276877</v>
      </c>
      <c r="N139" s="568">
        <f>N105+N138</f>
        <v>332377580.14999998</v>
      </c>
      <c r="O139" s="90">
        <v>0.32864009339431338</v>
      </c>
      <c r="P139" s="213">
        <f>+I139/N139-1</f>
        <v>-0.1112332407417943</v>
      </c>
      <c r="S139" s="357"/>
    </row>
    <row r="140" spans="1:19" s="6" customFormat="1" ht="19.5" customHeight="1" thickBot="1" x14ac:dyDescent="0.3">
      <c r="A140" s="5"/>
      <c r="B140" s="4" t="s">
        <v>292</v>
      </c>
      <c r="C140" s="163">
        <f>+C11+C61+C65+C139</f>
        <v>2151399911.2599998</v>
      </c>
      <c r="D140" s="154">
        <f>+D11+D61+D65+D139</f>
        <v>2167207736.5999999</v>
      </c>
      <c r="E140" s="155">
        <f>+E11+E61+E65+E139</f>
        <v>1578286066.5299997</v>
      </c>
      <c r="F140" s="181">
        <f t="shared" si="29"/>
        <v>0.72825785912248386</v>
      </c>
      <c r="G140" s="155">
        <f>+G11+G61+G65+G139</f>
        <v>1518054661.3600001</v>
      </c>
      <c r="H140" s="181">
        <f t="shared" si="30"/>
        <v>0.70046568943205401</v>
      </c>
      <c r="I140" s="155">
        <f>+I11+I61+I65+I139</f>
        <v>518781128.24000001</v>
      </c>
      <c r="J140" s="173">
        <f t="shared" si="31"/>
        <v>0.23937766531503993</v>
      </c>
      <c r="K140" s="576">
        <f>K139+K65+K61+K11</f>
        <v>1441461481.1199999</v>
      </c>
      <c r="L140" s="181">
        <v>0.71929028847603205</v>
      </c>
      <c r="M140" s="607">
        <f t="shared" si="15"/>
        <v>5.3135780069883065E-2</v>
      </c>
      <c r="N140" s="576">
        <f>N139+N65+N61+N11</f>
        <v>594238020.09000003</v>
      </c>
      <c r="O140" s="181">
        <v>0.29652518814575196</v>
      </c>
      <c r="P140" s="607">
        <f>+I140/N140-1</f>
        <v>-0.126980922288634</v>
      </c>
      <c r="Q140" s="14"/>
      <c r="S140" s="359"/>
    </row>
    <row r="141" spans="1:19" x14ac:dyDescent="0.25">
      <c r="S141" s="358"/>
    </row>
    <row r="142" spans="1:19" x14ac:dyDescent="0.25">
      <c r="S142" s="358"/>
    </row>
    <row r="143" spans="1:19" x14ac:dyDescent="0.25">
      <c r="B143" s="477"/>
      <c r="S143" s="358"/>
    </row>
    <row r="144" spans="1:19" x14ac:dyDescent="0.25">
      <c r="B144" s="478"/>
      <c r="D144" s="350"/>
      <c r="E144" s="350"/>
      <c r="F144" s="425"/>
      <c r="G144" s="350"/>
      <c r="H144" s="425"/>
      <c r="I144" s="350"/>
      <c r="J144" s="425"/>
      <c r="K144" s="425"/>
      <c r="L144" s="425"/>
      <c r="M144" s="425"/>
      <c r="N144" s="350"/>
      <c r="S144" s="357"/>
    </row>
    <row r="145" spans="2:19" x14ac:dyDescent="0.25">
      <c r="B145" s="479"/>
      <c r="D145" s="46"/>
      <c r="S145" s="358"/>
    </row>
    <row r="146" spans="2:19" x14ac:dyDescent="0.25">
      <c r="B146" s="254"/>
      <c r="I146" s="351"/>
      <c r="N146" s="351"/>
      <c r="S146" s="358"/>
    </row>
    <row r="147" spans="2:19" x14ac:dyDescent="0.25">
      <c r="B147" s="480"/>
      <c r="S147" s="358"/>
    </row>
    <row r="148" spans="2:19" x14ac:dyDescent="0.25">
      <c r="B148" s="254"/>
      <c r="C148" s="254"/>
      <c r="S148" s="358"/>
    </row>
    <row r="149" spans="2:19" x14ac:dyDescent="0.25">
      <c r="S149" s="358"/>
    </row>
    <row r="150" spans="2:19" x14ac:dyDescent="0.25">
      <c r="B150" s="254"/>
      <c r="C150" s="254"/>
      <c r="S150" s="358"/>
    </row>
    <row r="151" spans="2:19" x14ac:dyDescent="0.25">
      <c r="S151" s="358"/>
    </row>
    <row r="152" spans="2:19" x14ac:dyDescent="0.25">
      <c r="C152" s="46"/>
      <c r="D152" s="342"/>
      <c r="S152" s="358"/>
    </row>
    <row r="153" spans="2:19" x14ac:dyDescent="0.25">
      <c r="S153" s="358"/>
    </row>
    <row r="154" spans="2:19" x14ac:dyDescent="0.25">
      <c r="S154" s="358"/>
    </row>
    <row r="155" spans="2:19" x14ac:dyDescent="0.25">
      <c r="S155" s="357"/>
    </row>
    <row r="156" spans="2:19" x14ac:dyDescent="0.25"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7"/>
    </row>
    <row r="160" spans="2:19" x14ac:dyDescent="0.25">
      <c r="S160" s="358"/>
    </row>
    <row r="161" spans="19:19" x14ac:dyDescent="0.25">
      <c r="S161" s="358"/>
    </row>
    <row r="162" spans="19:19" x14ac:dyDescent="0.25">
      <c r="S162" s="358"/>
    </row>
    <row r="163" spans="19:19" x14ac:dyDescent="0.25">
      <c r="S163" s="358"/>
    </row>
    <row r="164" spans="19:19" x14ac:dyDescent="0.25">
      <c r="S164" s="358"/>
    </row>
    <row r="165" spans="19:19" x14ac:dyDescent="0.25">
      <c r="S165" s="357"/>
    </row>
    <row r="166" spans="19:19" x14ac:dyDescent="0.25">
      <c r="S166" s="357"/>
    </row>
    <row r="167" spans="19:19" x14ac:dyDescent="0.25">
      <c r="S167" s="358"/>
    </row>
    <row r="168" spans="19:19" x14ac:dyDescent="0.25">
      <c r="S168" s="357"/>
    </row>
    <row r="169" spans="19:19" x14ac:dyDescent="0.25">
      <c r="S169" s="358"/>
    </row>
    <row r="170" spans="19:19" x14ac:dyDescent="0.25">
      <c r="S170" s="357"/>
    </row>
    <row r="171" spans="19:19" x14ac:dyDescent="0.25">
      <c r="S171" s="358"/>
    </row>
    <row r="172" spans="19:19" x14ac:dyDescent="0.25">
      <c r="S172" s="358"/>
    </row>
    <row r="173" spans="19:19" x14ac:dyDescent="0.25">
      <c r="S173" s="358"/>
    </row>
    <row r="174" spans="19:19" x14ac:dyDescent="0.25">
      <c r="S174" s="357"/>
    </row>
    <row r="175" spans="19:19" x14ac:dyDescent="0.25">
      <c r="S175" s="358"/>
    </row>
    <row r="176" spans="19:19" x14ac:dyDescent="0.25">
      <c r="S176" s="358"/>
    </row>
    <row r="177" spans="19:19" x14ac:dyDescent="0.25">
      <c r="S177" s="358"/>
    </row>
    <row r="178" spans="19:19" x14ac:dyDescent="0.25">
      <c r="S178" s="358"/>
    </row>
    <row r="179" spans="19:19" x14ac:dyDescent="0.25">
      <c r="S179" s="358"/>
    </row>
    <row r="180" spans="19:19" x14ac:dyDescent="0.25">
      <c r="S180" s="358"/>
    </row>
    <row r="181" spans="19:19" x14ac:dyDescent="0.25">
      <c r="S181" s="358"/>
    </row>
    <row r="182" spans="19:19" x14ac:dyDescent="0.25">
      <c r="S182" s="358"/>
    </row>
    <row r="183" spans="19:19" x14ac:dyDescent="0.25">
      <c r="S183" s="358"/>
    </row>
    <row r="184" spans="19:19" x14ac:dyDescent="0.25">
      <c r="S184" s="358"/>
    </row>
    <row r="185" spans="19:19" x14ac:dyDescent="0.25">
      <c r="S185" s="358"/>
    </row>
    <row r="186" spans="19:19" x14ac:dyDescent="0.25">
      <c r="S186" s="358"/>
    </row>
    <row r="187" spans="19:19" x14ac:dyDescent="0.25">
      <c r="S187" s="358"/>
    </row>
    <row r="188" spans="19:19" x14ac:dyDescent="0.25">
      <c r="S188" s="358"/>
    </row>
    <row r="189" spans="19:19" x14ac:dyDescent="0.25">
      <c r="S189" s="358"/>
    </row>
    <row r="190" spans="19:19" x14ac:dyDescent="0.25">
      <c r="S190" s="358"/>
    </row>
    <row r="191" spans="19:19" x14ac:dyDescent="0.25">
      <c r="S191" s="357"/>
    </row>
    <row r="192" spans="19:19" x14ac:dyDescent="0.25">
      <c r="S192" s="358"/>
    </row>
    <row r="193" spans="19:19" x14ac:dyDescent="0.25">
      <c r="S193" s="358"/>
    </row>
    <row r="194" spans="19:19" x14ac:dyDescent="0.25">
      <c r="S194" s="358"/>
    </row>
    <row r="195" spans="19:19" x14ac:dyDescent="0.25">
      <c r="S195" s="358"/>
    </row>
    <row r="196" spans="19:19" x14ac:dyDescent="0.25">
      <c r="S196" s="358"/>
    </row>
    <row r="197" spans="19:19" x14ac:dyDescent="0.25">
      <c r="S197" s="358"/>
    </row>
    <row r="198" spans="19:19" x14ac:dyDescent="0.25">
      <c r="S198" s="358"/>
    </row>
    <row r="199" spans="19:19" x14ac:dyDescent="0.25">
      <c r="S199" s="358"/>
    </row>
    <row r="200" spans="19:19" x14ac:dyDescent="0.25">
      <c r="S200" s="358"/>
    </row>
    <row r="201" spans="19:19" x14ac:dyDescent="0.25">
      <c r="S201" s="358"/>
    </row>
    <row r="202" spans="19:19" x14ac:dyDescent="0.25">
      <c r="S202" s="358"/>
    </row>
    <row r="203" spans="19:19" x14ac:dyDescent="0.25">
      <c r="S203" s="358"/>
    </row>
    <row r="204" spans="19:19" x14ac:dyDescent="0.25">
      <c r="S204" s="358"/>
    </row>
    <row r="205" spans="19:19" x14ac:dyDescent="0.25">
      <c r="S205" s="358"/>
    </row>
    <row r="206" spans="19:19" x14ac:dyDescent="0.25">
      <c r="S206" s="358"/>
    </row>
    <row r="207" spans="19:19" x14ac:dyDescent="0.25">
      <c r="S207" s="358"/>
    </row>
    <row r="208" spans="19:19" x14ac:dyDescent="0.25">
      <c r="S208" s="358"/>
    </row>
    <row r="209" spans="19:19" x14ac:dyDescent="0.25">
      <c r="S209" s="358"/>
    </row>
    <row r="210" spans="19:19" x14ac:dyDescent="0.25">
      <c r="S210" s="358"/>
    </row>
    <row r="211" spans="19:19" x14ac:dyDescent="0.25">
      <c r="S211" s="358"/>
    </row>
    <row r="212" spans="19:19" x14ac:dyDescent="0.25">
      <c r="S212" s="358"/>
    </row>
    <row r="213" spans="19:19" x14ac:dyDescent="0.25">
      <c r="S213" s="357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8"/>
    </row>
    <row r="217" spans="19:19" x14ac:dyDescent="0.25">
      <c r="S217" s="358"/>
    </row>
    <row r="218" spans="19:19" x14ac:dyDescent="0.25">
      <c r="S218" s="358"/>
    </row>
    <row r="219" spans="19:19" x14ac:dyDescent="0.25">
      <c r="S219" s="358"/>
    </row>
    <row r="220" spans="19:19" x14ac:dyDescent="0.25">
      <c r="S220" s="358"/>
    </row>
    <row r="221" spans="19:19" x14ac:dyDescent="0.25">
      <c r="S221" s="358"/>
    </row>
    <row r="222" spans="19:19" x14ac:dyDescent="0.25">
      <c r="S222" s="358"/>
    </row>
    <row r="223" spans="19:19" x14ac:dyDescent="0.25">
      <c r="S223" s="357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8"/>
    </row>
    <row r="227" spans="19:19" x14ac:dyDescent="0.25">
      <c r="S227" s="358"/>
    </row>
  </sheetData>
  <sortState ref="B16:Q18">
    <sortCondition ref="Q16:Q18"/>
  </sortState>
  <mergeCells count="8">
    <mergeCell ref="D107:J107"/>
    <mergeCell ref="K107:P107"/>
    <mergeCell ref="D2:J2"/>
    <mergeCell ref="D68:J68"/>
    <mergeCell ref="K2:P2"/>
    <mergeCell ref="K68:P68"/>
    <mergeCell ref="D44:J44"/>
    <mergeCell ref="K44:P44"/>
  </mergeCells>
  <hyperlinks>
    <hyperlink ref="B9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rowBreaks count="3" manualBreakCount="3">
    <brk id="42" max="15" man="1"/>
    <brk id="66" max="15" man="1"/>
    <brk id="10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32"/>
  <sheetViews>
    <sheetView topLeftCell="A25" zoomScale="85" zoomScaleNormal="85" workbookViewId="0">
      <selection activeCell="L37" sqref="L37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8"/>
    </row>
    <row r="56" spans="3:16" x14ac:dyDescent="0.25">
      <c r="P56" s="358"/>
    </row>
    <row r="57" spans="3:16" x14ac:dyDescent="0.25">
      <c r="C57" s="46"/>
      <c r="D57" s="342"/>
      <c r="P57" s="358"/>
    </row>
    <row r="58" spans="3:16" x14ac:dyDescent="0.25">
      <c r="P58" s="358"/>
    </row>
    <row r="59" spans="3:16" x14ac:dyDescent="0.25">
      <c r="P59" s="358"/>
    </row>
    <row r="60" spans="3:16" x14ac:dyDescent="0.25">
      <c r="P60" s="357"/>
    </row>
    <row r="61" spans="3:16" x14ac:dyDescent="0.25">
      <c r="P61" s="357"/>
    </row>
    <row r="62" spans="3:16" x14ac:dyDescent="0.25">
      <c r="P62" s="357"/>
    </row>
    <row r="63" spans="3:16" x14ac:dyDescent="0.25">
      <c r="P63" s="357"/>
    </row>
    <row r="64" spans="3:16" x14ac:dyDescent="0.25">
      <c r="P64" s="357"/>
    </row>
    <row r="65" spans="16:16" customFormat="1" x14ac:dyDescent="0.25">
      <c r="P65" s="358"/>
    </row>
    <row r="66" spans="16:16" customFormat="1" x14ac:dyDescent="0.25">
      <c r="P66" s="358"/>
    </row>
    <row r="67" spans="16:16" customFormat="1" x14ac:dyDescent="0.25">
      <c r="P67" s="358"/>
    </row>
    <row r="68" spans="16:16" customFormat="1" x14ac:dyDescent="0.25">
      <c r="P68" s="358"/>
    </row>
    <row r="69" spans="16:16" customFormat="1" x14ac:dyDescent="0.25">
      <c r="P69" s="358"/>
    </row>
    <row r="70" spans="16:16" customFormat="1" x14ac:dyDescent="0.25">
      <c r="P70" s="357"/>
    </row>
    <row r="71" spans="16:16" customFormat="1" x14ac:dyDescent="0.25">
      <c r="P71" s="357"/>
    </row>
    <row r="72" spans="16:16" customFormat="1" x14ac:dyDescent="0.25">
      <c r="P72" s="358"/>
    </row>
    <row r="73" spans="16:16" customFormat="1" x14ac:dyDescent="0.25">
      <c r="P73" s="357"/>
    </row>
    <row r="74" spans="16:16" customFormat="1" x14ac:dyDescent="0.25">
      <c r="P74" s="358"/>
    </row>
    <row r="75" spans="16:16" customFormat="1" x14ac:dyDescent="0.25">
      <c r="P75" s="357"/>
    </row>
    <row r="76" spans="16:16" customFormat="1" x14ac:dyDescent="0.25">
      <c r="P76" s="358"/>
    </row>
    <row r="77" spans="16:16" customFormat="1" x14ac:dyDescent="0.25">
      <c r="P77" s="358"/>
    </row>
    <row r="78" spans="16:16" customFormat="1" x14ac:dyDescent="0.25">
      <c r="P78" s="358"/>
    </row>
    <row r="79" spans="16:16" customFormat="1" x14ac:dyDescent="0.25">
      <c r="P79" s="357"/>
    </row>
    <row r="80" spans="16:16" customFormat="1" x14ac:dyDescent="0.25">
      <c r="P80" s="358"/>
    </row>
    <row r="81" spans="16:16" customFormat="1" x14ac:dyDescent="0.25">
      <c r="P81" s="358"/>
    </row>
    <row r="82" spans="16:16" customFormat="1" x14ac:dyDescent="0.25">
      <c r="P82" s="358"/>
    </row>
    <row r="83" spans="16:16" customFormat="1" x14ac:dyDescent="0.25">
      <c r="P83" s="358"/>
    </row>
    <row r="84" spans="16:16" customFormat="1" x14ac:dyDescent="0.25">
      <c r="P84" s="358"/>
    </row>
    <row r="85" spans="16:16" customFormat="1" x14ac:dyDescent="0.25">
      <c r="P85" s="358"/>
    </row>
    <row r="86" spans="16:16" customFormat="1" x14ac:dyDescent="0.25">
      <c r="P86" s="358"/>
    </row>
    <row r="87" spans="16:16" customFormat="1" x14ac:dyDescent="0.25">
      <c r="P87" s="358"/>
    </row>
    <row r="88" spans="16:16" customFormat="1" x14ac:dyDescent="0.25">
      <c r="P88" s="358"/>
    </row>
    <row r="89" spans="16:16" customFormat="1" x14ac:dyDescent="0.25">
      <c r="P89" s="358"/>
    </row>
    <row r="90" spans="16:16" customFormat="1" x14ac:dyDescent="0.25">
      <c r="P90" s="358"/>
    </row>
    <row r="91" spans="16:16" customFormat="1" x14ac:dyDescent="0.25">
      <c r="P91" s="358"/>
    </row>
    <row r="92" spans="16:16" customFormat="1" x14ac:dyDescent="0.25">
      <c r="P92" s="358"/>
    </row>
    <row r="93" spans="16:16" customFormat="1" x14ac:dyDescent="0.25">
      <c r="P93" s="358"/>
    </row>
    <row r="94" spans="16:16" customFormat="1" x14ac:dyDescent="0.25">
      <c r="P94" s="358"/>
    </row>
    <row r="95" spans="16:16" customFormat="1" x14ac:dyDescent="0.25">
      <c r="P95" s="358"/>
    </row>
    <row r="96" spans="16:16" customFormat="1" x14ac:dyDescent="0.25">
      <c r="P96" s="357"/>
    </row>
    <row r="97" spans="16:16" customFormat="1" x14ac:dyDescent="0.25">
      <c r="P97" s="358"/>
    </row>
    <row r="98" spans="16:16" customFormat="1" x14ac:dyDescent="0.25">
      <c r="P98" s="358"/>
    </row>
    <row r="99" spans="16:16" customFormat="1" x14ac:dyDescent="0.25">
      <c r="P99" s="358"/>
    </row>
    <row r="100" spans="16:16" customFormat="1" x14ac:dyDescent="0.25">
      <c r="P100" s="358"/>
    </row>
    <row r="101" spans="16:16" customFormat="1" x14ac:dyDescent="0.25">
      <c r="P101" s="358"/>
    </row>
    <row r="102" spans="16:16" customFormat="1" x14ac:dyDescent="0.25">
      <c r="P102" s="358"/>
    </row>
    <row r="103" spans="16:16" customFormat="1" x14ac:dyDescent="0.25">
      <c r="P103" s="358"/>
    </row>
    <row r="104" spans="16:16" customFormat="1" x14ac:dyDescent="0.25">
      <c r="P104" s="358"/>
    </row>
    <row r="105" spans="16:16" customFormat="1" x14ac:dyDescent="0.25">
      <c r="P105" s="358"/>
    </row>
    <row r="106" spans="16:16" customFormat="1" x14ac:dyDescent="0.25">
      <c r="P106" s="358"/>
    </row>
    <row r="107" spans="16:16" customFormat="1" x14ac:dyDescent="0.25">
      <c r="P107" s="358"/>
    </row>
    <row r="108" spans="16:16" customFormat="1" x14ac:dyDescent="0.25">
      <c r="P108" s="358"/>
    </row>
    <row r="109" spans="16:16" customFormat="1" x14ac:dyDescent="0.25">
      <c r="P109" s="358"/>
    </row>
    <row r="110" spans="16:16" customFormat="1" x14ac:dyDescent="0.25">
      <c r="P110" s="358"/>
    </row>
    <row r="111" spans="16:16" customFormat="1" x14ac:dyDescent="0.25">
      <c r="P111" s="358"/>
    </row>
    <row r="112" spans="16:16" customFormat="1" x14ac:dyDescent="0.25">
      <c r="P112" s="358"/>
    </row>
    <row r="113" spans="16:16" customFormat="1" x14ac:dyDescent="0.25">
      <c r="P113" s="358"/>
    </row>
    <row r="114" spans="16:16" customFormat="1" x14ac:dyDescent="0.25">
      <c r="P114" s="358"/>
    </row>
    <row r="115" spans="16:16" customFormat="1" x14ac:dyDescent="0.25">
      <c r="P115" s="358"/>
    </row>
    <row r="116" spans="16:16" customFormat="1" x14ac:dyDescent="0.25">
      <c r="P116" s="358"/>
    </row>
    <row r="117" spans="16:16" customFormat="1" x14ac:dyDescent="0.25">
      <c r="P117" s="358"/>
    </row>
    <row r="118" spans="16:16" customFormat="1" x14ac:dyDescent="0.25">
      <c r="P118" s="357"/>
    </row>
    <row r="119" spans="16:16" customFormat="1" x14ac:dyDescent="0.25">
      <c r="P119" s="357"/>
    </row>
    <row r="120" spans="16:16" customFormat="1" x14ac:dyDescent="0.25">
      <c r="P120" s="357"/>
    </row>
    <row r="121" spans="16:16" customFormat="1" x14ac:dyDescent="0.25">
      <c r="P121" s="358"/>
    </row>
    <row r="122" spans="16:16" customFormat="1" x14ac:dyDescent="0.25">
      <c r="P122" s="358"/>
    </row>
    <row r="123" spans="16:16" customFormat="1" x14ac:dyDescent="0.25">
      <c r="P123" s="358"/>
    </row>
    <row r="124" spans="16:16" customFormat="1" x14ac:dyDescent="0.25">
      <c r="P124" s="358"/>
    </row>
    <row r="125" spans="16:16" customFormat="1" x14ac:dyDescent="0.25">
      <c r="P125" s="358"/>
    </row>
    <row r="126" spans="16:16" customFormat="1" x14ac:dyDescent="0.25">
      <c r="P126" s="358"/>
    </row>
    <row r="127" spans="16:16" customFormat="1" x14ac:dyDescent="0.25">
      <c r="P127" s="358"/>
    </row>
    <row r="128" spans="16:16" customFormat="1" x14ac:dyDescent="0.25">
      <c r="P128" s="357"/>
    </row>
    <row r="129" spans="16:16" customFormat="1" x14ac:dyDescent="0.25">
      <c r="P129" s="357"/>
    </row>
    <row r="130" spans="16:16" customFormat="1" x14ac:dyDescent="0.25">
      <c r="P130" s="357"/>
    </row>
    <row r="131" spans="16:16" customFormat="1" x14ac:dyDescent="0.25">
      <c r="P131" s="358"/>
    </row>
    <row r="132" spans="16:16" customFormat="1" x14ac:dyDescent="0.25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U303"/>
  <sheetViews>
    <sheetView topLeftCell="A62" zoomScaleNormal="100" workbookViewId="0">
      <pane xSplit="1" topLeftCell="B1" activePane="topRight" state="frozen"/>
      <selection activeCell="N21" sqref="N21"/>
      <selection pane="topRight" activeCell="D83" sqref="D83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534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1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3" t="s">
        <v>766</v>
      </c>
      <c r="N4" s="564" t="s">
        <v>17</v>
      </c>
      <c r="O4" s="89" t="s">
        <v>18</v>
      </c>
      <c r="P4" s="648" t="s">
        <v>766</v>
      </c>
      <c r="R4"/>
    </row>
    <row r="5" spans="1:19" ht="14.1" customHeight="1" x14ac:dyDescent="0.25">
      <c r="A5" s="17" t="s">
        <v>53</v>
      </c>
      <c r="B5" s="13" t="s">
        <v>96</v>
      </c>
      <c r="C5" s="530">
        <v>155185000</v>
      </c>
      <c r="D5" s="516">
        <v>155185000</v>
      </c>
      <c r="E5" s="180">
        <v>40445550.549999997</v>
      </c>
      <c r="F5" s="78">
        <f t="shared" ref="F5:F33" si="0">+E5/D5</f>
        <v>0.26062796372072039</v>
      </c>
      <c r="G5" s="180">
        <v>40445550.549999997</v>
      </c>
      <c r="H5" s="78">
        <f t="shared" ref="H5:H32" si="1">+G5/D5</f>
        <v>0.26062796372072039</v>
      </c>
      <c r="I5" s="180">
        <v>40445550.549999997</v>
      </c>
      <c r="J5" s="172">
        <f t="shared" ref="J5:J32" si="2">+I5/D5</f>
        <v>0.26062796372072039</v>
      </c>
      <c r="K5" s="649">
        <v>131925443.39</v>
      </c>
      <c r="L5" s="78">
        <v>0.66687451232409278</v>
      </c>
      <c r="M5" s="245">
        <f>+G5/K5-1</f>
        <v>-0.69342115129047355</v>
      </c>
      <c r="N5" s="614">
        <v>131925443.39</v>
      </c>
      <c r="O5" s="78">
        <v>0.66687451232409278</v>
      </c>
      <c r="P5" s="172">
        <f>+I5/N5-1</f>
        <v>-0.69342115129047355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40445550.549999997</v>
      </c>
      <c r="F6" s="90">
        <f t="shared" si="0"/>
        <v>0.26062796372072039</v>
      </c>
      <c r="G6" s="203">
        <f>SUBTOTAL(9,G5:G5)</f>
        <v>40445550.549999997</v>
      </c>
      <c r="H6" s="90">
        <f t="shared" si="1"/>
        <v>0.26062796372072039</v>
      </c>
      <c r="I6" s="203">
        <f>SUBTOTAL(9,I5:I5)</f>
        <v>40445550.549999997</v>
      </c>
      <c r="J6" s="170">
        <f t="shared" si="2"/>
        <v>0.26062796372072039</v>
      </c>
      <c r="K6" s="152">
        <f>SUBTOTAL(9,K5:K5)</f>
        <v>131925443.39</v>
      </c>
      <c r="L6" s="90">
        <v>0.66687451232409278</v>
      </c>
      <c r="M6" s="213">
        <f>+G6/K6-1</f>
        <v>-0.69342115129047355</v>
      </c>
      <c r="N6" s="568">
        <f>SUBTOTAL(9,N5:N5)</f>
        <v>131925443.39</v>
      </c>
      <c r="O6" s="90">
        <v>0.66687451232409278</v>
      </c>
      <c r="P6" s="170">
        <f>+I6/N6-1</f>
        <v>-0.69342115129047355</v>
      </c>
      <c r="R6"/>
    </row>
    <row r="7" spans="1:19" ht="14.1" customHeight="1" x14ac:dyDescent="0.25">
      <c r="A7" s="37" t="s">
        <v>54</v>
      </c>
      <c r="B7" s="38" t="s">
        <v>551</v>
      </c>
      <c r="C7" s="198">
        <v>8321253.9400000004</v>
      </c>
      <c r="D7" s="204">
        <v>20052314.039999999</v>
      </c>
      <c r="E7" s="30">
        <v>3382640.18</v>
      </c>
      <c r="F7" s="48">
        <f t="shared" si="0"/>
        <v>0.16869076423062046</v>
      </c>
      <c r="G7" s="30">
        <v>3007434.88</v>
      </c>
      <c r="H7" s="48">
        <f t="shared" si="1"/>
        <v>0.14997944247236614</v>
      </c>
      <c r="I7" s="30">
        <v>2560311.7999999998</v>
      </c>
      <c r="J7" s="153">
        <f t="shared" si="2"/>
        <v>0.12768161294964439</v>
      </c>
      <c r="K7" s="650">
        <v>3898570.08</v>
      </c>
      <c r="L7" s="48">
        <v>0.41174785878327835</v>
      </c>
      <c r="M7" s="210">
        <f>+G7/K7-1</f>
        <v>-0.2285800131108584</v>
      </c>
      <c r="N7" s="615">
        <v>3421023.08</v>
      </c>
      <c r="O7" s="48">
        <v>0.36131168585744033</v>
      </c>
      <c r="P7" s="153">
        <f>+I7/N7-1</f>
        <v>-0.25159470131373685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170372791.12</v>
      </c>
      <c r="E8" s="32">
        <v>62141816.600000001</v>
      </c>
      <c r="F8" s="280">
        <f t="shared" si="0"/>
        <v>0.364740262758454</v>
      </c>
      <c r="G8" s="32">
        <v>61308616.810000002</v>
      </c>
      <c r="H8" s="280">
        <f t="shared" si="1"/>
        <v>0.35984981173911756</v>
      </c>
      <c r="I8" s="32">
        <v>55712316.079999998</v>
      </c>
      <c r="J8" s="178">
        <f t="shared" si="2"/>
        <v>0.32700242634846372</v>
      </c>
      <c r="K8" s="651">
        <v>80367052.859999999</v>
      </c>
      <c r="L8" s="280">
        <v>0.4610790118844964</v>
      </c>
      <c r="M8" s="443">
        <f>+G8/K8-1</f>
        <v>-0.23714240315866675</v>
      </c>
      <c r="N8" s="616">
        <v>73534326.239999995</v>
      </c>
      <c r="O8" s="280">
        <v>0.42187853449590079</v>
      </c>
      <c r="P8" s="427">
        <f>+I8/N8-1</f>
        <v>-0.24236313938381437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59564926.100000001</v>
      </c>
      <c r="E9" s="32">
        <v>1799795.21</v>
      </c>
      <c r="F9" s="280">
        <f t="shared" si="0"/>
        <v>3.0215687785433178E-2</v>
      </c>
      <c r="G9" s="32">
        <v>1328028.4099999999</v>
      </c>
      <c r="H9" s="280">
        <f t="shared" si="1"/>
        <v>2.229547649854299E-2</v>
      </c>
      <c r="I9" s="32">
        <v>1914.28</v>
      </c>
      <c r="J9" s="178">
        <f t="shared" si="2"/>
        <v>3.2137704608014276E-5</v>
      </c>
      <c r="K9" s="651">
        <v>0</v>
      </c>
      <c r="L9" s="280">
        <v>0</v>
      </c>
      <c r="M9" s="224" t="s">
        <v>129</v>
      </c>
      <c r="N9" s="616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468</v>
      </c>
      <c r="C10" s="199">
        <v>14713359.07</v>
      </c>
      <c r="D10" s="205">
        <v>14962406.300000001</v>
      </c>
      <c r="E10" s="32">
        <v>12453078.960000001</v>
      </c>
      <c r="F10" s="280">
        <f t="shared" si="0"/>
        <v>0.83229119102319793</v>
      </c>
      <c r="G10" s="32">
        <v>12026954.699999999</v>
      </c>
      <c r="H10" s="280">
        <f t="shared" si="1"/>
        <v>0.80381152996760952</v>
      </c>
      <c r="I10" s="32">
        <v>2384698.56</v>
      </c>
      <c r="J10" s="178">
        <f t="shared" si="2"/>
        <v>0.15937934795955916</v>
      </c>
      <c r="K10" s="651">
        <v>12869261.220000001</v>
      </c>
      <c r="L10" s="280">
        <v>0.72465094199734392</v>
      </c>
      <c r="M10" s="210">
        <f t="shared" ref="M10:M20" si="3">+G10/K10-1</f>
        <v>-6.5451039154522772E-2</v>
      </c>
      <c r="N10" s="616">
        <v>1415344.91</v>
      </c>
      <c r="O10" s="280">
        <v>7.9696184944068285E-2</v>
      </c>
      <c r="P10" s="153">
        <f t="shared" ref="P10:P20" si="4">+I10/N10-1</f>
        <v>0.6848886396178866</v>
      </c>
      <c r="R10" s="276"/>
    </row>
    <row r="11" spans="1:19" ht="14.1" customHeight="1" x14ac:dyDescent="0.25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101297.65</v>
      </c>
      <c r="F11" s="280">
        <f t="shared" si="0"/>
        <v>0.31113343256047898</v>
      </c>
      <c r="G11" s="32">
        <v>101297.65</v>
      </c>
      <c r="H11" s="280">
        <f t="shared" si="1"/>
        <v>0.31113343256047898</v>
      </c>
      <c r="I11" s="32">
        <v>101297.65</v>
      </c>
      <c r="J11" s="178">
        <f t="shared" si="2"/>
        <v>0.31113343256047898</v>
      </c>
      <c r="K11" s="651">
        <v>174654.42</v>
      </c>
      <c r="L11" s="280">
        <v>0.39248414468228682</v>
      </c>
      <c r="M11" s="210">
        <f t="shared" si="3"/>
        <v>-0.42001095649340003</v>
      </c>
      <c r="N11" s="616">
        <v>174654.42</v>
      </c>
      <c r="O11" s="280">
        <v>0.39248414468228682</v>
      </c>
      <c r="P11" s="153">
        <f t="shared" si="4"/>
        <v>-0.42001095649340003</v>
      </c>
      <c r="R11" s="275"/>
    </row>
    <row r="12" spans="1:19" ht="14.1" customHeight="1" x14ac:dyDescent="0.25">
      <c r="A12" s="39">
        <v>136</v>
      </c>
      <c r="B12" s="40" t="s">
        <v>743</v>
      </c>
      <c r="C12" s="199">
        <v>41868192.539999999</v>
      </c>
      <c r="D12" s="205">
        <v>42535886.549999997</v>
      </c>
      <c r="E12" s="32">
        <v>16599259.380000001</v>
      </c>
      <c r="F12" s="280">
        <f t="shared" si="0"/>
        <v>0.39024129332505947</v>
      </c>
      <c r="G12" s="32">
        <v>16035462.65</v>
      </c>
      <c r="H12" s="280">
        <f t="shared" si="1"/>
        <v>0.37698667996847007</v>
      </c>
      <c r="I12" s="32">
        <v>13352665.17</v>
      </c>
      <c r="J12" s="178">
        <f t="shared" si="2"/>
        <v>0.31391529019394565</v>
      </c>
      <c r="K12" s="651">
        <v>19413292.93</v>
      </c>
      <c r="L12" s="280">
        <v>0.43948092709118602</v>
      </c>
      <c r="M12" s="211">
        <f t="shared" si="3"/>
        <v>-0.17399574055672584</v>
      </c>
      <c r="N12" s="616">
        <v>17136600.57</v>
      </c>
      <c r="O12" s="280">
        <v>0.38794083687145736</v>
      </c>
      <c r="P12" s="178">
        <f t="shared" si="4"/>
        <v>-0.22081015336404031</v>
      </c>
      <c r="R12" s="275"/>
    </row>
    <row r="13" spans="1:19" ht="14.1" customHeight="1" x14ac:dyDescent="0.25">
      <c r="A13" s="39" t="s">
        <v>58</v>
      </c>
      <c r="B13" s="40" t="s">
        <v>744</v>
      </c>
      <c r="C13" s="199">
        <v>27281948.489999998</v>
      </c>
      <c r="D13" s="205">
        <v>30124184.039999999</v>
      </c>
      <c r="E13" s="32">
        <v>12182434.49</v>
      </c>
      <c r="F13" s="280">
        <f t="shared" si="0"/>
        <v>0.4044071193371982</v>
      </c>
      <c r="G13" s="32">
        <v>11185463.369999999</v>
      </c>
      <c r="H13" s="280">
        <f t="shared" si="1"/>
        <v>0.37131174590978233</v>
      </c>
      <c r="I13" s="32">
        <v>6076578.9100000001</v>
      </c>
      <c r="J13" s="178">
        <f t="shared" si="2"/>
        <v>0.20171762667268581</v>
      </c>
      <c r="K13" s="651">
        <v>12925232.550000001</v>
      </c>
      <c r="L13" s="280">
        <v>0.61330400774008864</v>
      </c>
      <c r="M13" s="211">
        <f t="shared" si="3"/>
        <v>-0.13460254376622427</v>
      </c>
      <c r="N13" s="616">
        <v>7599205.4699999997</v>
      </c>
      <c r="O13" s="280">
        <v>0.36058331270731397</v>
      </c>
      <c r="P13" s="178">
        <f t="shared" si="4"/>
        <v>-0.20036654700428824</v>
      </c>
      <c r="R13" s="275"/>
      <c r="S13" s="275"/>
    </row>
    <row r="14" spans="1:19" ht="14.1" customHeight="1" x14ac:dyDescent="0.25">
      <c r="A14" s="39" t="s">
        <v>59</v>
      </c>
      <c r="B14" s="40" t="s">
        <v>476</v>
      </c>
      <c r="C14" s="199">
        <v>214257422.94</v>
      </c>
      <c r="D14" s="205">
        <v>248720777.12</v>
      </c>
      <c r="E14" s="32">
        <v>104990352.55</v>
      </c>
      <c r="F14" s="280">
        <f t="shared" si="0"/>
        <v>0.42212135940434697</v>
      </c>
      <c r="G14" s="32">
        <v>102340833.34</v>
      </c>
      <c r="H14" s="280">
        <f t="shared" si="1"/>
        <v>0.41146877444269059</v>
      </c>
      <c r="I14" s="32">
        <v>55668707.539999999</v>
      </c>
      <c r="J14" s="178">
        <f t="shared" si="2"/>
        <v>0.22382009329739908</v>
      </c>
      <c r="K14" s="651">
        <v>81269954.430000007</v>
      </c>
      <c r="L14" s="280">
        <v>0.36148713475373023</v>
      </c>
      <c r="M14" s="211">
        <f t="shared" si="3"/>
        <v>0.25927021932993588</v>
      </c>
      <c r="N14" s="616">
        <v>56892728.390000001</v>
      </c>
      <c r="O14" s="280">
        <v>0.25305772001800914</v>
      </c>
      <c r="P14" s="178">
        <f t="shared" si="4"/>
        <v>-2.1514539461165105E-2</v>
      </c>
      <c r="R14" s="275"/>
      <c r="S14" s="275"/>
    </row>
    <row r="15" spans="1:19" ht="14.1" customHeight="1" x14ac:dyDescent="0.25">
      <c r="A15" s="39">
        <v>152</v>
      </c>
      <c r="B15" s="40" t="s">
        <v>470</v>
      </c>
      <c r="C15" s="199">
        <v>49948909.390000001</v>
      </c>
      <c r="D15" s="205">
        <v>55653117.719999999</v>
      </c>
      <c r="E15" s="32">
        <v>40055317.049999997</v>
      </c>
      <c r="F15" s="280">
        <f t="shared" si="0"/>
        <v>0.71973177228856955</v>
      </c>
      <c r="G15" s="32">
        <v>39973458.039999999</v>
      </c>
      <c r="H15" s="280">
        <f t="shared" si="1"/>
        <v>0.71826089314731745</v>
      </c>
      <c r="I15" s="32">
        <v>7861862.6100000003</v>
      </c>
      <c r="J15" s="178">
        <f t="shared" si="2"/>
        <v>0.1412654480482895</v>
      </c>
      <c r="K15" s="651">
        <v>19329339.41</v>
      </c>
      <c r="L15" s="280">
        <v>0.66155075068024061</v>
      </c>
      <c r="M15" s="211">
        <f t="shared" si="3"/>
        <v>1.0680198734220476</v>
      </c>
      <c r="N15" s="616">
        <v>9565877.7400000002</v>
      </c>
      <c r="O15" s="280">
        <v>0.32739419933505132</v>
      </c>
      <c r="P15" s="178">
        <f t="shared" si="4"/>
        <v>-0.17813473852740247</v>
      </c>
      <c r="R15" s="275"/>
      <c r="S15" s="275"/>
    </row>
    <row r="16" spans="1:19" ht="14.1" customHeight="1" x14ac:dyDescent="0.25">
      <c r="A16" s="39" t="s">
        <v>60</v>
      </c>
      <c r="B16" s="40" t="s">
        <v>477</v>
      </c>
      <c r="C16" s="199">
        <v>129037696.42</v>
      </c>
      <c r="D16" s="205">
        <v>104034243.03</v>
      </c>
      <c r="E16" s="32">
        <v>36800097.439999998</v>
      </c>
      <c r="F16" s="280">
        <f t="shared" si="0"/>
        <v>0.35373062145882178</v>
      </c>
      <c r="G16" s="32">
        <v>35089334.5</v>
      </c>
      <c r="H16" s="280">
        <f t="shared" si="1"/>
        <v>0.33728639223031026</v>
      </c>
      <c r="I16" s="32">
        <v>5783998.1500000004</v>
      </c>
      <c r="J16" s="178">
        <f t="shared" si="2"/>
        <v>5.5597060943982535E-2</v>
      </c>
      <c r="K16" s="652">
        <v>22879961.399999999</v>
      </c>
      <c r="L16" s="280">
        <v>0.57167284004956798</v>
      </c>
      <c r="M16" s="211">
        <f t="shared" si="3"/>
        <v>0.53362734694124092</v>
      </c>
      <c r="N16" s="617">
        <v>6955268.5099999998</v>
      </c>
      <c r="O16" s="280">
        <v>0.17378255290321543</v>
      </c>
      <c r="P16" s="178">
        <f t="shared" si="4"/>
        <v>-0.16840045187558106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18901940.690000001</v>
      </c>
      <c r="E17" s="32">
        <v>18220117.760000002</v>
      </c>
      <c r="F17" s="280">
        <f t="shared" si="0"/>
        <v>0.96392841660112094</v>
      </c>
      <c r="G17" s="32">
        <v>18220117.760000002</v>
      </c>
      <c r="H17" s="280">
        <f t="shared" si="1"/>
        <v>0.96392841660112094</v>
      </c>
      <c r="I17" s="32">
        <v>4695959.72</v>
      </c>
      <c r="J17" s="178">
        <f t="shared" si="2"/>
        <v>0.2484379671387065</v>
      </c>
      <c r="K17" s="651">
        <v>19349633.260000002</v>
      </c>
      <c r="L17" s="280">
        <v>0.87534206799709346</v>
      </c>
      <c r="M17" s="211">
        <f t="shared" si="3"/>
        <v>-5.8374000417618199E-2</v>
      </c>
      <c r="N17" s="616">
        <v>6158767.1799999997</v>
      </c>
      <c r="O17" s="280">
        <v>0.27861137868686547</v>
      </c>
      <c r="P17" s="178">
        <f t="shared" si="4"/>
        <v>-0.2375162783795961</v>
      </c>
      <c r="R17" s="275"/>
    </row>
    <row r="18" spans="1:18" ht="14.1" customHeight="1" x14ac:dyDescent="0.25">
      <c r="A18" s="39" t="s">
        <v>61</v>
      </c>
      <c r="B18" s="40" t="s">
        <v>478</v>
      </c>
      <c r="C18" s="199">
        <v>8493454.4900000002</v>
      </c>
      <c r="D18" s="205">
        <v>8980601.0199999996</v>
      </c>
      <c r="E18" s="32">
        <v>6341788.7300000004</v>
      </c>
      <c r="F18" s="280">
        <f t="shared" si="0"/>
        <v>0.70616529070567713</v>
      </c>
      <c r="G18" s="32">
        <v>6341788.7300000004</v>
      </c>
      <c r="H18" s="280">
        <f t="shared" si="1"/>
        <v>0.70616529070567713</v>
      </c>
      <c r="I18" s="32">
        <v>1166025.6599999999</v>
      </c>
      <c r="J18" s="178">
        <f t="shared" si="2"/>
        <v>0.12983826554628522</v>
      </c>
      <c r="K18" s="651">
        <v>6140658.3200000003</v>
      </c>
      <c r="L18" s="280">
        <v>0.99583507764852397</v>
      </c>
      <c r="M18" s="211">
        <f t="shared" si="3"/>
        <v>3.2753883951647689E-2</v>
      </c>
      <c r="N18" s="616">
        <v>879427.06</v>
      </c>
      <c r="O18" s="280">
        <v>0.14261733334502044</v>
      </c>
      <c r="P18" s="178">
        <f t="shared" si="4"/>
        <v>0.32589240544861098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102600736.39</v>
      </c>
      <c r="E19" s="32">
        <v>92949303.439999998</v>
      </c>
      <c r="F19" s="280">
        <f t="shared" si="0"/>
        <v>0.90593212788148481</v>
      </c>
      <c r="G19" s="32">
        <v>92949303.439999998</v>
      </c>
      <c r="H19" s="280">
        <f t="shared" si="1"/>
        <v>0.90593212788148481</v>
      </c>
      <c r="I19" s="32">
        <v>11388830.75</v>
      </c>
      <c r="J19" s="178">
        <f t="shared" si="2"/>
        <v>0.11100145233567753</v>
      </c>
      <c r="K19" s="651">
        <v>93341383.900000006</v>
      </c>
      <c r="L19" s="280">
        <v>0.63934950229749843</v>
      </c>
      <c r="M19" s="211">
        <f t="shared" si="3"/>
        <v>-4.2004997528219956E-3</v>
      </c>
      <c r="N19" s="616">
        <v>15614217.359999999</v>
      </c>
      <c r="O19" s="280">
        <v>0.10695086874409367</v>
      </c>
      <c r="P19" s="178">
        <f t="shared" si="4"/>
        <v>-0.27061148904103638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173802254.97</v>
      </c>
      <c r="F20" s="280">
        <f t="shared" si="0"/>
        <v>0.99579992316845523</v>
      </c>
      <c r="G20" s="32">
        <v>173774130.75</v>
      </c>
      <c r="H20" s="280">
        <f t="shared" si="1"/>
        <v>0.99563878546561002</v>
      </c>
      <c r="I20" s="32">
        <v>29453649.850000001</v>
      </c>
      <c r="J20" s="178">
        <f t="shared" si="2"/>
        <v>0.16875467043119333</v>
      </c>
      <c r="K20" s="651">
        <v>174592933.40000001</v>
      </c>
      <c r="L20" s="280">
        <v>0.98692708963966569</v>
      </c>
      <c r="M20" s="211">
        <f t="shared" si="3"/>
        <v>-4.6897811615553842E-3</v>
      </c>
      <c r="N20" s="616">
        <v>28063724.890000001</v>
      </c>
      <c r="O20" s="280">
        <v>0.15863672023128941</v>
      </c>
      <c r="P20" s="178">
        <f t="shared" si="4"/>
        <v>4.9527458149195125E-2</v>
      </c>
    </row>
    <row r="21" spans="1:18" ht="14.1" customHeight="1" x14ac:dyDescent="0.25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51">
        <v>0</v>
      </c>
      <c r="L21" s="280">
        <v>0</v>
      </c>
      <c r="M21" s="212" t="s">
        <v>129</v>
      </c>
      <c r="N21" s="616">
        <v>0</v>
      </c>
      <c r="O21" s="280">
        <v>0</v>
      </c>
      <c r="P21" s="432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31749630.02</v>
      </c>
      <c r="E22" s="32">
        <v>26389520.84</v>
      </c>
      <c r="F22" s="280">
        <f t="shared" si="0"/>
        <v>0.83117569632705912</v>
      </c>
      <c r="G22" s="32">
        <v>26389022.27</v>
      </c>
      <c r="H22" s="280">
        <f t="shared" si="1"/>
        <v>0.83115999315194544</v>
      </c>
      <c r="I22" s="32">
        <v>3425299.61</v>
      </c>
      <c r="J22" s="178">
        <f t="shared" si="2"/>
        <v>0.10788470945463949</v>
      </c>
      <c r="K22" s="651">
        <v>22027651.609999999</v>
      </c>
      <c r="L22" s="280">
        <v>0.71597745936775836</v>
      </c>
      <c r="M22" s="211">
        <f t="shared" ref="M22:M27" si="5">+G22/K22-1</f>
        <v>0.19799526237377241</v>
      </c>
      <c r="N22" s="616">
        <v>3633060.99</v>
      </c>
      <c r="O22" s="280">
        <v>0.11808747584183865</v>
      </c>
      <c r="P22" s="178">
        <f>+I22/N22-1</f>
        <v>-5.7186317700656186E-2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2406840.9</v>
      </c>
      <c r="E23" s="32">
        <v>2226972.7999999998</v>
      </c>
      <c r="F23" s="280">
        <f t="shared" si="0"/>
        <v>0.92526797263583138</v>
      </c>
      <c r="G23" s="32">
        <v>1521532.92</v>
      </c>
      <c r="H23" s="280">
        <f t="shared" si="1"/>
        <v>0.6321701280711991</v>
      </c>
      <c r="I23" s="32">
        <v>521226.4</v>
      </c>
      <c r="J23" s="178">
        <f t="shared" si="2"/>
        <v>0.21656038834972435</v>
      </c>
      <c r="K23" s="651">
        <v>984958.1</v>
      </c>
      <c r="L23" s="280">
        <v>0.497657127623784</v>
      </c>
      <c r="M23" s="211">
        <f t="shared" si="5"/>
        <v>0.54476918358253013</v>
      </c>
      <c r="N23" s="616">
        <v>285465.62</v>
      </c>
      <c r="O23" s="280">
        <v>0.14423354707630978</v>
      </c>
      <c r="P23" s="178">
        <f>+I23/N23-1</f>
        <v>0.82588151946283417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51217947.130000003</v>
      </c>
      <c r="E24" s="32">
        <v>48748731.82</v>
      </c>
      <c r="F24" s="280">
        <f t="shared" si="0"/>
        <v>0.95179003750906477</v>
      </c>
      <c r="G24" s="32">
        <v>48748731.82</v>
      </c>
      <c r="H24" s="280">
        <f t="shared" si="1"/>
        <v>0.95179003750906477</v>
      </c>
      <c r="I24" s="32">
        <v>10500000</v>
      </c>
      <c r="J24" s="178">
        <f t="shared" si="2"/>
        <v>0.20500626417824175</v>
      </c>
      <c r="K24" s="651">
        <v>48152759.93</v>
      </c>
      <c r="L24" s="280">
        <v>0.9494949825879877</v>
      </c>
      <c r="M24" s="211">
        <f t="shared" si="5"/>
        <v>1.2376692236672815E-2</v>
      </c>
      <c r="N24" s="616">
        <v>10628886.93</v>
      </c>
      <c r="O24" s="280">
        <v>0.20958455600885512</v>
      </c>
      <c r="P24" s="178">
        <f>+I24/N24-1</f>
        <v>-1.2126098513308703E-2</v>
      </c>
    </row>
    <row r="25" spans="1:18" ht="14.1" customHeight="1" x14ac:dyDescent="0.25">
      <c r="A25" s="41">
        <v>172</v>
      </c>
      <c r="B25" s="42" t="s">
        <v>471</v>
      </c>
      <c r="C25" s="199">
        <v>16330544.140000001</v>
      </c>
      <c r="D25" s="205">
        <v>10253548.66</v>
      </c>
      <c r="E25" s="32">
        <v>4485423.71</v>
      </c>
      <c r="F25" s="280">
        <f t="shared" si="0"/>
        <v>0.43745086298737085</v>
      </c>
      <c r="G25" s="32">
        <v>3432788.41</v>
      </c>
      <c r="H25" s="280">
        <f t="shared" si="1"/>
        <v>0.33479027835422592</v>
      </c>
      <c r="I25" s="32">
        <v>276197.64</v>
      </c>
      <c r="J25" s="178">
        <f t="shared" si="2"/>
        <v>2.6936785415323714E-2</v>
      </c>
      <c r="K25" s="206">
        <v>1158493.6599999999</v>
      </c>
      <c r="L25" s="390">
        <v>0.55463700908443414</v>
      </c>
      <c r="M25" s="211">
        <f t="shared" si="5"/>
        <v>1.9631482057484893</v>
      </c>
      <c r="N25" s="580">
        <v>332458.49</v>
      </c>
      <c r="O25" s="390">
        <v>0.15916684648781529</v>
      </c>
      <c r="P25" s="178">
        <f>+I25/N25-1</f>
        <v>-0.16922669052608641</v>
      </c>
    </row>
    <row r="26" spans="1:18" ht="14.1" customHeight="1" x14ac:dyDescent="0.25">
      <c r="A26" s="41" t="s">
        <v>68</v>
      </c>
      <c r="B26" s="662" t="s">
        <v>131</v>
      </c>
      <c r="C26" s="661">
        <v>3772412.45</v>
      </c>
      <c r="D26" s="397">
        <v>3779582.45</v>
      </c>
      <c r="E26" s="398">
        <v>2640518.81</v>
      </c>
      <c r="F26" s="412">
        <f t="shared" si="0"/>
        <v>0.69862712215736955</v>
      </c>
      <c r="G26" s="398">
        <v>2442988.48</v>
      </c>
      <c r="H26" s="412">
        <f t="shared" si="1"/>
        <v>0.64636464803142468</v>
      </c>
      <c r="I26" s="398">
        <v>935738.29</v>
      </c>
      <c r="J26" s="427">
        <f t="shared" si="2"/>
        <v>0.24757716027599821</v>
      </c>
      <c r="K26" s="663">
        <v>1894950.93</v>
      </c>
      <c r="L26" s="412">
        <v>0.74453868793334821</v>
      </c>
      <c r="M26" s="443">
        <f t="shared" si="5"/>
        <v>0.28920936227092708</v>
      </c>
      <c r="N26" s="664">
        <v>695548.28</v>
      </c>
      <c r="O26" s="412">
        <v>0.27328549546425307</v>
      </c>
      <c r="P26" s="178">
        <f>+I26/N26-1</f>
        <v>0.34532471275753851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1162636534.2200005</v>
      </c>
      <c r="E27" s="203">
        <f>SUBTOTAL(9,E7:E26)</f>
        <v>666310722.38999999</v>
      </c>
      <c r="F27" s="90">
        <f t="shared" si="0"/>
        <v>0.57310320360526101</v>
      </c>
      <c r="G27" s="203">
        <f>SUM(G7:G26)</f>
        <v>656217288.92999995</v>
      </c>
      <c r="H27" s="90">
        <f t="shared" si="1"/>
        <v>0.56442169983093515</v>
      </c>
      <c r="I27" s="203">
        <f>SUM(I7:I26)</f>
        <v>211867278.66999999</v>
      </c>
      <c r="J27" s="170">
        <f t="shared" si="2"/>
        <v>0.18223001981624404</v>
      </c>
      <c r="K27" s="152">
        <f>SUBTOTAL(9,K7:K26)</f>
        <v>620770742.40999985</v>
      </c>
      <c r="L27" s="90">
        <v>0.58320321426481425</v>
      </c>
      <c r="M27" s="213">
        <f t="shared" si="5"/>
        <v>5.710086526047764E-2</v>
      </c>
      <c r="N27" s="568">
        <f>SUM(N7:N26)</f>
        <v>242986586.13000003</v>
      </c>
      <c r="O27" s="90">
        <v>0.22828163180515151</v>
      </c>
      <c r="P27" s="170">
        <f t="shared" ref="P27:P32" si="6">+I27/N27-1</f>
        <v>-0.12807006327234427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159056.17000000001</v>
      </c>
      <c r="F28" s="48">
        <f t="shared" si="0"/>
        <v>0.28385706037645503</v>
      </c>
      <c r="G28" s="30">
        <v>159056.17000000001</v>
      </c>
      <c r="H28" s="48">
        <f t="shared" si="1"/>
        <v>0.28385706037645503</v>
      </c>
      <c r="I28" s="30">
        <v>159056.17000000001</v>
      </c>
      <c r="J28" s="153">
        <f t="shared" si="2"/>
        <v>0.28385706037645503</v>
      </c>
      <c r="K28" s="650">
        <v>172743.47</v>
      </c>
      <c r="L28" s="48">
        <v>0.29071506964685645</v>
      </c>
      <c r="M28" s="210">
        <f t="shared" ref="M28:M32" si="7">+G28/K28-1</f>
        <v>-7.9234833015685013E-2</v>
      </c>
      <c r="N28" s="615">
        <v>172743.47</v>
      </c>
      <c r="O28" s="48">
        <v>0.29071506964685645</v>
      </c>
      <c r="P28" s="153">
        <f t="shared" si="6"/>
        <v>-7.9234833015685013E-2</v>
      </c>
    </row>
    <row r="29" spans="1:18" ht="14.1" customHeight="1" x14ac:dyDescent="0.25">
      <c r="A29" s="39" t="s">
        <v>70</v>
      </c>
      <c r="B29" s="40" t="s">
        <v>745</v>
      </c>
      <c r="C29" s="199">
        <v>27181862.050000001</v>
      </c>
      <c r="D29" s="205">
        <v>26789081.73</v>
      </c>
      <c r="E29" s="32">
        <v>10351167.74</v>
      </c>
      <c r="F29" s="280">
        <f t="shared" si="0"/>
        <v>0.38639501884859867</v>
      </c>
      <c r="G29" s="32">
        <v>8932179.1500000004</v>
      </c>
      <c r="H29" s="280">
        <f t="shared" si="1"/>
        <v>0.33342610396373601</v>
      </c>
      <c r="I29" s="32">
        <v>6669650.4800000004</v>
      </c>
      <c r="J29" s="178">
        <f t="shared" si="2"/>
        <v>0.24896898472376269</v>
      </c>
      <c r="K29" s="651">
        <v>9426606.6600000001</v>
      </c>
      <c r="L29" s="280">
        <v>0.41413891723049334</v>
      </c>
      <c r="M29" s="211">
        <f t="shared" si="7"/>
        <v>-5.2450211177051509E-2</v>
      </c>
      <c r="N29" s="616">
        <v>7753244.4900000002</v>
      </c>
      <c r="O29" s="280">
        <v>0.34062313130522498</v>
      </c>
      <c r="P29" s="178">
        <f t="shared" si="6"/>
        <v>-0.13976007223783549</v>
      </c>
    </row>
    <row r="30" spans="1:18" ht="14.1" customHeight="1" x14ac:dyDescent="0.25">
      <c r="A30" s="39" t="s">
        <v>71</v>
      </c>
      <c r="B30" s="40" t="s">
        <v>479</v>
      </c>
      <c r="C30" s="199">
        <v>244713639.38999999</v>
      </c>
      <c r="D30" s="205">
        <v>251317847.94999999</v>
      </c>
      <c r="E30" s="32">
        <v>219203629.78999999</v>
      </c>
      <c r="F30" s="280">
        <f t="shared" si="0"/>
        <v>0.87221672307814302</v>
      </c>
      <c r="G30" s="32">
        <v>206275711.05000001</v>
      </c>
      <c r="H30" s="280">
        <f t="shared" si="1"/>
        <v>0.82077621121058952</v>
      </c>
      <c r="I30" s="32">
        <v>75025566.049999997</v>
      </c>
      <c r="J30" s="178">
        <f t="shared" si="2"/>
        <v>0.29852860297023726</v>
      </c>
      <c r="K30" s="653">
        <v>158595092.03</v>
      </c>
      <c r="L30" s="280">
        <v>0.87966418371167743</v>
      </c>
      <c r="M30" s="211">
        <f t="shared" si="7"/>
        <v>0.3006437236467614</v>
      </c>
      <c r="N30" s="618">
        <v>63205412.149999999</v>
      </c>
      <c r="O30" s="280">
        <v>0.35057539658650105</v>
      </c>
      <c r="P30" s="178">
        <f t="shared" si="6"/>
        <v>0.18701173677893657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39785831.899999999</v>
      </c>
      <c r="E31" s="32">
        <v>27536282.27</v>
      </c>
      <c r="F31" s="280">
        <f t="shared" si="0"/>
        <v>0.69211276866627491</v>
      </c>
      <c r="G31" s="32">
        <v>15340014.1</v>
      </c>
      <c r="H31" s="280">
        <f t="shared" si="1"/>
        <v>0.38556474421740067</v>
      </c>
      <c r="I31" s="32">
        <v>4437903.03</v>
      </c>
      <c r="J31" s="178">
        <f t="shared" si="2"/>
        <v>0.11154480924652981</v>
      </c>
      <c r="K31" s="651">
        <v>13285960.630000001</v>
      </c>
      <c r="L31" s="280">
        <v>0.4624196570700001</v>
      </c>
      <c r="M31" s="211">
        <f t="shared" si="7"/>
        <v>0.15460330850009441</v>
      </c>
      <c r="N31" s="616">
        <v>4129353.49</v>
      </c>
      <c r="O31" s="280">
        <v>0.14372270684401448</v>
      </c>
      <c r="P31" s="178">
        <f t="shared" si="6"/>
        <v>7.4721028545318369E-2</v>
      </c>
    </row>
    <row r="32" spans="1:18" ht="14.1" customHeight="1" x14ac:dyDescent="0.25">
      <c r="A32" s="253">
        <v>234</v>
      </c>
      <c r="B32" s="40" t="s">
        <v>431</v>
      </c>
      <c r="C32" s="199">
        <v>10668077.699999999</v>
      </c>
      <c r="D32" s="205">
        <v>10674570.699999999</v>
      </c>
      <c r="E32" s="32">
        <v>10569974.73</v>
      </c>
      <c r="F32" s="280">
        <f t="shared" si="0"/>
        <v>0.99020138861415763</v>
      </c>
      <c r="G32" s="32">
        <v>10515773.039999999</v>
      </c>
      <c r="H32" s="280">
        <f t="shared" si="1"/>
        <v>0.98512374272812675</v>
      </c>
      <c r="I32" s="32">
        <v>2707397.31</v>
      </c>
      <c r="J32" s="178">
        <f t="shared" si="2"/>
        <v>0.25363055677733254</v>
      </c>
      <c r="K32" s="651">
        <v>8876712.2300000004</v>
      </c>
      <c r="L32" s="390">
        <v>0.98475564157278594</v>
      </c>
      <c r="M32" s="211">
        <f t="shared" si="7"/>
        <v>0.18464728466251046</v>
      </c>
      <c r="N32" s="616">
        <v>3704511.63</v>
      </c>
      <c r="O32" s="390">
        <v>0.41096733028986526</v>
      </c>
      <c r="P32" s="178">
        <f t="shared" si="6"/>
        <v>-0.2691621513413901</v>
      </c>
    </row>
    <row r="33" spans="1:18" ht="14.1" customHeight="1" x14ac:dyDescent="0.25">
      <c r="A33" s="532">
        <v>2</v>
      </c>
      <c r="B33" s="518" t="s">
        <v>125</v>
      </c>
      <c r="C33" s="201">
        <f>SUBTOTAL(9,C28:C32)</f>
        <v>322762317.93999994</v>
      </c>
      <c r="D33" s="207">
        <f>SUBTOTAL(9,D28:D32)</f>
        <v>329127671.23999995</v>
      </c>
      <c r="E33" s="203">
        <f>SUBTOTAL(9,E28:E32)</f>
        <v>267820110.69999999</v>
      </c>
      <c r="F33" s="263">
        <f t="shared" si="0"/>
        <v>0.81372711595770242</v>
      </c>
      <c r="G33" s="203">
        <f>SUBTOTAL(9,G28:G32)</f>
        <v>241222733.50999999</v>
      </c>
      <c r="H33" s="90">
        <f>G33/D33</f>
        <v>0.73291538387272315</v>
      </c>
      <c r="I33" s="203">
        <f>SUBTOTAL(9,I28:I32)</f>
        <v>88999573.040000007</v>
      </c>
      <c r="J33" s="170">
        <f>I33/D33</f>
        <v>0.27041048449281407</v>
      </c>
      <c r="K33" s="152">
        <f>SUM(K28:K32)</f>
        <v>190357115.01999998</v>
      </c>
      <c r="L33" s="90">
        <v>0.77937785090782374</v>
      </c>
      <c r="M33" s="213">
        <f t="shared" ref="M33:M56" si="8">+G33/K33-1</f>
        <v>0.26721154333871788</v>
      </c>
      <c r="N33" s="568">
        <f>SUM(N28:N32)</f>
        <v>78965265.229999989</v>
      </c>
      <c r="O33" s="90">
        <v>0.32330695232934981</v>
      </c>
      <c r="P33" s="170">
        <f t="shared" ref="P33:P55" si="9">+I33/N33-1</f>
        <v>0.12707242584158185</v>
      </c>
    </row>
    <row r="34" spans="1:18" ht="14.1" customHeight="1" x14ac:dyDescent="0.25">
      <c r="A34" s="37">
        <v>311</v>
      </c>
      <c r="B34" s="38" t="s">
        <v>472</v>
      </c>
      <c r="C34" s="198">
        <v>19998074.850000001</v>
      </c>
      <c r="D34" s="516">
        <v>19983074.850000001</v>
      </c>
      <c r="E34" s="180">
        <v>18092874.370000001</v>
      </c>
      <c r="F34" s="48">
        <f t="shared" ref="F34:F68" si="10">+E34/D34</f>
        <v>0.90540992844251889</v>
      </c>
      <c r="G34" s="180">
        <v>17781996.219999999</v>
      </c>
      <c r="H34" s="48">
        <f t="shared" ref="H34:H80" si="11">+G34/D34</f>
        <v>0.88985285565299266</v>
      </c>
      <c r="I34" s="180">
        <v>7226770.6900000004</v>
      </c>
      <c r="J34" s="153">
        <f t="shared" ref="J34:J80" si="12">+I34/D34</f>
        <v>0.36164457893725999</v>
      </c>
      <c r="K34" s="650">
        <v>16154565.970000001</v>
      </c>
      <c r="L34" s="48">
        <v>0.97299964330639477</v>
      </c>
      <c r="M34" s="210">
        <f t="shared" si="8"/>
        <v>0.1007411931104949</v>
      </c>
      <c r="N34" s="615">
        <v>6493274.3399999999</v>
      </c>
      <c r="O34" s="48">
        <v>0.39109398720110367</v>
      </c>
      <c r="P34" s="153">
        <f t="shared" si="9"/>
        <v>0.1129624764937931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2248848</v>
      </c>
      <c r="E35" s="34">
        <v>2248848</v>
      </c>
      <c r="F35" s="48">
        <f t="shared" si="10"/>
        <v>1</v>
      </c>
      <c r="G35" s="34">
        <v>2248848</v>
      </c>
      <c r="H35" s="48">
        <f t="shared" si="11"/>
        <v>1</v>
      </c>
      <c r="I35" s="34">
        <v>1500000</v>
      </c>
      <c r="J35" s="153">
        <f t="shared" si="12"/>
        <v>0.66700817485219099</v>
      </c>
      <c r="K35" s="650">
        <v>2248848</v>
      </c>
      <c r="L35" s="48">
        <v>1</v>
      </c>
      <c r="M35" s="210">
        <f t="shared" si="8"/>
        <v>0</v>
      </c>
      <c r="N35" s="615">
        <v>750000</v>
      </c>
      <c r="O35" s="48">
        <v>0.3335040874260955</v>
      </c>
      <c r="P35" s="153">
        <f t="shared" si="9"/>
        <v>1</v>
      </c>
    </row>
    <row r="36" spans="1:18" ht="14.1" customHeight="1" x14ac:dyDescent="0.25">
      <c r="A36" s="37">
        <v>313</v>
      </c>
      <c r="B36" s="38" t="s">
        <v>763</v>
      </c>
      <c r="C36" s="200">
        <v>9000</v>
      </c>
      <c r="D36" s="206">
        <v>9000</v>
      </c>
      <c r="E36" s="34">
        <v>6000</v>
      </c>
      <c r="F36" s="48">
        <f t="shared" si="10"/>
        <v>0.66666666666666663</v>
      </c>
      <c r="G36" s="34">
        <v>0</v>
      </c>
      <c r="H36" s="48">
        <f t="shared" si="11"/>
        <v>0</v>
      </c>
      <c r="I36" s="34">
        <v>0</v>
      </c>
      <c r="J36" s="153">
        <f t="shared" si="12"/>
        <v>0</v>
      </c>
      <c r="K36" s="650">
        <v>0</v>
      </c>
      <c r="L36" s="48" t="s">
        <v>129</v>
      </c>
      <c r="M36" s="224" t="s">
        <v>129</v>
      </c>
      <c r="N36" s="615">
        <v>0</v>
      </c>
      <c r="O36" s="48" t="s">
        <v>129</v>
      </c>
      <c r="P36" s="348" t="s">
        <v>129</v>
      </c>
    </row>
    <row r="37" spans="1:18" ht="14.1" customHeight="1" x14ac:dyDescent="0.25">
      <c r="A37" s="39" t="s">
        <v>74</v>
      </c>
      <c r="B37" s="40" t="s">
        <v>656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0</v>
      </c>
      <c r="J37" s="178">
        <f t="shared" si="12"/>
        <v>0</v>
      </c>
      <c r="K37" s="651">
        <v>21495802.09</v>
      </c>
      <c r="L37" s="280">
        <v>0.99942812248386537</v>
      </c>
      <c r="M37" s="212">
        <f t="shared" si="8"/>
        <v>-0.50339435368331498</v>
      </c>
      <c r="N37" s="616">
        <v>3480976.91</v>
      </c>
      <c r="O37" s="280">
        <v>0.16184491292787984</v>
      </c>
      <c r="P37" s="153">
        <f t="shared" si="9"/>
        <v>-1</v>
      </c>
    </row>
    <row r="38" spans="1:18" ht="14.1" customHeight="1" x14ac:dyDescent="0.25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28900875</v>
      </c>
      <c r="J38" s="178">
        <f t="shared" si="12"/>
        <v>0.68523184721377395</v>
      </c>
      <c r="K38" s="205">
        <v>39307154.049999997</v>
      </c>
      <c r="L38" s="610">
        <v>1</v>
      </c>
      <c r="M38" s="211">
        <f t="shared" si="8"/>
        <v>7.3005261493868101E-2</v>
      </c>
      <c r="N38" s="579">
        <v>26300000</v>
      </c>
      <c r="O38" s="610">
        <v>0.66908939697199987</v>
      </c>
      <c r="P38" s="153">
        <f t="shared" si="9"/>
        <v>9.8892585551330736E-2</v>
      </c>
    </row>
    <row r="39" spans="1:18" ht="14.1" customHeight="1" x14ac:dyDescent="0.25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7463831</v>
      </c>
      <c r="F39" s="280">
        <f t="shared" si="10"/>
        <v>0.91425594184886971</v>
      </c>
      <c r="G39" s="34">
        <v>7463831</v>
      </c>
      <c r="H39" s="280">
        <f t="shared" si="11"/>
        <v>0.91425594184886971</v>
      </c>
      <c r="I39" s="34">
        <v>0</v>
      </c>
      <c r="J39" s="178">
        <f t="shared" si="12"/>
        <v>0</v>
      </c>
      <c r="K39" s="205">
        <v>7493661</v>
      </c>
      <c r="L39" s="280">
        <v>1</v>
      </c>
      <c r="M39" s="211">
        <f t="shared" si="8"/>
        <v>-3.9806978191300191E-3</v>
      </c>
      <c r="N39" s="579">
        <v>29830</v>
      </c>
      <c r="O39" s="280">
        <v>3.9806978191300624E-3</v>
      </c>
      <c r="P39" s="153">
        <f t="shared" si="9"/>
        <v>-1</v>
      </c>
    </row>
    <row r="40" spans="1:18" ht="14.1" customHeight="1" x14ac:dyDescent="0.25">
      <c r="A40" s="39" t="s">
        <v>473</v>
      </c>
      <c r="B40" s="40" t="s">
        <v>114</v>
      </c>
      <c r="C40" s="200">
        <v>17924191.510000002</v>
      </c>
      <c r="D40" s="206">
        <v>18018918.27</v>
      </c>
      <c r="E40" s="34">
        <v>17286615.140000001</v>
      </c>
      <c r="F40" s="280">
        <f t="shared" si="10"/>
        <v>0.95935920686097886</v>
      </c>
      <c r="G40" s="34">
        <v>17088188.93</v>
      </c>
      <c r="H40" s="280">
        <f t="shared" si="11"/>
        <v>0.94834710241460018</v>
      </c>
      <c r="I40" s="34">
        <v>167611.96</v>
      </c>
      <c r="J40" s="178">
        <f t="shared" si="12"/>
        <v>9.3019990150607409E-3</v>
      </c>
      <c r="K40" s="205">
        <v>13776916.18</v>
      </c>
      <c r="L40" s="280">
        <v>0.96622921317939836</v>
      </c>
      <c r="M40" s="211">
        <f t="shared" si="8"/>
        <v>0.24034934282368559</v>
      </c>
      <c r="N40" s="579">
        <v>92647.4</v>
      </c>
      <c r="O40" s="280">
        <v>6.4977258506567319E-3</v>
      </c>
      <c r="P40" s="153">
        <f t="shared" si="9"/>
        <v>0.80913830285577371</v>
      </c>
    </row>
    <row r="41" spans="1:18" ht="14.1" customHeight="1" x14ac:dyDescent="0.25">
      <c r="A41" s="39">
        <v>328</v>
      </c>
      <c r="B41" s="40" t="s">
        <v>432</v>
      </c>
      <c r="C41" s="200">
        <v>9502324.5999999996</v>
      </c>
      <c r="D41" s="206">
        <v>9502324.5999999996</v>
      </c>
      <c r="E41" s="34">
        <v>9502324.5999999996</v>
      </c>
      <c r="F41" s="280">
        <f t="shared" si="10"/>
        <v>1</v>
      </c>
      <c r="G41" s="34">
        <v>9502324.5999999996</v>
      </c>
      <c r="H41" s="280">
        <f t="shared" si="11"/>
        <v>1</v>
      </c>
      <c r="I41" s="34">
        <v>0</v>
      </c>
      <c r="J41" s="178">
        <f t="shared" si="12"/>
        <v>0</v>
      </c>
      <c r="K41" s="205">
        <v>9039781.6799999997</v>
      </c>
      <c r="L41" s="280">
        <v>1</v>
      </c>
      <c r="M41" s="211">
        <f t="shared" si="8"/>
        <v>5.1167487929863364E-2</v>
      </c>
      <c r="N41" s="579">
        <v>0</v>
      </c>
      <c r="O41" s="280">
        <v>0</v>
      </c>
      <c r="P41" s="153" t="s">
        <v>129</v>
      </c>
    </row>
    <row r="42" spans="1:18" ht="14.1" customHeight="1" x14ac:dyDescent="0.25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15900000</v>
      </c>
      <c r="J42" s="178">
        <f t="shared" si="12"/>
        <v>0.47638748688484278</v>
      </c>
      <c r="K42" s="205">
        <v>28919222.559999999</v>
      </c>
      <c r="L42" s="610">
        <v>1</v>
      </c>
      <c r="M42" s="211">
        <f t="shared" si="8"/>
        <v>0.15411786920457238</v>
      </c>
      <c r="N42" s="579">
        <v>20500000</v>
      </c>
      <c r="O42" s="610">
        <v>0.70887106171224823</v>
      </c>
      <c r="P42" s="153">
        <f t="shared" si="9"/>
        <v>-0.224390243902439</v>
      </c>
    </row>
    <row r="43" spans="1:18" ht="14.1" customHeight="1" x14ac:dyDescent="0.25">
      <c r="A43" s="253" t="s">
        <v>433</v>
      </c>
      <c r="B43" s="40" t="s">
        <v>670</v>
      </c>
      <c r="C43" s="200">
        <v>28640778.239999998</v>
      </c>
      <c r="D43" s="206">
        <v>30899327.100000001</v>
      </c>
      <c r="E43" s="34">
        <v>13157115.09</v>
      </c>
      <c r="F43" s="280">
        <f t="shared" si="10"/>
        <v>0.42580587750080806</v>
      </c>
      <c r="G43" s="34">
        <v>13157115.09</v>
      </c>
      <c r="H43" s="280">
        <f t="shared" si="11"/>
        <v>0.42580587750080806</v>
      </c>
      <c r="I43" s="34">
        <v>1977259.05</v>
      </c>
      <c r="J43" s="178">
        <f t="shared" si="12"/>
        <v>6.3990359518217466E-2</v>
      </c>
      <c r="K43" s="205">
        <v>15268936.369999999</v>
      </c>
      <c r="L43" s="280">
        <v>0.86440456452099623</v>
      </c>
      <c r="M43" s="211">
        <f t="shared" si="8"/>
        <v>-0.13830834242974843</v>
      </c>
      <c r="N43" s="579">
        <v>2054028.53</v>
      </c>
      <c r="O43" s="280">
        <v>0.11628260109046169</v>
      </c>
      <c r="P43" s="153">
        <f t="shared" si="9"/>
        <v>-3.7375079692782975E-2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12619013.119999999</v>
      </c>
      <c r="E44" s="34">
        <v>12592318.890000001</v>
      </c>
      <c r="F44" s="280">
        <f t="shared" si="10"/>
        <v>0.99788460240542176</v>
      </c>
      <c r="G44" s="34">
        <v>12502775.15</v>
      </c>
      <c r="H44" s="280">
        <f t="shared" si="11"/>
        <v>0.99078866398706156</v>
      </c>
      <c r="I44" s="34">
        <v>7020233.6500000004</v>
      </c>
      <c r="J44" s="178">
        <f t="shared" si="12"/>
        <v>0.55632192337398889</v>
      </c>
      <c r="K44" s="205">
        <v>12397135.449999999</v>
      </c>
      <c r="L44" s="280">
        <v>0.99333758286793383</v>
      </c>
      <c r="M44" s="211">
        <f t="shared" si="8"/>
        <v>8.5212991683494277E-3</v>
      </c>
      <c r="N44" s="579">
        <v>16832.93</v>
      </c>
      <c r="O44" s="280">
        <v>1.3487617414702951E-3</v>
      </c>
      <c r="P44" s="153">
        <f t="shared" si="9"/>
        <v>416.05357593716604</v>
      </c>
    </row>
    <row r="45" spans="1:18" ht="14.1" customHeight="1" x14ac:dyDescent="0.25">
      <c r="A45" s="39" t="s">
        <v>77</v>
      </c>
      <c r="B45" s="40" t="s">
        <v>481</v>
      </c>
      <c r="C45" s="200">
        <v>65286878.990000002</v>
      </c>
      <c r="D45" s="206">
        <v>65286878.990000002</v>
      </c>
      <c r="E45" s="34">
        <v>65286878.990000002</v>
      </c>
      <c r="F45" s="280">
        <f t="shared" si="10"/>
        <v>1</v>
      </c>
      <c r="G45" s="34">
        <v>65286878.990000002</v>
      </c>
      <c r="H45" s="280">
        <f t="shared" si="11"/>
        <v>1</v>
      </c>
      <c r="I45" s="34">
        <v>24000000</v>
      </c>
      <c r="J45" s="178">
        <f t="shared" si="12"/>
        <v>0.36760832147721567</v>
      </c>
      <c r="K45" s="205">
        <v>64496879.130000003</v>
      </c>
      <c r="L45" s="280">
        <v>1</v>
      </c>
      <c r="M45" s="211">
        <f t="shared" si="8"/>
        <v>1.2248652503134005E-2</v>
      </c>
      <c r="N45" s="579">
        <v>51277327.799999997</v>
      </c>
      <c r="O45" s="280">
        <v>0.79503579850189865</v>
      </c>
      <c r="P45" s="153">
        <f t="shared" si="9"/>
        <v>-0.53195688953198528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17797623.359999999</v>
      </c>
      <c r="E46" s="34">
        <v>16962450.25</v>
      </c>
      <c r="F46" s="280">
        <f t="shared" si="10"/>
        <v>0.95307389682843591</v>
      </c>
      <c r="G46" s="34">
        <v>16653544.550000001</v>
      </c>
      <c r="H46" s="280">
        <f t="shared" si="11"/>
        <v>0.93571732658578977</v>
      </c>
      <c r="I46" s="34">
        <v>1159030.19</v>
      </c>
      <c r="J46" s="178">
        <f t="shared" si="12"/>
        <v>6.5122750749120245E-2</v>
      </c>
      <c r="K46" s="205">
        <v>15448455.91</v>
      </c>
      <c r="L46" s="610">
        <v>0.94311861385166607</v>
      </c>
      <c r="M46" s="211">
        <f t="shared" si="8"/>
        <v>7.8007060836412068E-2</v>
      </c>
      <c r="N46" s="579">
        <v>1071226.78</v>
      </c>
      <c r="O46" s="610">
        <v>6.5397727886863197E-2</v>
      </c>
      <c r="P46" s="153">
        <f t="shared" si="9"/>
        <v>8.1965286566118012E-2</v>
      </c>
      <c r="R46" s="275"/>
    </row>
    <row r="47" spans="1:18" ht="14.1" customHeight="1" x14ac:dyDescent="0.25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9">
        <v>0</v>
      </c>
      <c r="O47" s="280">
        <v>0</v>
      </c>
      <c r="P47" s="153" t="s">
        <v>129</v>
      </c>
    </row>
    <row r="48" spans="1:18" ht="14.1" customHeight="1" x14ac:dyDescent="0.25">
      <c r="A48" s="253">
        <v>337</v>
      </c>
      <c r="B48" s="40" t="s">
        <v>483</v>
      </c>
      <c r="C48" s="661">
        <v>15245118.1</v>
      </c>
      <c r="D48" s="397">
        <v>15862072.17</v>
      </c>
      <c r="E48" s="398">
        <v>13418331.75</v>
      </c>
      <c r="F48" s="412">
        <f t="shared" si="10"/>
        <v>0.84593813508036764</v>
      </c>
      <c r="G48" s="398">
        <v>12772478.880000001</v>
      </c>
      <c r="H48" s="412">
        <f t="shared" si="11"/>
        <v>0.80522133193648182</v>
      </c>
      <c r="I48" s="398">
        <v>5312859.74</v>
      </c>
      <c r="J48" s="178">
        <f t="shared" si="12"/>
        <v>0.33494108985635768</v>
      </c>
      <c r="K48" s="205">
        <v>9851079.8499999996</v>
      </c>
      <c r="L48" s="280">
        <v>0.77057727746916704</v>
      </c>
      <c r="M48" s="211">
        <f t="shared" si="8"/>
        <v>0.29655622271704574</v>
      </c>
      <c r="N48" s="579">
        <v>5355977.0599999996</v>
      </c>
      <c r="O48" s="280">
        <v>0.41895855925704567</v>
      </c>
      <c r="P48" s="153">
        <f t="shared" si="9"/>
        <v>-8.050318273767898E-3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534</v>
      </c>
      <c r="C50" s="164" t="s">
        <v>767</v>
      </c>
      <c r="D50" s="743" t="s">
        <v>779</v>
      </c>
      <c r="E50" s="741"/>
      <c r="F50" s="741"/>
      <c r="G50" s="741"/>
      <c r="H50" s="741"/>
      <c r="I50" s="741"/>
      <c r="J50" s="742"/>
      <c r="K50" s="752" t="s">
        <v>780</v>
      </c>
      <c r="L50" s="750"/>
      <c r="M50" s="750"/>
      <c r="N50" s="750"/>
      <c r="O50" s="750"/>
      <c r="P50" s="751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545</v>
      </c>
      <c r="L51" s="88" t="s">
        <v>546</v>
      </c>
      <c r="M51" s="88" t="s">
        <v>547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5">
      <c r="A52" s="680"/>
      <c r="B52" s="518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13" t="s">
        <v>766</v>
      </c>
      <c r="N52" s="564" t="s">
        <v>17</v>
      </c>
      <c r="O52" s="89" t="s">
        <v>18</v>
      </c>
      <c r="P52" s="648" t="s">
        <v>766</v>
      </c>
      <c r="R52"/>
    </row>
    <row r="53" spans="1:19" ht="14.1" customHeight="1" x14ac:dyDescent="0.25">
      <c r="A53" s="699">
        <v>338</v>
      </c>
      <c r="B53" s="38" t="s">
        <v>428</v>
      </c>
      <c r="C53" s="530">
        <v>8127724.7699999996</v>
      </c>
      <c r="D53" s="516">
        <v>8064555.5700000003</v>
      </c>
      <c r="E53" s="180">
        <v>7323174.9400000004</v>
      </c>
      <c r="F53" s="48">
        <f t="shared" si="10"/>
        <v>0.90806925148387319</v>
      </c>
      <c r="G53" s="180">
        <v>7067362.7800000003</v>
      </c>
      <c r="H53" s="48">
        <f t="shared" si="11"/>
        <v>0.87634869877894583</v>
      </c>
      <c r="I53" s="180">
        <v>670698.59</v>
      </c>
      <c r="J53" s="153">
        <f t="shared" si="12"/>
        <v>8.3166218420638885E-2</v>
      </c>
      <c r="K53" s="204">
        <v>4897484.47</v>
      </c>
      <c r="L53" s="48">
        <v>0.73826720036130355</v>
      </c>
      <c r="M53" s="210">
        <f t="shared" si="8"/>
        <v>0.4430597632910922</v>
      </c>
      <c r="N53" s="578">
        <v>428621.71</v>
      </c>
      <c r="O53" s="48">
        <v>6.4612221191132149E-2</v>
      </c>
      <c r="P53" s="153">
        <f t="shared" si="9"/>
        <v>0.56477979148559676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13094609.029999999</v>
      </c>
      <c r="E54" s="34">
        <v>12089902.15</v>
      </c>
      <c r="F54" s="390">
        <f t="shared" si="10"/>
        <v>0.92327324338602268</v>
      </c>
      <c r="G54" s="34">
        <v>12013478.810000001</v>
      </c>
      <c r="H54" s="390">
        <f t="shared" si="11"/>
        <v>0.91743699888075247</v>
      </c>
      <c r="I54" s="34">
        <v>2722670.67</v>
      </c>
      <c r="J54" s="392">
        <f t="shared" si="12"/>
        <v>0.20792302112742042</v>
      </c>
      <c r="K54" s="205">
        <v>11219794.16</v>
      </c>
      <c r="L54" s="390">
        <v>0.97181850379270873</v>
      </c>
      <c r="M54" s="211">
        <f t="shared" si="8"/>
        <v>7.0739680129746629E-2</v>
      </c>
      <c r="N54" s="579">
        <v>5048678.5999999996</v>
      </c>
      <c r="O54" s="390">
        <v>0.4372985112930331</v>
      </c>
      <c r="P54" s="178">
        <f t="shared" si="9"/>
        <v>-0.46071618225014366</v>
      </c>
    </row>
    <row r="55" spans="1:19" ht="14.1" customHeight="1" x14ac:dyDescent="0.25">
      <c r="A55" s="253">
        <v>342</v>
      </c>
      <c r="B55" s="40" t="s">
        <v>484</v>
      </c>
      <c r="C55" s="200">
        <v>5455050.5800000001</v>
      </c>
      <c r="D55" s="206">
        <v>6445868.8799999999</v>
      </c>
      <c r="E55" s="34">
        <v>6403992.3399999999</v>
      </c>
      <c r="F55" s="390">
        <f t="shared" si="10"/>
        <v>0.99350335218112595</v>
      </c>
      <c r="G55" s="34">
        <v>6349638.4000000004</v>
      </c>
      <c r="H55" s="390">
        <f t="shared" si="11"/>
        <v>0.98507098394468129</v>
      </c>
      <c r="I55" s="34">
        <v>1316722.6000000001</v>
      </c>
      <c r="J55" s="392">
        <f t="shared" si="12"/>
        <v>0.20427387284986165</v>
      </c>
      <c r="K55" s="205">
        <v>4610331.54</v>
      </c>
      <c r="L55" s="390">
        <v>0.9861227576750623</v>
      </c>
      <c r="M55" s="211">
        <f t="shared" si="8"/>
        <v>0.37726285949491611</v>
      </c>
      <c r="N55" s="579">
        <v>6772.86</v>
      </c>
      <c r="O55" s="390">
        <v>1.4486748561573343E-3</v>
      </c>
      <c r="P55" s="178">
        <f t="shared" si="9"/>
        <v>193.41160750406772</v>
      </c>
    </row>
    <row r="56" spans="1:19" ht="14.1" customHeight="1" x14ac:dyDescent="0.25">
      <c r="A56" s="531">
        <v>343</v>
      </c>
      <c r="B56" s="533" t="s">
        <v>435</v>
      </c>
      <c r="C56" s="661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65">
        <f t="shared" si="8"/>
        <v>-0.14322142208192024</v>
      </c>
      <c r="N56" s="635">
        <v>0</v>
      </c>
      <c r="O56" s="390">
        <v>0</v>
      </c>
      <c r="P56" s="667" t="s">
        <v>129</v>
      </c>
    </row>
    <row r="57" spans="1:19" ht="14.1" customHeight="1" x14ac:dyDescent="0.25">
      <c r="A57" s="532">
        <v>3</v>
      </c>
      <c r="B57" s="2" t="s">
        <v>124</v>
      </c>
      <c r="C57" s="201">
        <f>SUM(C34:C48,C53:C56)</f>
        <v>317974199.00999999</v>
      </c>
      <c r="D57" s="207">
        <f>SUM(D34:D48,D53:D56)</f>
        <v>320954130.10000002</v>
      </c>
      <c r="E57" s="203">
        <f>SUM(E34:E48,E53:E56)</f>
        <v>294792842.67000002</v>
      </c>
      <c r="F57" s="90">
        <f t="shared" si="10"/>
        <v>0.91848901454594489</v>
      </c>
      <c r="G57" s="203">
        <f>SUM(G34:G48,G53:G56)</f>
        <v>292846646.56</v>
      </c>
      <c r="H57" s="90">
        <f t="shared" si="11"/>
        <v>0.91242523181975399</v>
      </c>
      <c r="I57" s="203">
        <f>SUM(I34:I48,I53:I56)</f>
        <v>97874732.139999986</v>
      </c>
      <c r="J57" s="170">
        <f t="shared" si="12"/>
        <v>0.30494928390391812</v>
      </c>
      <c r="K57" s="152">
        <f>SUM(K34:K56)</f>
        <v>284446047.75000006</v>
      </c>
      <c r="L57" s="90">
        <v>0.96797222570275665</v>
      </c>
      <c r="M57" s="213">
        <f t="shared" ref="M57:M64" si="13">+G57/K57-1</f>
        <v>2.9533188724011561E-2</v>
      </c>
      <c r="N57" s="568">
        <f>SUM(N34:N48,N53:N56)</f>
        <v>122906194.91999999</v>
      </c>
      <c r="O57" s="90">
        <v>0.41825078601173571</v>
      </c>
      <c r="P57" s="170">
        <f t="shared" ref="P57:P64" si="14">+I57/N57-1</f>
        <v>-0.20366314974027999</v>
      </c>
    </row>
    <row r="58" spans="1:19" ht="14.1" customHeight="1" x14ac:dyDescent="0.25">
      <c r="A58" s="37">
        <v>430</v>
      </c>
      <c r="B58" s="534" t="s">
        <v>746</v>
      </c>
      <c r="C58" s="198">
        <v>4583248.97</v>
      </c>
      <c r="D58" s="516">
        <v>5226567.25</v>
      </c>
      <c r="E58" s="180">
        <v>1571934.08</v>
      </c>
      <c r="F58" s="78">
        <f t="shared" si="10"/>
        <v>0.30075841461716579</v>
      </c>
      <c r="G58" s="180">
        <v>1466033.49</v>
      </c>
      <c r="H58" s="414">
        <f t="shared" si="11"/>
        <v>0.28049643673866437</v>
      </c>
      <c r="I58" s="180">
        <v>1437821.24</v>
      </c>
      <c r="J58" s="153">
        <f t="shared" si="12"/>
        <v>0.27509858215255911</v>
      </c>
      <c r="K58" s="650">
        <v>1982212.19</v>
      </c>
      <c r="L58" s="48">
        <v>0.56759947964430746</v>
      </c>
      <c r="M58" s="210">
        <f t="shared" si="13"/>
        <v>-0.26040537062785396</v>
      </c>
      <c r="N58" s="615">
        <v>1847884.21</v>
      </c>
      <c r="O58" s="48">
        <v>0.52913513564808223</v>
      </c>
      <c r="P58" s="153">
        <f t="shared" si="14"/>
        <v>-0.22190945070091805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33363366.649999999</v>
      </c>
      <c r="E59" s="34">
        <v>29006504.93</v>
      </c>
      <c r="F59" s="48">
        <f t="shared" si="10"/>
        <v>0.86941180829543174</v>
      </c>
      <c r="G59" s="34">
        <v>26570805.809999999</v>
      </c>
      <c r="H59" s="48">
        <f t="shared" si="11"/>
        <v>0.79640661234048449</v>
      </c>
      <c r="I59" s="34">
        <v>2358513.16</v>
      </c>
      <c r="J59" s="153">
        <f t="shared" si="12"/>
        <v>7.0691701612193278E-2</v>
      </c>
      <c r="K59" s="650">
        <v>1152570.22</v>
      </c>
      <c r="L59" s="48">
        <v>0.13505708657025184</v>
      </c>
      <c r="M59" s="210">
        <f t="shared" si="13"/>
        <v>22.053524504563374</v>
      </c>
      <c r="N59" s="615">
        <v>871176.28</v>
      </c>
      <c r="O59" s="48">
        <v>0.10208361124054546</v>
      </c>
      <c r="P59" s="153">
        <f t="shared" si="14"/>
        <v>1.7072743073307737</v>
      </c>
    </row>
    <row r="60" spans="1:19" ht="14.1" customHeight="1" x14ac:dyDescent="0.25">
      <c r="A60" s="39" t="s">
        <v>81</v>
      </c>
      <c r="B60" s="40" t="s">
        <v>485</v>
      </c>
      <c r="C60" s="200">
        <v>2743104</v>
      </c>
      <c r="D60" s="206">
        <v>7437178.2999999998</v>
      </c>
      <c r="E60" s="34">
        <v>3175828.7</v>
      </c>
      <c r="F60" s="280">
        <f t="shared" si="10"/>
        <v>0.42702064840908821</v>
      </c>
      <c r="G60" s="34">
        <v>2829780.62</v>
      </c>
      <c r="H60" s="280">
        <f t="shared" si="11"/>
        <v>0.38049116289171125</v>
      </c>
      <c r="I60" s="34">
        <v>1657050.56</v>
      </c>
      <c r="J60" s="178">
        <f t="shared" si="12"/>
        <v>0.22280635116681283</v>
      </c>
      <c r="K60" s="651">
        <v>2486084.14</v>
      </c>
      <c r="L60" s="280">
        <v>0.42333278121436529</v>
      </c>
      <c r="M60" s="211">
        <f t="shared" si="13"/>
        <v>0.13824812864137415</v>
      </c>
      <c r="N60" s="616">
        <v>1809438.5</v>
      </c>
      <c r="O60" s="280">
        <v>0.30811291553525189</v>
      </c>
      <c r="P60" s="178">
        <f t="shared" si="14"/>
        <v>-8.4218358347078359E-2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58184468.060000002</v>
      </c>
      <c r="E61" s="34">
        <v>20664164.48</v>
      </c>
      <c r="F61" s="280">
        <f t="shared" si="10"/>
        <v>0.35514915180956969</v>
      </c>
      <c r="G61" s="34">
        <v>15359341.310000001</v>
      </c>
      <c r="H61" s="280">
        <f t="shared" si="11"/>
        <v>0.26397665600657205</v>
      </c>
      <c r="I61" s="34">
        <v>12687409.9</v>
      </c>
      <c r="J61" s="178">
        <f t="shared" si="12"/>
        <v>0.21805492639232699</v>
      </c>
      <c r="K61" s="651">
        <v>14683752.869999999</v>
      </c>
      <c r="L61" s="280">
        <v>0.18144300540273248</v>
      </c>
      <c r="M61" s="211">
        <f t="shared" si="13"/>
        <v>4.6009248860369834E-2</v>
      </c>
      <c r="N61" s="616">
        <v>11676596.26</v>
      </c>
      <c r="O61" s="280">
        <v>0.1442844167322673</v>
      </c>
      <c r="P61" s="178">
        <f t="shared" si="14"/>
        <v>8.6567490858847407E-2</v>
      </c>
      <c r="R61" s="279"/>
      <c r="S61" s="279"/>
    </row>
    <row r="62" spans="1:19" ht="14.1" customHeight="1" x14ac:dyDescent="0.25">
      <c r="A62" s="39" t="s">
        <v>83</v>
      </c>
      <c r="B62" s="40" t="s">
        <v>486</v>
      </c>
      <c r="C62" s="200">
        <v>162462056</v>
      </c>
      <c r="D62" s="206">
        <v>162612529.97999999</v>
      </c>
      <c r="E62" s="34">
        <v>128653059.42</v>
      </c>
      <c r="F62" s="280">
        <f t="shared" si="10"/>
        <v>0.79116326051764441</v>
      </c>
      <c r="G62" s="34">
        <v>126692966.63</v>
      </c>
      <c r="H62" s="280">
        <f t="shared" si="11"/>
        <v>0.77910949817693753</v>
      </c>
      <c r="I62" s="34">
        <v>49054326.049999997</v>
      </c>
      <c r="J62" s="178">
        <f t="shared" si="12"/>
        <v>0.30166387581592435</v>
      </c>
      <c r="K62" s="651">
        <v>127616368</v>
      </c>
      <c r="L62" s="280">
        <v>0.95662009201489961</v>
      </c>
      <c r="M62" s="211">
        <f t="shared" si="13"/>
        <v>-7.2357596793539702E-3</v>
      </c>
      <c r="N62" s="616">
        <v>57543061.609999999</v>
      </c>
      <c r="O62" s="280">
        <v>0.43134630576680599</v>
      </c>
      <c r="P62" s="178">
        <f t="shared" si="14"/>
        <v>-0.14751970650315216</v>
      </c>
      <c r="R62" s="279"/>
      <c r="S62" s="279"/>
    </row>
    <row r="63" spans="1:19" ht="14.1" customHeight="1" x14ac:dyDescent="0.25">
      <c r="A63" s="39">
        <v>491</v>
      </c>
      <c r="B63" s="40" t="s">
        <v>498</v>
      </c>
      <c r="C63" s="200">
        <v>34765352.369999997</v>
      </c>
      <c r="D63" s="206">
        <v>37838133.950000003</v>
      </c>
      <c r="E63" s="34">
        <v>36916054.609999999</v>
      </c>
      <c r="F63" s="280">
        <f t="shared" si="10"/>
        <v>0.97563095100782571</v>
      </c>
      <c r="G63" s="34">
        <v>36847865.229999997</v>
      </c>
      <c r="H63" s="280">
        <f t="shared" si="11"/>
        <v>0.9738288172110029</v>
      </c>
      <c r="I63" s="34">
        <v>4337877.34</v>
      </c>
      <c r="J63" s="178">
        <f t="shared" si="12"/>
        <v>0.11464300395289445</v>
      </c>
      <c r="K63" s="651">
        <v>15669752</v>
      </c>
      <c r="L63" s="280">
        <v>0.91320892825922262</v>
      </c>
      <c r="M63" s="211">
        <f t="shared" si="13"/>
        <v>1.3515282966826785</v>
      </c>
      <c r="N63" s="616">
        <v>5400000</v>
      </c>
      <c r="O63" s="280">
        <v>0.31470365405909434</v>
      </c>
      <c r="P63" s="178">
        <f t="shared" si="14"/>
        <v>-0.19668938148148152</v>
      </c>
      <c r="R63" s="279"/>
      <c r="S63" s="279"/>
    </row>
    <row r="64" spans="1:19" ht="14.1" customHeight="1" x14ac:dyDescent="0.25">
      <c r="A64" s="41" t="s">
        <v>84</v>
      </c>
      <c r="B64" s="662" t="s">
        <v>487</v>
      </c>
      <c r="C64" s="661">
        <v>1548192.01</v>
      </c>
      <c r="D64" s="397">
        <v>1483243.86</v>
      </c>
      <c r="E64" s="398">
        <v>715223.77</v>
      </c>
      <c r="F64" s="412">
        <f t="shared" si="10"/>
        <v>0.48220241410606612</v>
      </c>
      <c r="G64" s="398">
        <v>293156.68</v>
      </c>
      <c r="H64" s="412">
        <f t="shared" si="11"/>
        <v>0.19764563866119761</v>
      </c>
      <c r="I64" s="398">
        <v>260875.15</v>
      </c>
      <c r="J64" s="427">
        <f t="shared" si="12"/>
        <v>0.17588149665423189</v>
      </c>
      <c r="K64" s="663">
        <v>452875.12</v>
      </c>
      <c r="L64" s="412">
        <v>0.27777552402020544</v>
      </c>
      <c r="M64" s="443">
        <f t="shared" si="13"/>
        <v>-0.35267656125600366</v>
      </c>
      <c r="N64" s="664">
        <v>388881.62</v>
      </c>
      <c r="O64" s="412">
        <v>0.23852446514908215</v>
      </c>
      <c r="P64" s="427">
        <f t="shared" si="14"/>
        <v>-0.32916564686189076</v>
      </c>
    </row>
    <row r="65" spans="1:21" ht="14.1" customHeight="1" x14ac:dyDescent="0.25">
      <c r="A65" s="18">
        <v>4</v>
      </c>
      <c r="B65" s="518" t="s">
        <v>123</v>
      </c>
      <c r="C65" s="201">
        <f>SUM(C58:C64)</f>
        <v>298186053.5</v>
      </c>
      <c r="D65" s="713">
        <f>SUM(D58:D64)</f>
        <v>306145488.05000001</v>
      </c>
      <c r="E65" s="714">
        <f>SUM(E58:E64)</f>
        <v>220702769.99000004</v>
      </c>
      <c r="F65" s="90">
        <f t="shared" si="10"/>
        <v>0.72090812572731633</v>
      </c>
      <c r="G65" s="203">
        <f>SUM(G58:G64)</f>
        <v>210059949.76999998</v>
      </c>
      <c r="H65" s="90">
        <f t="shared" si="11"/>
        <v>0.68614419604215349</v>
      </c>
      <c r="I65" s="203">
        <f>SUM(I58:I64)</f>
        <v>71793873.400000006</v>
      </c>
      <c r="J65" s="170">
        <f t="shared" si="12"/>
        <v>0.23450900373313538</v>
      </c>
      <c r="K65" s="152">
        <f>SUM(K58:K64)</f>
        <v>164043614.54000002</v>
      </c>
      <c r="L65" s="90">
        <v>0.65351007197894717</v>
      </c>
      <c r="M65" s="213">
        <f t="shared" ref="M65:M78" si="15">+G65/K65-1</f>
        <v>0.28051280971244053</v>
      </c>
      <c r="N65" s="568">
        <f>SUBTOTAL(9,N58:N64)</f>
        <v>79537038.480000004</v>
      </c>
      <c r="O65" s="90">
        <v>0.31109307778202738</v>
      </c>
      <c r="P65" s="170">
        <f t="shared" ref="P65:P78" si="16">+I65/N65-1</f>
        <v>-9.7352946853145106E-2</v>
      </c>
    </row>
    <row r="66" spans="1:21" ht="14.1" customHeight="1" x14ac:dyDescent="0.25">
      <c r="A66" s="37" t="s">
        <v>85</v>
      </c>
      <c r="B66" s="38" t="s">
        <v>113</v>
      </c>
      <c r="C66" s="198">
        <v>30183531.489999998</v>
      </c>
      <c r="D66" s="516">
        <v>30360486.91</v>
      </c>
      <c r="E66" s="180">
        <v>12060296.560000001</v>
      </c>
      <c r="F66" s="48">
        <f t="shared" si="10"/>
        <v>0.39723659886454699</v>
      </c>
      <c r="G66" s="180">
        <v>10570813.970000001</v>
      </c>
      <c r="H66" s="48">
        <f t="shared" si="11"/>
        <v>0.34817669431112563</v>
      </c>
      <c r="I66" s="30">
        <v>8532139.2300000004</v>
      </c>
      <c r="J66" s="153">
        <f t="shared" si="12"/>
        <v>0.28102774686362897</v>
      </c>
      <c r="K66" s="650">
        <v>13356356.550000001</v>
      </c>
      <c r="L66" s="48">
        <v>0.46778021775168532</v>
      </c>
      <c r="M66" s="210">
        <f t="shared" si="15"/>
        <v>-0.20855557199092589</v>
      </c>
      <c r="N66" s="615">
        <v>11415976.390000001</v>
      </c>
      <c r="O66" s="48">
        <v>0.39982220462378254</v>
      </c>
      <c r="P66" s="153">
        <f t="shared" si="16"/>
        <v>-0.25261414893308132</v>
      </c>
    </row>
    <row r="67" spans="1:21" ht="14.1" customHeight="1" x14ac:dyDescent="0.25">
      <c r="A67" s="39" t="s">
        <v>86</v>
      </c>
      <c r="B67" s="40" t="s">
        <v>747</v>
      </c>
      <c r="C67" s="200">
        <v>58410922.509999998</v>
      </c>
      <c r="D67" s="206">
        <v>62733823</v>
      </c>
      <c r="E67" s="34">
        <v>24853939.66</v>
      </c>
      <c r="F67" s="280">
        <f t="shared" si="10"/>
        <v>0.39618085542148451</v>
      </c>
      <c r="G67" s="34">
        <v>20815448.620000001</v>
      </c>
      <c r="H67" s="280">
        <f t="shared" si="11"/>
        <v>0.33180583654211543</v>
      </c>
      <c r="I67" s="34">
        <v>13958168.74</v>
      </c>
      <c r="J67" s="178">
        <f t="shared" si="12"/>
        <v>0.22249829633370183</v>
      </c>
      <c r="K67" s="651">
        <v>22236113.32</v>
      </c>
      <c r="L67" s="280">
        <v>0.41052863549512458</v>
      </c>
      <c r="M67" s="211">
        <f t="shared" si="15"/>
        <v>-6.3889973915639331E-2</v>
      </c>
      <c r="N67" s="616">
        <v>17250107.59</v>
      </c>
      <c r="O67" s="280">
        <v>0.31847576189033344</v>
      </c>
      <c r="P67" s="178">
        <f t="shared" si="16"/>
        <v>-0.19083584452008628</v>
      </c>
    </row>
    <row r="68" spans="1:21" ht="14.1" customHeight="1" x14ac:dyDescent="0.25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3437221.45</v>
      </c>
      <c r="F68" s="280">
        <f t="shared" si="10"/>
        <v>0.47340049631349795</v>
      </c>
      <c r="G68" s="34">
        <v>2908744.82</v>
      </c>
      <c r="H68" s="280">
        <f t="shared" si="11"/>
        <v>0.40061464222426402</v>
      </c>
      <c r="I68" s="34">
        <v>2276643.41</v>
      </c>
      <c r="J68" s="178">
        <f t="shared" si="12"/>
        <v>0.31355678879021726</v>
      </c>
      <c r="K68" s="651">
        <v>2322227.36</v>
      </c>
      <c r="L68" s="280">
        <v>0.35261293109949493</v>
      </c>
      <c r="M68" s="211">
        <f t="shared" si="15"/>
        <v>0.25256676848385773</v>
      </c>
      <c r="N68" s="616">
        <v>2175370.33</v>
      </c>
      <c r="O68" s="280">
        <v>0.33031378473130024</v>
      </c>
      <c r="P68" s="178">
        <f t="shared" si="16"/>
        <v>4.6554408968150218E-2</v>
      </c>
      <c r="T68" s="254"/>
      <c r="U68" s="254"/>
    </row>
    <row r="69" spans="1:21" ht="14.1" customHeight="1" x14ac:dyDescent="0.25">
      <c r="A69" s="39" t="s">
        <v>88</v>
      </c>
      <c r="B69" s="40" t="s">
        <v>111</v>
      </c>
      <c r="C69" s="200">
        <v>3332924.07</v>
      </c>
      <c r="D69" s="206">
        <v>2309210.9900000002</v>
      </c>
      <c r="E69" s="34">
        <v>1086039.1200000001</v>
      </c>
      <c r="F69" s="280">
        <f t="shared" ref="F69:F80" si="17">+E69/D69</f>
        <v>0.47030744470863617</v>
      </c>
      <c r="G69" s="34">
        <v>993420.80000000005</v>
      </c>
      <c r="H69" s="280">
        <f t="shared" si="11"/>
        <v>0.43019923441469504</v>
      </c>
      <c r="I69" s="34">
        <v>610952.14</v>
      </c>
      <c r="J69" s="178">
        <f t="shared" si="12"/>
        <v>0.26457181376916966</v>
      </c>
      <c r="K69" s="651">
        <v>1034902.57</v>
      </c>
      <c r="L69" s="280">
        <v>0.48180357106668592</v>
      </c>
      <c r="M69" s="211">
        <f t="shared" si="15"/>
        <v>-4.0082778033878053E-2</v>
      </c>
      <c r="N69" s="616">
        <v>812384.9</v>
      </c>
      <c r="O69" s="280">
        <v>0.37820946362192587</v>
      </c>
      <c r="P69" s="178">
        <f t="shared" si="16"/>
        <v>-0.24795236839089452</v>
      </c>
      <c r="T69" s="254"/>
      <c r="U69" s="254"/>
    </row>
    <row r="70" spans="1:21" ht="14.1" customHeight="1" x14ac:dyDescent="0.25">
      <c r="A70" s="39" t="s">
        <v>89</v>
      </c>
      <c r="B70" s="40" t="s">
        <v>105</v>
      </c>
      <c r="C70" s="200">
        <v>15684736.65</v>
      </c>
      <c r="D70" s="206">
        <v>15742343.65</v>
      </c>
      <c r="E70" s="34">
        <v>9441403.4600000009</v>
      </c>
      <c r="F70" s="280">
        <f t="shared" si="17"/>
        <v>0.59974573480994997</v>
      </c>
      <c r="G70" s="34">
        <v>3226495.37</v>
      </c>
      <c r="H70" s="280">
        <f t="shared" si="11"/>
        <v>0.20495648181330359</v>
      </c>
      <c r="I70" s="34">
        <v>1089446.95</v>
      </c>
      <c r="J70" s="178">
        <f t="shared" si="12"/>
        <v>6.920487661949877E-2</v>
      </c>
      <c r="K70" s="651">
        <v>3147467.2</v>
      </c>
      <c r="L70" s="280">
        <v>0.32375262778525954</v>
      </c>
      <c r="M70" s="211">
        <f t="shared" si="15"/>
        <v>2.5108496762094923E-2</v>
      </c>
      <c r="N70" s="616">
        <v>1406489.45</v>
      </c>
      <c r="O70" s="280">
        <v>0.14467336002413125</v>
      </c>
      <c r="P70" s="178">
        <f t="shared" si="16"/>
        <v>-0.22541406193981761</v>
      </c>
      <c r="T70" s="254"/>
      <c r="U70" s="254"/>
    </row>
    <row r="71" spans="1:21" ht="14.1" customHeight="1" x14ac:dyDescent="0.25">
      <c r="A71" s="39" t="s">
        <v>90</v>
      </c>
      <c r="B71" s="40" t="s">
        <v>120</v>
      </c>
      <c r="C71" s="200">
        <v>39167636.100000001</v>
      </c>
      <c r="D71" s="206">
        <v>39624679.060000002</v>
      </c>
      <c r="E71" s="34">
        <v>22053242.41</v>
      </c>
      <c r="F71" s="280">
        <f t="shared" si="17"/>
        <v>0.55655321211830655</v>
      </c>
      <c r="G71" s="34">
        <v>18201759.18</v>
      </c>
      <c r="H71" s="280">
        <f t="shared" si="11"/>
        <v>0.45935410990808917</v>
      </c>
      <c r="I71" s="34">
        <v>7466949.1600000001</v>
      </c>
      <c r="J71" s="178">
        <f t="shared" si="12"/>
        <v>0.18844188362241338</v>
      </c>
      <c r="K71" s="651">
        <v>15886086.48</v>
      </c>
      <c r="L71" s="280">
        <v>0.43508637913674508</v>
      </c>
      <c r="M71" s="211">
        <f t="shared" si="15"/>
        <v>0.14576734823364745</v>
      </c>
      <c r="N71" s="616">
        <v>7557633.6699999999</v>
      </c>
      <c r="O71" s="280">
        <v>0.20698763490064104</v>
      </c>
      <c r="P71" s="178">
        <f t="shared" si="16"/>
        <v>-1.199906134111417E-2</v>
      </c>
      <c r="T71" s="254"/>
      <c r="U71" s="254"/>
    </row>
    <row r="72" spans="1:21" ht="14.1" customHeight="1" x14ac:dyDescent="0.25">
      <c r="A72" s="39" t="s">
        <v>91</v>
      </c>
      <c r="B72" s="40" t="s">
        <v>488</v>
      </c>
      <c r="C72" s="200">
        <v>49281328.299999997</v>
      </c>
      <c r="D72" s="206">
        <v>49999157.020000003</v>
      </c>
      <c r="E72" s="34">
        <v>41305520.439999998</v>
      </c>
      <c r="F72" s="280">
        <f t="shared" si="17"/>
        <v>0.82612433692587073</v>
      </c>
      <c r="G72" s="34">
        <v>41087633.32</v>
      </c>
      <c r="H72" s="280">
        <f t="shared" si="11"/>
        <v>0.82176652105483838</v>
      </c>
      <c r="I72" s="34">
        <v>14183911.07</v>
      </c>
      <c r="J72" s="178">
        <f t="shared" si="12"/>
        <v>0.28368300418197728</v>
      </c>
      <c r="K72" s="651">
        <v>36335300.68</v>
      </c>
      <c r="L72" s="280">
        <v>0.73497622167097165</v>
      </c>
      <c r="M72" s="211">
        <f t="shared" si="15"/>
        <v>0.13079106409090002</v>
      </c>
      <c r="N72" s="616">
        <v>12993486.390000001</v>
      </c>
      <c r="O72" s="280">
        <v>0.26282715030653198</v>
      </c>
      <c r="P72" s="178">
        <f t="shared" si="16"/>
        <v>9.1617033663587755E-2</v>
      </c>
    </row>
    <row r="73" spans="1:21" ht="14.1" customHeight="1" x14ac:dyDescent="0.25">
      <c r="A73" s="39" t="s">
        <v>92</v>
      </c>
      <c r="B73" s="40" t="s">
        <v>118</v>
      </c>
      <c r="C73" s="200">
        <v>44564324.299999997</v>
      </c>
      <c r="D73" s="206">
        <v>23328535.640000001</v>
      </c>
      <c r="E73" s="34">
        <v>2428.0500000000002</v>
      </c>
      <c r="F73" s="280">
        <f t="shared" si="17"/>
        <v>1.040806863092072E-4</v>
      </c>
      <c r="G73" s="34">
        <v>2428.0500000000002</v>
      </c>
      <c r="H73" s="280">
        <f t="shared" si="11"/>
        <v>1.040806863092072E-4</v>
      </c>
      <c r="I73" s="34">
        <v>2428.0500000000002</v>
      </c>
      <c r="J73" s="178">
        <f t="shared" si="12"/>
        <v>1.040806863092072E-4</v>
      </c>
      <c r="K73" s="651">
        <v>9208474.9600000009</v>
      </c>
      <c r="L73" s="280">
        <v>0.60665989372770768</v>
      </c>
      <c r="M73" s="211">
        <f t="shared" si="15"/>
        <v>-0.99973632441739302</v>
      </c>
      <c r="N73" s="616">
        <v>9208474.9600000009</v>
      </c>
      <c r="O73" s="280">
        <v>0.60665989372770768</v>
      </c>
      <c r="P73" s="178">
        <f t="shared" si="16"/>
        <v>-0.99973632441739302</v>
      </c>
    </row>
    <row r="74" spans="1:21" ht="14.1" customHeight="1" x14ac:dyDescent="0.25">
      <c r="A74" s="253">
        <v>931</v>
      </c>
      <c r="B74" s="40" t="s">
        <v>436</v>
      </c>
      <c r="C74" s="200">
        <v>5805408.6299999999</v>
      </c>
      <c r="D74" s="206">
        <v>5139664.4800000004</v>
      </c>
      <c r="E74" s="34">
        <v>2064386.6</v>
      </c>
      <c r="F74" s="280">
        <f t="shared" si="17"/>
        <v>0.40165785296553053</v>
      </c>
      <c r="G74" s="34">
        <v>1985239.1</v>
      </c>
      <c r="H74" s="280">
        <f t="shared" si="11"/>
        <v>0.38625850144988449</v>
      </c>
      <c r="I74" s="34">
        <v>1398015.96</v>
      </c>
      <c r="J74" s="178">
        <f t="shared" si="12"/>
        <v>0.27200529634572562</v>
      </c>
      <c r="K74" s="651">
        <v>2154156.2799999998</v>
      </c>
      <c r="L74" s="280">
        <v>0.44286143907680059</v>
      </c>
      <c r="M74" s="211">
        <f t="shared" si="15"/>
        <v>-7.841454288543992E-2</v>
      </c>
      <c r="N74" s="616">
        <v>1652890.27</v>
      </c>
      <c r="O74" s="280">
        <v>0.33980884785584897</v>
      </c>
      <c r="P74" s="178">
        <f t="shared" si="16"/>
        <v>-0.15419917137028105</v>
      </c>
    </row>
    <row r="75" spans="1:21" ht="14.1" customHeight="1" x14ac:dyDescent="0.25">
      <c r="A75" s="39" t="s">
        <v>93</v>
      </c>
      <c r="B75" s="40" t="s">
        <v>107</v>
      </c>
      <c r="C75" s="200">
        <v>30138334.93</v>
      </c>
      <c r="D75" s="206">
        <v>30139104.140000001</v>
      </c>
      <c r="E75" s="34">
        <v>27590832.34</v>
      </c>
      <c r="F75" s="280">
        <f t="shared" si="17"/>
        <v>0.91544965012354207</v>
      </c>
      <c r="G75" s="34">
        <v>27444429.07</v>
      </c>
      <c r="H75" s="280">
        <f t="shared" si="11"/>
        <v>0.91059206479784904</v>
      </c>
      <c r="I75" s="34">
        <v>7849030.4500000002</v>
      </c>
      <c r="J75" s="178">
        <f t="shared" si="12"/>
        <v>0.2604268001311601</v>
      </c>
      <c r="K75" s="651">
        <v>25208859.800000001</v>
      </c>
      <c r="L75" s="280">
        <v>0.85931479773359054</v>
      </c>
      <c r="M75" s="211">
        <f t="shared" si="15"/>
        <v>8.8681887548123006E-2</v>
      </c>
      <c r="N75" s="616">
        <v>8420410.1099999994</v>
      </c>
      <c r="O75" s="280">
        <v>0.28703333145232257</v>
      </c>
      <c r="P75" s="178">
        <f t="shared" si="16"/>
        <v>-6.7856512038699135E-2</v>
      </c>
    </row>
    <row r="76" spans="1:21" ht="14.1" customHeight="1" x14ac:dyDescent="0.25">
      <c r="A76" s="39" t="s">
        <v>94</v>
      </c>
      <c r="B76" s="40" t="s">
        <v>108</v>
      </c>
      <c r="C76" s="200">
        <v>113561295.48999999</v>
      </c>
      <c r="D76" s="206">
        <v>111447011.77</v>
      </c>
      <c r="E76" s="34">
        <v>85825614.269999996</v>
      </c>
      <c r="F76" s="280">
        <f t="shared" si="17"/>
        <v>0.7701024272155772</v>
      </c>
      <c r="G76" s="34">
        <v>84013539.760000005</v>
      </c>
      <c r="H76" s="280">
        <f t="shared" si="11"/>
        <v>0.75384291086587296</v>
      </c>
      <c r="I76" s="34">
        <v>26778261.879999999</v>
      </c>
      <c r="J76" s="178">
        <f t="shared" si="12"/>
        <v>0.2402779711605362</v>
      </c>
      <c r="K76" s="651">
        <v>68751603.099999994</v>
      </c>
      <c r="L76" s="280">
        <v>0.75347033007287811</v>
      </c>
      <c r="M76" s="211">
        <f t="shared" si="15"/>
        <v>0.2219866297197659</v>
      </c>
      <c r="N76" s="616">
        <v>25132125.030000001</v>
      </c>
      <c r="O76" s="280">
        <v>0.27543082179834938</v>
      </c>
      <c r="P76" s="178">
        <f t="shared" si="16"/>
        <v>6.5499310067693051E-2</v>
      </c>
    </row>
    <row r="77" spans="1:21" ht="14.1" customHeight="1" x14ac:dyDescent="0.25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261194.43</v>
      </c>
      <c r="F77" s="280">
        <f t="shared" si="17"/>
        <v>0.32594990310208716</v>
      </c>
      <c r="G77" s="34">
        <v>261194.43</v>
      </c>
      <c r="H77" s="280">
        <f t="shared" si="11"/>
        <v>0.32594990310208716</v>
      </c>
      <c r="I77" s="34">
        <v>261194.43</v>
      </c>
      <c r="J77" s="178">
        <f t="shared" si="12"/>
        <v>0.32594990310208716</v>
      </c>
      <c r="K77" s="651">
        <v>332207.76</v>
      </c>
      <c r="L77" s="280">
        <v>0.41631405176357078</v>
      </c>
      <c r="M77" s="211">
        <f t="shared" si="15"/>
        <v>-0.2137618037579857</v>
      </c>
      <c r="N77" s="616">
        <v>332207.76</v>
      </c>
      <c r="O77" s="280">
        <v>0.41631405176357078</v>
      </c>
      <c r="P77" s="178">
        <f t="shared" si="16"/>
        <v>-0.2137618037579857</v>
      </c>
    </row>
    <row r="78" spans="1:21" ht="14.1" customHeight="1" x14ac:dyDescent="0.25">
      <c r="A78" s="250">
        <v>943</v>
      </c>
      <c r="B78" s="42" t="s">
        <v>742</v>
      </c>
      <c r="C78" s="200">
        <v>98287346.239999995</v>
      </c>
      <c r="D78" s="206">
        <v>98287346.239999995</v>
      </c>
      <c r="E78" s="34">
        <v>89498375.260000005</v>
      </c>
      <c r="F78" s="390">
        <f t="shared" si="17"/>
        <v>0.91057881491134263</v>
      </c>
      <c r="G78" s="34">
        <v>89498375.260000005</v>
      </c>
      <c r="H78" s="390">
        <f t="shared" si="11"/>
        <v>0.91057881491134263</v>
      </c>
      <c r="I78" s="34">
        <v>23451866.84</v>
      </c>
      <c r="J78" s="392">
        <f t="shared" si="12"/>
        <v>0.23860514844642122</v>
      </c>
      <c r="K78" s="653">
        <v>84274401.209999993</v>
      </c>
      <c r="L78" s="78">
        <v>0.94587005248899569</v>
      </c>
      <c r="M78" s="520">
        <f t="shared" si="15"/>
        <v>6.1987673302864588E-2</v>
      </c>
      <c r="N78" s="618">
        <v>29447490.739999998</v>
      </c>
      <c r="O78" s="78">
        <v>0.33050961160205694</v>
      </c>
      <c r="P78" s="392">
        <f t="shared" si="16"/>
        <v>-0.20360389796662171</v>
      </c>
    </row>
    <row r="79" spans="1:21" ht="14.1" customHeight="1" thickBot="1" x14ac:dyDescent="0.3">
      <c r="A79" s="18">
        <v>9</v>
      </c>
      <c r="B79" s="2" t="s">
        <v>535</v>
      </c>
      <c r="C79" s="201">
        <f>SUBTOTAL(9,C66:C78)</f>
        <v>496436210.86000007</v>
      </c>
      <c r="D79" s="207">
        <f>SUM(D66:D78)</f>
        <v>477173401.16000003</v>
      </c>
      <c r="E79" s="529">
        <f>SUM(E66:E78)</f>
        <v>319480494.04999995</v>
      </c>
      <c r="F79" s="535">
        <f t="shared" si="17"/>
        <v>0.6695270383331271</v>
      </c>
      <c r="G79" s="203">
        <f>SUM(G66:G78)</f>
        <v>301009521.75</v>
      </c>
      <c r="H79" s="535">
        <f t="shared" si="11"/>
        <v>0.63081789768300423</v>
      </c>
      <c r="I79" s="203">
        <f>SUM(I66:I78)</f>
        <v>107859008.31</v>
      </c>
      <c r="J79" s="536">
        <f t="shared" si="12"/>
        <v>0.22603734417676399</v>
      </c>
      <c r="K79" s="152">
        <f>SUM(K66:K78)</f>
        <v>284248157.26999998</v>
      </c>
      <c r="L79" s="90">
        <v>0.68059979370025248</v>
      </c>
      <c r="M79" s="561">
        <f>+G79/K79-1</f>
        <v>5.8967363732384204E-2</v>
      </c>
      <c r="N79" s="568">
        <f>SUM(N66:N78)</f>
        <v>127805047.59</v>
      </c>
      <c r="O79" s="90">
        <v>0.30601461011752845</v>
      </c>
      <c r="P79" s="536">
        <f>+I79/N79-1</f>
        <v>-0.15606613084631149</v>
      </c>
    </row>
    <row r="80" spans="1:21" s="6" customFormat="1" ht="14.1" customHeight="1" thickBot="1" x14ac:dyDescent="0.3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2751222224.7700005</v>
      </c>
      <c r="E80" s="209">
        <f>SUM(E6,E27,E33,E57,E65,E79)</f>
        <v>1809552490.3499999</v>
      </c>
      <c r="F80" s="181">
        <f t="shared" si="17"/>
        <v>0.65772676378451278</v>
      </c>
      <c r="G80" s="209">
        <f>SUM(G6,G27,G33,G57,G65,G79)</f>
        <v>1741801691.0699999</v>
      </c>
      <c r="H80" s="181">
        <f t="shared" si="11"/>
        <v>0.63310105428346952</v>
      </c>
      <c r="I80" s="209">
        <f>SUM(I6,I27,I33,I57,I65,I79)</f>
        <v>618840016.1099999</v>
      </c>
      <c r="J80" s="173">
        <f t="shared" si="12"/>
        <v>0.22493276280571423</v>
      </c>
      <c r="K80" s="154">
        <f>K6+K27+K33+K57+K65+K79</f>
        <v>1675791120.3799999</v>
      </c>
      <c r="L80" s="181">
        <v>0.67873128806798277</v>
      </c>
      <c r="M80" s="609">
        <f>+G80/K80-1</f>
        <v>3.9390691290350999E-2</v>
      </c>
      <c r="N80" s="576">
        <f>N6+N27+N33+N57+N65+N79</f>
        <v>784125575.74000001</v>
      </c>
      <c r="O80" s="181">
        <v>0.31758764893585051</v>
      </c>
      <c r="P80" s="175">
        <f>+I80/N80-1</f>
        <v>-0.21078965505495184</v>
      </c>
      <c r="R80" s="255"/>
      <c r="S80" s="46" t="s">
        <v>148</v>
      </c>
    </row>
    <row r="81" spans="1:19" ht="14.4" thickBot="1" x14ac:dyDescent="0.3">
      <c r="A81" s="7" t="s">
        <v>19</v>
      </c>
      <c r="N81" s="97"/>
    </row>
    <row r="82" spans="1:19" ht="12.75" customHeight="1" x14ac:dyDescent="0.25">
      <c r="A82" s="8" t="s">
        <v>759</v>
      </c>
      <c r="C82" s="164" t="s">
        <v>767</v>
      </c>
      <c r="D82" s="743" t="s">
        <v>779</v>
      </c>
      <c r="E82" s="741"/>
      <c r="F82" s="741"/>
      <c r="G82" s="741"/>
      <c r="H82" s="741"/>
      <c r="I82" s="741"/>
      <c r="J82" s="742"/>
      <c r="K82" s="752" t="s">
        <v>780</v>
      </c>
      <c r="L82" s="750"/>
      <c r="M82" s="750"/>
      <c r="N82" s="750"/>
      <c r="O82" s="750"/>
      <c r="P82" s="753"/>
    </row>
    <row r="83" spans="1:19" ht="12.75" customHeight="1" x14ac:dyDescent="0.25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766</v>
      </c>
      <c r="N84" s="564" t="s">
        <v>17</v>
      </c>
      <c r="O84" s="89" t="s">
        <v>18</v>
      </c>
      <c r="P84" s="612" t="s">
        <v>766</v>
      </c>
    </row>
    <row r="85" spans="1:19" ht="14.1" customHeight="1" x14ac:dyDescent="0.25">
      <c r="A85" s="17" t="s">
        <v>548</v>
      </c>
      <c r="B85" s="13" t="s">
        <v>549</v>
      </c>
      <c r="C85" s="530">
        <v>155185000</v>
      </c>
      <c r="D85" s="516">
        <v>155185000</v>
      </c>
      <c r="E85" s="180">
        <v>40445550.549999997</v>
      </c>
      <c r="F85" s="78">
        <f t="shared" ref="F85:F117" si="18">+E85/D85</f>
        <v>0.26062796372072039</v>
      </c>
      <c r="G85" s="180">
        <v>40445550.549999997</v>
      </c>
      <c r="H85" s="78">
        <f t="shared" ref="H85:H117" si="19">+G85/D85</f>
        <v>0.26062796372072039</v>
      </c>
      <c r="I85" s="180">
        <v>40445550.549999997</v>
      </c>
      <c r="J85" s="172">
        <f t="shared" ref="J85:J117" si="20">+I85/D85</f>
        <v>0.26062796372072039</v>
      </c>
      <c r="K85" s="614">
        <v>131925443.39</v>
      </c>
      <c r="L85" s="78">
        <v>0.66690000000000005</v>
      </c>
      <c r="M85" s="245">
        <f>+G85/K85-1</f>
        <v>-0.69342115129047355</v>
      </c>
      <c r="N85" s="614">
        <v>131925443.39</v>
      </c>
      <c r="O85" s="78">
        <v>0.66690000000000005</v>
      </c>
      <c r="P85" s="245">
        <f>+I85/N85-1</f>
        <v>-0.69342115129047355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40445550.549999997</v>
      </c>
      <c r="F86" s="90">
        <f t="shared" si="18"/>
        <v>0.26062796372072039</v>
      </c>
      <c r="G86" s="203">
        <f>SUBTOTAL(9,G85:G85)</f>
        <v>40445550.549999997</v>
      </c>
      <c r="H86" s="90">
        <f t="shared" si="19"/>
        <v>0.26062796372072039</v>
      </c>
      <c r="I86" s="203">
        <f>SUBTOTAL(9,I85:I85)</f>
        <v>40445550.549999997</v>
      </c>
      <c r="J86" s="170">
        <f t="shared" si="20"/>
        <v>0.26062796372072039</v>
      </c>
      <c r="K86" s="568">
        <f>SUM(K85)</f>
        <v>131925443.39</v>
      </c>
      <c r="L86" s="90"/>
      <c r="M86" s="213">
        <f>+G86/K86-1</f>
        <v>-0.69342115129047355</v>
      </c>
      <c r="N86" s="568">
        <f>SUBTOTAL(9,N85:N85)</f>
        <v>131925443.39</v>
      </c>
      <c r="O86" s="90"/>
      <c r="P86" s="213">
        <f>+I86/N86-1</f>
        <v>-0.69342115129047355</v>
      </c>
    </row>
    <row r="87" spans="1:19" ht="14.1" customHeight="1" x14ac:dyDescent="0.25">
      <c r="A87" s="37" t="s">
        <v>550</v>
      </c>
      <c r="B87" s="38" t="s">
        <v>551</v>
      </c>
      <c r="C87" s="198">
        <v>8321253.9400000004</v>
      </c>
      <c r="D87" s="204">
        <v>20052314.039999999</v>
      </c>
      <c r="E87" s="30">
        <v>3382640.18</v>
      </c>
      <c r="F87" s="48">
        <f t="shared" si="18"/>
        <v>0.16869076423062046</v>
      </c>
      <c r="G87" s="30">
        <v>3007434.88</v>
      </c>
      <c r="H87" s="48">
        <f t="shared" si="19"/>
        <v>0.14997944247236614</v>
      </c>
      <c r="I87" s="30">
        <v>2560311.7999999998</v>
      </c>
      <c r="J87" s="153">
        <f t="shared" si="20"/>
        <v>0.12768161294964439</v>
      </c>
      <c r="K87" s="615">
        <v>3898570.08</v>
      </c>
      <c r="L87" s="48">
        <v>0.41170000000000001</v>
      </c>
      <c r="M87" s="210">
        <f>+G87/K87-1</f>
        <v>-0.2285800131108584</v>
      </c>
      <c r="N87" s="615">
        <v>3421023.08</v>
      </c>
      <c r="O87" s="48">
        <v>0.36130000000000001</v>
      </c>
      <c r="P87" s="210">
        <f>+I87/N87-1</f>
        <v>-0.25159470131373685</v>
      </c>
    </row>
    <row r="88" spans="1:19" ht="14.1" customHeight="1" x14ac:dyDescent="0.25">
      <c r="A88" s="39" t="s">
        <v>552</v>
      </c>
      <c r="B88" s="40" t="s">
        <v>553</v>
      </c>
      <c r="C88" s="199">
        <v>168947008.41</v>
      </c>
      <c r="D88" s="205">
        <v>169780511.31</v>
      </c>
      <c r="E88" s="32">
        <v>61849763.280000001</v>
      </c>
      <c r="F88" s="280">
        <f t="shared" si="18"/>
        <v>0.36429247858176922</v>
      </c>
      <c r="G88" s="32">
        <v>61025274.490000002</v>
      </c>
      <c r="H88" s="280">
        <f t="shared" si="19"/>
        <v>0.35943627462974687</v>
      </c>
      <c r="I88" s="32">
        <v>55569179.729999997</v>
      </c>
      <c r="J88" s="178">
        <f t="shared" si="20"/>
        <v>0.32730010824703526</v>
      </c>
      <c r="K88" s="616">
        <v>80001823.659999996</v>
      </c>
      <c r="L88" s="280">
        <v>0.46060000000000001</v>
      </c>
      <c r="M88" s="443">
        <f>+G88/K88-1</f>
        <v>-0.23720145743987653</v>
      </c>
      <c r="N88" s="616">
        <v>73357697.680000007</v>
      </c>
      <c r="O88" s="280">
        <v>0.4224</v>
      </c>
      <c r="P88" s="443">
        <f>+I88/N88-1</f>
        <v>-0.24249013413148335</v>
      </c>
      <c r="Q88" s="53"/>
    </row>
    <row r="89" spans="1:19" ht="14.1" customHeight="1" x14ac:dyDescent="0.25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292053.32</v>
      </c>
      <c r="F89" s="280">
        <f t="shared" si="18"/>
        <v>0.49310024598002078</v>
      </c>
      <c r="G89" s="32">
        <v>283342.32</v>
      </c>
      <c r="H89" s="280">
        <f t="shared" si="19"/>
        <v>0.47839267051834838</v>
      </c>
      <c r="I89" s="32">
        <v>143136.35</v>
      </c>
      <c r="J89" s="178">
        <f t="shared" si="20"/>
        <v>0.24167014911414927</v>
      </c>
      <c r="K89" s="616">
        <v>365229.2</v>
      </c>
      <c r="L89" s="280">
        <v>0.58350000000000002</v>
      </c>
      <c r="M89" s="670">
        <f>+G89/K89-1</f>
        <v>-0.22420682683640847</v>
      </c>
      <c r="N89" s="616">
        <v>176628.56</v>
      </c>
      <c r="O89" s="280">
        <v>0.28220000000000001</v>
      </c>
      <c r="P89" s="594">
        <f>+I89/N89-1</f>
        <v>-0.18961944772691341</v>
      </c>
    </row>
    <row r="90" spans="1:19" ht="14.1" customHeight="1" x14ac:dyDescent="0.25">
      <c r="A90" s="39" t="s">
        <v>556</v>
      </c>
      <c r="B90" s="40" t="s">
        <v>557</v>
      </c>
      <c r="C90" s="199">
        <v>60818645.530000001</v>
      </c>
      <c r="D90" s="205">
        <v>59564926.100000001</v>
      </c>
      <c r="E90" s="32">
        <v>1799795.21</v>
      </c>
      <c r="F90" s="280">
        <f t="shared" si="18"/>
        <v>3.0215687785433178E-2</v>
      </c>
      <c r="G90" s="32">
        <v>1328028.4099999999</v>
      </c>
      <c r="H90" s="280">
        <f t="shared" si="19"/>
        <v>2.229547649854299E-2</v>
      </c>
      <c r="I90" s="32">
        <v>1914.28</v>
      </c>
      <c r="J90" s="178">
        <f t="shared" si="20"/>
        <v>3.2137704608014276E-5</v>
      </c>
      <c r="K90" s="616">
        <v>0</v>
      </c>
      <c r="L90" s="280">
        <v>0</v>
      </c>
      <c r="M90" s="670" t="s">
        <v>129</v>
      </c>
      <c r="N90" s="616">
        <v>0</v>
      </c>
      <c r="O90" s="280">
        <v>0</v>
      </c>
      <c r="P90" s="594" t="s">
        <v>129</v>
      </c>
    </row>
    <row r="91" spans="1:19" ht="14.1" customHeight="1" x14ac:dyDescent="0.25">
      <c r="A91" s="39">
        <v>1341</v>
      </c>
      <c r="B91" s="40" t="s">
        <v>558</v>
      </c>
      <c r="C91" s="199">
        <v>14713359.07</v>
      </c>
      <c r="D91" s="205">
        <v>14962406.300000001</v>
      </c>
      <c r="E91" s="32">
        <v>12453078.960000001</v>
      </c>
      <c r="F91" s="280">
        <f t="shared" si="18"/>
        <v>0.83229119102319793</v>
      </c>
      <c r="G91" s="32">
        <v>12026954.699999999</v>
      </c>
      <c r="H91" s="280">
        <f t="shared" si="19"/>
        <v>0.80381152996760952</v>
      </c>
      <c r="I91" s="32">
        <v>2384698.56</v>
      </c>
      <c r="J91" s="178">
        <f t="shared" si="20"/>
        <v>0.15937934795955916</v>
      </c>
      <c r="K91" s="616">
        <v>12869261.220000001</v>
      </c>
      <c r="L91" s="280">
        <v>0.72470000000000001</v>
      </c>
      <c r="M91" s="210">
        <f t="shared" ref="M91:M120" si="21">+G91/K91-1</f>
        <v>-6.5451039154522772E-2</v>
      </c>
      <c r="N91" s="616">
        <v>1415344.91</v>
      </c>
      <c r="O91" s="280">
        <v>7.9699999999999993E-2</v>
      </c>
      <c r="P91" s="210">
        <f t="shared" ref="P91:P120" si="22">+I91/N91-1</f>
        <v>0.6848886396178866</v>
      </c>
      <c r="R91" s="275"/>
    </row>
    <row r="92" spans="1:19" ht="14.1" customHeight="1" x14ac:dyDescent="0.25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101297.65</v>
      </c>
      <c r="F92" s="280">
        <f t="shared" si="18"/>
        <v>0.31113343256047898</v>
      </c>
      <c r="G92" s="32">
        <v>101297.65</v>
      </c>
      <c r="H92" s="280">
        <f t="shared" si="19"/>
        <v>0.31113343256047898</v>
      </c>
      <c r="I92" s="32">
        <v>101297.65</v>
      </c>
      <c r="J92" s="178">
        <f t="shared" si="20"/>
        <v>0.31113343256047898</v>
      </c>
      <c r="K92" s="616">
        <v>174654.42</v>
      </c>
      <c r="L92" s="280">
        <v>0.39250000000000002</v>
      </c>
      <c r="M92" s="210">
        <f t="shared" si="21"/>
        <v>-0.42001095649340003</v>
      </c>
      <c r="N92" s="616">
        <v>174654.42</v>
      </c>
      <c r="O92" s="280">
        <v>0.39250000000000002</v>
      </c>
      <c r="P92" s="210">
        <f t="shared" si="22"/>
        <v>-0.42001095649340003</v>
      </c>
      <c r="R92" s="275"/>
    </row>
    <row r="93" spans="1:19" ht="14.1" customHeight="1" x14ac:dyDescent="0.25">
      <c r="A93" s="39">
        <v>1361</v>
      </c>
      <c r="B93" s="40" t="s">
        <v>560</v>
      </c>
      <c r="C93" s="199">
        <v>41868192.539999999</v>
      </c>
      <c r="D93" s="205">
        <v>42535886.549999997</v>
      </c>
      <c r="E93" s="32">
        <v>16599259.380000001</v>
      </c>
      <c r="F93" s="280">
        <f t="shared" si="18"/>
        <v>0.39024129332505947</v>
      </c>
      <c r="G93" s="32">
        <v>16035462.65</v>
      </c>
      <c r="H93" s="280">
        <f t="shared" si="19"/>
        <v>0.37698667996847007</v>
      </c>
      <c r="I93" s="32">
        <v>13352665.17</v>
      </c>
      <c r="J93" s="178">
        <f t="shared" si="20"/>
        <v>0.31391529019394565</v>
      </c>
      <c r="K93" s="616">
        <v>19413292.93</v>
      </c>
      <c r="L93" s="280">
        <v>0.4395</v>
      </c>
      <c r="M93" s="211">
        <f t="shared" si="21"/>
        <v>-0.17399574055672584</v>
      </c>
      <c r="N93" s="616">
        <v>17136600.57</v>
      </c>
      <c r="O93" s="280">
        <v>0.38790000000000002</v>
      </c>
      <c r="P93" s="211">
        <f t="shared" si="22"/>
        <v>-0.22081015336404031</v>
      </c>
      <c r="R93" s="275"/>
      <c r="S93" s="275"/>
    </row>
    <row r="94" spans="1:19" ht="14.1" customHeight="1" x14ac:dyDescent="0.25">
      <c r="A94" s="39" t="s">
        <v>561</v>
      </c>
      <c r="B94" s="40" t="s">
        <v>562</v>
      </c>
      <c r="C94" s="199">
        <v>27281948.489999998</v>
      </c>
      <c r="D94" s="205">
        <v>30124184.039999999</v>
      </c>
      <c r="E94" s="32">
        <v>12182434.49</v>
      </c>
      <c r="F94" s="280">
        <f t="shared" si="18"/>
        <v>0.4044071193371982</v>
      </c>
      <c r="G94" s="32">
        <v>11185463.369999999</v>
      </c>
      <c r="H94" s="280">
        <f t="shared" si="19"/>
        <v>0.37131174590978233</v>
      </c>
      <c r="I94" s="32">
        <v>6076578.9100000001</v>
      </c>
      <c r="J94" s="178">
        <f t="shared" si="20"/>
        <v>0.20171762667268581</v>
      </c>
      <c r="K94" s="616">
        <v>12925232.550000001</v>
      </c>
      <c r="L94" s="280">
        <v>0.61329999999999996</v>
      </c>
      <c r="M94" s="211">
        <f t="shared" si="21"/>
        <v>-0.13460254376622427</v>
      </c>
      <c r="N94" s="616">
        <v>7599205.4699999997</v>
      </c>
      <c r="O94" s="280">
        <v>0.36059999999999998</v>
      </c>
      <c r="P94" s="211">
        <f t="shared" si="22"/>
        <v>-0.20036654700428824</v>
      </c>
      <c r="R94" s="275"/>
      <c r="S94" s="275"/>
    </row>
    <row r="95" spans="1:19" ht="14.1" customHeight="1" x14ac:dyDescent="0.25">
      <c r="A95" s="39" t="s">
        <v>563</v>
      </c>
      <c r="B95" s="40" t="s">
        <v>564</v>
      </c>
      <c r="C95" s="199">
        <v>10111588.699999999</v>
      </c>
      <c r="D95" s="205">
        <v>10362571.67</v>
      </c>
      <c r="E95" s="32">
        <v>3736929.49</v>
      </c>
      <c r="F95" s="280">
        <f t="shared" si="18"/>
        <v>0.36061796328208173</v>
      </c>
      <c r="G95" s="32">
        <v>3645231.48</v>
      </c>
      <c r="H95" s="280">
        <f t="shared" si="19"/>
        <v>0.35176900059982891</v>
      </c>
      <c r="I95" s="32">
        <v>3179414.69</v>
      </c>
      <c r="J95" s="178">
        <f t="shared" si="20"/>
        <v>0.30681714841157764</v>
      </c>
      <c r="K95" s="616">
        <v>4348190.67</v>
      </c>
      <c r="L95" s="280">
        <v>0.40849999999999997</v>
      </c>
      <c r="M95" s="211">
        <f t="shared" si="21"/>
        <v>-0.16166705725441433</v>
      </c>
      <c r="N95" s="616">
        <v>4055522.9</v>
      </c>
      <c r="O95" s="280">
        <v>0.38100000000000001</v>
      </c>
      <c r="P95" s="211">
        <f t="shared" si="22"/>
        <v>-0.21602842139049439</v>
      </c>
      <c r="R95" s="275"/>
      <c r="S95" s="275"/>
    </row>
    <row r="96" spans="1:19" ht="14.1" customHeight="1" x14ac:dyDescent="0.25">
      <c r="A96" s="39" t="s">
        <v>565</v>
      </c>
      <c r="B96" s="40" t="s">
        <v>566</v>
      </c>
      <c r="C96" s="199">
        <v>21055570.43</v>
      </c>
      <c r="D96" s="205">
        <v>36379980.840000004</v>
      </c>
      <c r="E96" s="32">
        <v>9333922.1099999994</v>
      </c>
      <c r="F96" s="280">
        <f t="shared" si="18"/>
        <v>0.25656753781841735</v>
      </c>
      <c r="G96" s="32">
        <v>9333922.1099999994</v>
      </c>
      <c r="H96" s="280">
        <f t="shared" si="19"/>
        <v>0.25656753781841735</v>
      </c>
      <c r="I96" s="32">
        <v>2656769.6</v>
      </c>
      <c r="J96" s="178">
        <f t="shared" si="20"/>
        <v>7.3028339725755606E-2</v>
      </c>
      <c r="K96" s="616">
        <v>4639463.0999999996</v>
      </c>
      <c r="L96" s="280">
        <v>0.26290000000000002</v>
      </c>
      <c r="M96" s="211">
        <f t="shared" si="21"/>
        <v>1.0118539384438687</v>
      </c>
      <c r="N96" s="616">
        <v>4639463.0999999996</v>
      </c>
      <c r="O96" s="280">
        <v>0.26290000000000002</v>
      </c>
      <c r="P96" s="211">
        <f t="shared" si="22"/>
        <v>-0.42735408327743785</v>
      </c>
      <c r="R96" s="276"/>
    </row>
    <row r="97" spans="1:19" ht="14.1" customHeight="1" x14ac:dyDescent="0.25">
      <c r="A97" s="39" t="s">
        <v>567</v>
      </c>
      <c r="B97" s="40" t="s">
        <v>568</v>
      </c>
      <c r="C97" s="199">
        <v>173426660.56</v>
      </c>
      <c r="D97" s="205">
        <v>192788384.21000001</v>
      </c>
      <c r="E97" s="32">
        <v>84288028.060000002</v>
      </c>
      <c r="F97" s="280">
        <f t="shared" si="18"/>
        <v>0.43720490944198676</v>
      </c>
      <c r="G97" s="32">
        <v>82338268.060000002</v>
      </c>
      <c r="H97" s="280">
        <f t="shared" si="19"/>
        <v>0.42709143705624297</v>
      </c>
      <c r="I97" s="32">
        <v>48955555.649999999</v>
      </c>
      <c r="J97" s="178">
        <f t="shared" si="20"/>
        <v>0.25393415609870884</v>
      </c>
      <c r="K97" s="616">
        <v>64839379.520000003</v>
      </c>
      <c r="L97" s="280">
        <v>0.34749999999999998</v>
      </c>
      <c r="M97" s="211">
        <f t="shared" si="21"/>
        <v>0.26988056748140821</v>
      </c>
      <c r="N97" s="616">
        <v>46811291.920000002</v>
      </c>
      <c r="O97" s="280">
        <v>0.25090000000000001</v>
      </c>
      <c r="P97" s="211">
        <f t="shared" si="22"/>
        <v>4.5806548848609463E-2</v>
      </c>
      <c r="R97" s="275"/>
      <c r="S97" s="275"/>
    </row>
    <row r="98" spans="1:19" ht="14.1" customHeight="1" x14ac:dyDescent="0.25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725606.14</v>
      </c>
      <c r="F98" s="280">
        <f t="shared" si="18"/>
        <v>0.86683503942650419</v>
      </c>
      <c r="G98" s="32">
        <v>195286.15</v>
      </c>
      <c r="H98" s="280">
        <f t="shared" si="19"/>
        <v>0.23329581739027208</v>
      </c>
      <c r="I98" s="32">
        <v>42864.11</v>
      </c>
      <c r="J98" s="178">
        <f t="shared" si="20"/>
        <v>5.1206998443855518E-2</v>
      </c>
      <c r="K98" s="616">
        <v>499607.66</v>
      </c>
      <c r="L98" s="280">
        <v>0.29420000000000002</v>
      </c>
      <c r="M98" s="211">
        <f t="shared" si="21"/>
        <v>-0.60912098505455259</v>
      </c>
      <c r="N98" s="616">
        <v>373219.59</v>
      </c>
      <c r="O98" s="280">
        <v>0.2198</v>
      </c>
      <c r="P98" s="211">
        <f t="shared" si="22"/>
        <v>-0.88515042846491521</v>
      </c>
    </row>
    <row r="99" spans="1:19" ht="14.1" customHeight="1" x14ac:dyDescent="0.25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103150</v>
      </c>
      <c r="F99" s="280">
        <f t="shared" si="18"/>
        <v>0.29929687142064226</v>
      </c>
      <c r="G99" s="32">
        <v>25408.79</v>
      </c>
      <c r="H99" s="280">
        <f t="shared" si="19"/>
        <v>7.3725364552439179E-2</v>
      </c>
      <c r="I99" s="32">
        <v>7258.79</v>
      </c>
      <c r="J99" s="178">
        <f t="shared" si="20"/>
        <v>2.1061882087246183E-2</v>
      </c>
      <c r="K99" s="616">
        <v>192331.77</v>
      </c>
      <c r="L99" s="280">
        <v>0.4672</v>
      </c>
      <c r="M99" s="211">
        <f t="shared" si="21"/>
        <v>-0.86789083259619559</v>
      </c>
      <c r="N99" s="616">
        <v>93039.17</v>
      </c>
      <c r="O99" s="280">
        <v>0.22600000000000001</v>
      </c>
      <c r="P99" s="211">
        <f t="shared" si="22"/>
        <v>-0.92198135473478537</v>
      </c>
    </row>
    <row r="100" spans="1:19" ht="14.1" customHeight="1" x14ac:dyDescent="0.25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6802716.75</v>
      </c>
      <c r="F100" s="280">
        <f t="shared" si="18"/>
        <v>0.84947694142121732</v>
      </c>
      <c r="G100" s="32">
        <v>6802716.75</v>
      </c>
      <c r="H100" s="280">
        <f t="shared" si="19"/>
        <v>0.84947694142121732</v>
      </c>
      <c r="I100" s="32">
        <v>826844.7</v>
      </c>
      <c r="J100" s="178">
        <f t="shared" si="20"/>
        <v>0.10325073534574904</v>
      </c>
      <c r="K100" s="616">
        <v>6750981.71</v>
      </c>
      <c r="L100" s="280">
        <v>0.85960000000000003</v>
      </c>
      <c r="M100" s="211">
        <f t="shared" si="21"/>
        <v>7.6633358261608553E-3</v>
      </c>
      <c r="N100" s="616">
        <v>920191.71</v>
      </c>
      <c r="O100" s="280">
        <v>0.1172</v>
      </c>
      <c r="P100" s="211">
        <f t="shared" si="22"/>
        <v>-0.10144300256736716</v>
      </c>
    </row>
    <row r="101" spans="1:19" ht="14.1" customHeight="1" x14ac:dyDescent="0.25">
      <c r="A101" s="39">
        <v>1521</v>
      </c>
      <c r="B101" s="40" t="s">
        <v>575</v>
      </c>
      <c r="C101" s="199">
        <v>32800946.870000001</v>
      </c>
      <c r="D101" s="205">
        <v>31671821.870000001</v>
      </c>
      <c r="E101" s="32">
        <v>16155197.810000001</v>
      </c>
      <c r="F101" s="280">
        <f t="shared" si="18"/>
        <v>0.51008110225899039</v>
      </c>
      <c r="G101" s="32">
        <v>16155197.810000001</v>
      </c>
      <c r="H101" s="280">
        <f t="shared" si="19"/>
        <v>0.51008110225899039</v>
      </c>
      <c r="I101" s="32">
        <v>3554887.06</v>
      </c>
      <c r="J101" s="178">
        <f t="shared" si="20"/>
        <v>0.11224131894247737</v>
      </c>
      <c r="K101" s="616">
        <v>8841268</v>
      </c>
      <c r="L101" s="280">
        <v>0.69320000000000004</v>
      </c>
      <c r="M101" s="211">
        <f t="shared" si="21"/>
        <v>0.82724896587231611</v>
      </c>
      <c r="N101" s="616">
        <v>7270000</v>
      </c>
      <c r="O101" s="280">
        <v>0.56999999999999995</v>
      </c>
      <c r="P101" s="211">
        <f t="shared" si="22"/>
        <v>-0.51101966162310863</v>
      </c>
    </row>
    <row r="102" spans="1:19" ht="14.1" customHeight="1" x14ac:dyDescent="0.25">
      <c r="A102" s="39" t="s">
        <v>576</v>
      </c>
      <c r="B102" s="40" t="s">
        <v>577</v>
      </c>
      <c r="C102" s="199">
        <v>17147962.52</v>
      </c>
      <c r="D102" s="205">
        <v>23981295.850000001</v>
      </c>
      <c r="E102" s="32">
        <v>23900119.239999998</v>
      </c>
      <c r="F102" s="280">
        <f t="shared" si="18"/>
        <v>0.99661500318799479</v>
      </c>
      <c r="G102" s="32">
        <v>23818260.23</v>
      </c>
      <c r="H102" s="280">
        <f t="shared" si="19"/>
        <v>0.99320155086615136</v>
      </c>
      <c r="I102" s="32">
        <v>4306975.55</v>
      </c>
      <c r="J102" s="178">
        <f t="shared" si="20"/>
        <v>0.17959728185414131</v>
      </c>
      <c r="K102" s="614">
        <v>10488071.41</v>
      </c>
      <c r="L102" s="280">
        <v>0.63700000000000001</v>
      </c>
      <c r="M102" s="211">
        <f t="shared" si="21"/>
        <v>1.2709857035574856</v>
      </c>
      <c r="N102" s="614">
        <v>2295877.7400000002</v>
      </c>
      <c r="O102" s="280">
        <v>0.1394</v>
      </c>
      <c r="P102" s="211">
        <f t="shared" si="22"/>
        <v>0.87596032443783334</v>
      </c>
    </row>
    <row r="103" spans="1:19" ht="14.1" customHeight="1" x14ac:dyDescent="0.25">
      <c r="A103" s="39" t="s">
        <v>578</v>
      </c>
      <c r="B103" s="40" t="s">
        <v>579</v>
      </c>
      <c r="C103" s="199">
        <v>8492360.5399999991</v>
      </c>
      <c r="D103" s="205">
        <v>8528918.5</v>
      </c>
      <c r="E103" s="32">
        <v>7398794.9400000004</v>
      </c>
      <c r="F103" s="280">
        <f t="shared" si="18"/>
        <v>0.86749509213858711</v>
      </c>
      <c r="G103" s="32">
        <v>7326839.5300000003</v>
      </c>
      <c r="H103" s="280">
        <f t="shared" si="19"/>
        <v>0.85905845272176073</v>
      </c>
      <c r="I103" s="32">
        <v>489881.05</v>
      </c>
      <c r="J103" s="178">
        <f t="shared" si="20"/>
        <v>5.7437651678814844E-2</v>
      </c>
      <c r="K103" s="616">
        <v>7219305.3399999999</v>
      </c>
      <c r="L103" s="280">
        <v>0.88780000000000003</v>
      </c>
      <c r="M103" s="211">
        <f t="shared" si="21"/>
        <v>1.4895365265157334E-2</v>
      </c>
      <c r="N103" s="616">
        <v>1740164.66</v>
      </c>
      <c r="O103" s="280">
        <v>0.214</v>
      </c>
      <c r="P103" s="211">
        <f t="shared" si="22"/>
        <v>-0.71848580696955422</v>
      </c>
    </row>
    <row r="104" spans="1:19" ht="14.1" customHeight="1" x14ac:dyDescent="0.25">
      <c r="A104" s="39" t="s">
        <v>580</v>
      </c>
      <c r="B104" s="40" t="s">
        <v>581</v>
      </c>
      <c r="C104" s="199">
        <v>78451100.349999994</v>
      </c>
      <c r="D104" s="205">
        <v>51935917.140000001</v>
      </c>
      <c r="E104" s="32">
        <v>9678661.8900000006</v>
      </c>
      <c r="F104" s="280">
        <f t="shared" si="18"/>
        <v>0.18635777363688238</v>
      </c>
      <c r="G104" s="32">
        <v>8632665.9499999993</v>
      </c>
      <c r="H104" s="280">
        <f t="shared" si="19"/>
        <v>0.1662176471579298</v>
      </c>
      <c r="I104" s="32">
        <v>1445083.04</v>
      </c>
      <c r="J104" s="178">
        <f t="shared" si="20"/>
        <v>2.7824348150136471E-2</v>
      </c>
      <c r="K104" s="616">
        <v>5028431.67</v>
      </c>
      <c r="L104" s="280">
        <v>0.68230000000000002</v>
      </c>
      <c r="M104" s="211">
        <f t="shared" si="21"/>
        <v>0.71677105637193628</v>
      </c>
      <c r="N104" s="616">
        <v>1232980.05</v>
      </c>
      <c r="O104" s="280">
        <v>0.1673</v>
      </c>
      <c r="P104" s="211">
        <f t="shared" si="22"/>
        <v>0.17202467306750013</v>
      </c>
    </row>
    <row r="105" spans="1:19" ht="14.1" customHeight="1" x14ac:dyDescent="0.25">
      <c r="A105" s="39" t="s">
        <v>582</v>
      </c>
      <c r="B105" s="40" t="s">
        <v>583</v>
      </c>
      <c r="C105" s="199">
        <v>21790501.289999999</v>
      </c>
      <c r="D105" s="205">
        <v>22846206.890000001</v>
      </c>
      <c r="E105" s="32">
        <v>15723593.43</v>
      </c>
      <c r="F105" s="280">
        <f t="shared" si="18"/>
        <v>0.68823649832578393</v>
      </c>
      <c r="G105" s="32">
        <v>15220554.550000001</v>
      </c>
      <c r="H105" s="280">
        <f t="shared" si="19"/>
        <v>0.66621801261294633</v>
      </c>
      <c r="I105" s="32">
        <v>3029520.42</v>
      </c>
      <c r="J105" s="178">
        <f t="shared" si="20"/>
        <v>0.13260496302894156</v>
      </c>
      <c r="K105" s="616">
        <v>10213663.220000001</v>
      </c>
      <c r="L105" s="280">
        <v>0.45760000000000001</v>
      </c>
      <c r="M105" s="211">
        <f t="shared" si="21"/>
        <v>0.49021504059343757</v>
      </c>
      <c r="N105" s="616">
        <v>3865586.18</v>
      </c>
      <c r="O105" s="280">
        <v>0.17319999999999999</v>
      </c>
      <c r="P105" s="211">
        <f t="shared" si="22"/>
        <v>-0.21628434112417072</v>
      </c>
    </row>
    <row r="106" spans="1:19" ht="14.1" customHeight="1" x14ac:dyDescent="0.25">
      <c r="A106" s="39" t="s">
        <v>584</v>
      </c>
      <c r="B106" s="40" t="s">
        <v>585</v>
      </c>
      <c r="C106" s="199">
        <v>672247.24</v>
      </c>
      <c r="D106" s="205">
        <v>1530745.68</v>
      </c>
      <c r="E106" s="32">
        <v>246756.15</v>
      </c>
      <c r="F106" s="280">
        <f t="shared" si="18"/>
        <v>0.16119996497393349</v>
      </c>
      <c r="G106" s="32">
        <v>156983.44</v>
      </c>
      <c r="H106" s="280">
        <f t="shared" si="19"/>
        <v>0.10255357375890162</v>
      </c>
      <c r="I106" s="32">
        <v>144006.84</v>
      </c>
      <c r="J106" s="178">
        <f t="shared" si="20"/>
        <v>9.4076267456786156E-2</v>
      </c>
      <c r="K106" s="616">
        <v>418561.17</v>
      </c>
      <c r="L106" s="280">
        <v>0.19020000000000001</v>
      </c>
      <c r="M106" s="211">
        <f t="shared" si="21"/>
        <v>-0.62494504686137031</v>
      </c>
      <c r="N106" s="616">
        <v>116537.62</v>
      </c>
      <c r="O106" s="280">
        <v>5.2999999999999999E-2</v>
      </c>
      <c r="P106" s="211">
        <f t="shared" si="22"/>
        <v>0.23571118064707353</v>
      </c>
    </row>
    <row r="107" spans="1:19" ht="14.1" customHeight="1" x14ac:dyDescent="0.25">
      <c r="A107" s="39">
        <v>1536</v>
      </c>
      <c r="B107" s="40" t="s">
        <v>770</v>
      </c>
      <c r="C107" s="199">
        <v>19631487</v>
      </c>
      <c r="D107" s="205">
        <v>19192454.82</v>
      </c>
      <c r="E107" s="32">
        <v>3752291.03</v>
      </c>
      <c r="F107" s="280">
        <f t="shared" si="18"/>
        <v>0.19550865510387064</v>
      </c>
      <c r="G107" s="32">
        <v>3752291.03</v>
      </c>
      <c r="H107" s="280">
        <f t="shared" si="19"/>
        <v>0.19550865510387064</v>
      </c>
      <c r="I107" s="32">
        <v>675506.8</v>
      </c>
      <c r="J107" s="178">
        <f t="shared" si="20"/>
        <v>3.5196477278981037E-2</v>
      </c>
      <c r="K107" s="715">
        <v>0</v>
      </c>
      <c r="L107" s="280">
        <v>0</v>
      </c>
      <c r="M107" s="211" t="s">
        <v>129</v>
      </c>
      <c r="N107" s="616">
        <v>0</v>
      </c>
      <c r="O107" s="280">
        <v>0</v>
      </c>
      <c r="P107" s="211" t="s">
        <v>129</v>
      </c>
    </row>
    <row r="108" spans="1:19" ht="14.1" customHeight="1" x14ac:dyDescent="0.25">
      <c r="A108" s="39">
        <v>1601</v>
      </c>
      <c r="B108" s="40" t="s">
        <v>586</v>
      </c>
      <c r="C108" s="199">
        <v>18375699.07</v>
      </c>
      <c r="D108" s="205">
        <v>18901940.690000001</v>
      </c>
      <c r="E108" s="32">
        <v>18220117.760000002</v>
      </c>
      <c r="F108" s="280">
        <f t="shared" si="18"/>
        <v>0.96392841660112094</v>
      </c>
      <c r="G108" s="32">
        <v>18220117.760000002</v>
      </c>
      <c r="H108" s="280">
        <f t="shared" si="19"/>
        <v>0.96392841660112094</v>
      </c>
      <c r="I108" s="32">
        <v>4695959.72</v>
      </c>
      <c r="J108" s="178">
        <f t="shared" si="20"/>
        <v>0.2484379671387065</v>
      </c>
      <c r="K108" s="616">
        <v>19349633.260000002</v>
      </c>
      <c r="L108" s="280">
        <v>0.87529999999999997</v>
      </c>
      <c r="M108" s="211">
        <f t="shared" si="21"/>
        <v>-5.8374000417618199E-2</v>
      </c>
      <c r="N108" s="616">
        <v>6158767.1799999997</v>
      </c>
      <c r="O108" s="280">
        <v>0.27860000000000001</v>
      </c>
      <c r="P108" s="211">
        <f t="shared" si="22"/>
        <v>-0.2375162783795961</v>
      </c>
    </row>
    <row r="109" spans="1:19" ht="14.1" customHeight="1" x14ac:dyDescent="0.25">
      <c r="A109" s="39" t="s">
        <v>587</v>
      </c>
      <c r="B109" s="40" t="s">
        <v>588</v>
      </c>
      <c r="C109" s="199">
        <v>8493454.4900000002</v>
      </c>
      <c r="D109" s="205">
        <v>8980601.0199999996</v>
      </c>
      <c r="E109" s="32">
        <v>6341788.7300000004</v>
      </c>
      <c r="F109" s="280">
        <f t="shared" si="18"/>
        <v>0.70616529070567713</v>
      </c>
      <c r="G109" s="32">
        <v>6341788.7300000004</v>
      </c>
      <c r="H109" s="280">
        <f t="shared" si="19"/>
        <v>0.70616529070567713</v>
      </c>
      <c r="I109" s="32">
        <v>1166025.6599999999</v>
      </c>
      <c r="J109" s="178">
        <f t="shared" si="20"/>
        <v>0.12983826554628522</v>
      </c>
      <c r="K109" s="616">
        <v>6140658.3200000003</v>
      </c>
      <c r="L109" s="280">
        <v>0.99580000000000002</v>
      </c>
      <c r="M109" s="211">
        <f t="shared" si="21"/>
        <v>3.2753883951647689E-2</v>
      </c>
      <c r="N109" s="616">
        <v>879427.06</v>
      </c>
      <c r="O109" s="280">
        <v>0.1426</v>
      </c>
      <c r="P109" s="211">
        <f t="shared" si="22"/>
        <v>0.32589240544861098</v>
      </c>
    </row>
    <row r="110" spans="1:19" ht="14.1" customHeight="1" x14ac:dyDescent="0.25">
      <c r="A110" s="39" t="s">
        <v>589</v>
      </c>
      <c r="B110" s="40" t="s">
        <v>590</v>
      </c>
      <c r="C110" s="199">
        <v>98538647.590000004</v>
      </c>
      <c r="D110" s="205">
        <v>94721202.489999995</v>
      </c>
      <c r="E110" s="32">
        <v>87650000</v>
      </c>
      <c r="F110" s="280">
        <f t="shared" si="18"/>
        <v>0.92534720522845426</v>
      </c>
      <c r="G110" s="32">
        <v>87650000</v>
      </c>
      <c r="H110" s="280">
        <f t="shared" si="19"/>
        <v>0.92534720522845426</v>
      </c>
      <c r="I110" s="32">
        <v>10726785.029999999</v>
      </c>
      <c r="J110" s="178">
        <f t="shared" si="20"/>
        <v>0.11324587049169334</v>
      </c>
      <c r="K110" s="616">
        <v>85241375.739999995</v>
      </c>
      <c r="L110" s="280">
        <v>1</v>
      </c>
      <c r="M110" s="211">
        <f t="shared" si="21"/>
        <v>2.8256515560550088E-2</v>
      </c>
      <c r="N110" s="616">
        <v>11714128.859999999</v>
      </c>
      <c r="O110" s="280">
        <v>0.13739999999999999</v>
      </c>
      <c r="P110" s="211">
        <f t="shared" si="22"/>
        <v>-8.4286577499711801E-2</v>
      </c>
    </row>
    <row r="111" spans="1:19" ht="14.1" customHeight="1" x14ac:dyDescent="0.25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si="18"/>
        <v>0.99132646664210755</v>
      </c>
      <c r="G111" s="32">
        <v>4767846.51</v>
      </c>
      <c r="H111" s="280">
        <f t="shared" si="19"/>
        <v>0.99132646664210755</v>
      </c>
      <c r="I111" s="32">
        <v>130588.79</v>
      </c>
      <c r="J111" s="178">
        <f t="shared" si="20"/>
        <v>2.7151906736563168E-2</v>
      </c>
      <c r="K111" s="616">
        <v>4199919.66</v>
      </c>
      <c r="L111" s="280">
        <v>0.93799999999999994</v>
      </c>
      <c r="M111" s="211">
        <f t="shared" si="21"/>
        <v>0.13522326519931571</v>
      </c>
      <c r="N111" s="616">
        <v>0</v>
      </c>
      <c r="O111" s="280">
        <v>0</v>
      </c>
      <c r="P111" s="211" t="e">
        <f t="shared" si="22"/>
        <v>#DIV/0!</v>
      </c>
    </row>
    <row r="112" spans="1:19" ht="14.1" customHeight="1" x14ac:dyDescent="0.25">
      <c r="A112" s="39" t="s">
        <v>593</v>
      </c>
      <c r="B112" s="40" t="s">
        <v>594</v>
      </c>
      <c r="C112" s="199">
        <v>5470927.3399999999</v>
      </c>
      <c r="D112" s="205">
        <v>3069971.49</v>
      </c>
      <c r="E112" s="32">
        <v>531456.93000000005</v>
      </c>
      <c r="F112" s="280">
        <f t="shared" si="18"/>
        <v>0.17311461416861562</v>
      </c>
      <c r="G112" s="32">
        <v>531456.93000000005</v>
      </c>
      <c r="H112" s="280">
        <f t="shared" si="19"/>
        <v>0.17311461416861562</v>
      </c>
      <c r="I112" s="32">
        <v>531456.93000000005</v>
      </c>
      <c r="J112" s="178">
        <f t="shared" si="20"/>
        <v>0.17311461416861562</v>
      </c>
      <c r="K112" s="616">
        <v>3900088.5</v>
      </c>
      <c r="L112" s="280">
        <v>6.93E-2</v>
      </c>
      <c r="M112" s="211">
        <f t="shared" si="21"/>
        <v>-0.86373208454115846</v>
      </c>
      <c r="N112" s="616">
        <v>3900088.5</v>
      </c>
      <c r="O112" s="280">
        <v>6.93E-2</v>
      </c>
      <c r="P112" s="211">
        <f t="shared" si="22"/>
        <v>-0.86373208454115846</v>
      </c>
    </row>
    <row r="113" spans="1:18" ht="14.1" customHeight="1" x14ac:dyDescent="0.25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173802254.97</v>
      </c>
      <c r="F113" s="280">
        <f t="shared" si="18"/>
        <v>0.99579992316845523</v>
      </c>
      <c r="G113" s="32">
        <v>173774130.75</v>
      </c>
      <c r="H113" s="280">
        <f t="shared" si="19"/>
        <v>0.99563878546561002</v>
      </c>
      <c r="I113" s="32">
        <v>29453649.850000001</v>
      </c>
      <c r="J113" s="178">
        <f t="shared" si="20"/>
        <v>0.16875467043119333</v>
      </c>
      <c r="K113" s="616">
        <v>174592933.40000001</v>
      </c>
      <c r="L113" s="280">
        <v>0.9869</v>
      </c>
      <c r="M113" s="211">
        <f t="shared" si="21"/>
        <v>-4.6897811615553842E-3</v>
      </c>
      <c r="N113" s="616">
        <v>28063724.890000001</v>
      </c>
      <c r="O113" s="280">
        <v>0.15859999999999999</v>
      </c>
      <c r="P113" s="211">
        <f t="shared" si="22"/>
        <v>4.9527458149195125E-2</v>
      </c>
      <c r="R113"/>
    </row>
    <row r="114" spans="1:18" ht="14.1" customHeight="1" x14ac:dyDescent="0.25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6">
        <v>0</v>
      </c>
      <c r="L114" s="280">
        <v>0</v>
      </c>
      <c r="M114" s="211" t="s">
        <v>129</v>
      </c>
      <c r="N114" s="616">
        <v>0</v>
      </c>
      <c r="O114" s="280">
        <v>0</v>
      </c>
      <c r="P114" s="211" t="s">
        <v>129</v>
      </c>
      <c r="R114"/>
    </row>
    <row r="115" spans="1:18" ht="14.1" customHeight="1" x14ac:dyDescent="0.25">
      <c r="A115" s="39" t="s">
        <v>598</v>
      </c>
      <c r="B115" s="40" t="s">
        <v>599</v>
      </c>
      <c r="C115" s="199">
        <v>31920925.68</v>
      </c>
      <c r="D115" s="205">
        <v>31749630.02</v>
      </c>
      <c r="E115" s="32">
        <v>26389520.84</v>
      </c>
      <c r="F115" s="280">
        <f t="shared" si="18"/>
        <v>0.83117569632705912</v>
      </c>
      <c r="G115" s="32">
        <v>26389022.27</v>
      </c>
      <c r="H115" s="280">
        <f t="shared" si="19"/>
        <v>0.83115999315194544</v>
      </c>
      <c r="I115" s="32">
        <v>3425299.61</v>
      </c>
      <c r="J115" s="178">
        <f t="shared" si="20"/>
        <v>0.10788470945463949</v>
      </c>
      <c r="K115" s="616">
        <v>22027651.609999999</v>
      </c>
      <c r="L115" s="280">
        <v>0.71599999999999997</v>
      </c>
      <c r="M115" s="211">
        <f t="shared" si="21"/>
        <v>0.19799526237377241</v>
      </c>
      <c r="N115" s="616">
        <v>3633060.99</v>
      </c>
      <c r="O115" s="280">
        <v>0.1181</v>
      </c>
      <c r="P115" s="211">
        <f t="shared" si="22"/>
        <v>-5.7186317700656186E-2</v>
      </c>
      <c r="R115"/>
    </row>
    <row r="116" spans="1:18" ht="14.1" customHeight="1" x14ac:dyDescent="0.25">
      <c r="A116" s="39" t="s">
        <v>600</v>
      </c>
      <c r="B116" s="40" t="s">
        <v>601</v>
      </c>
      <c r="C116" s="199">
        <v>2348598.2599999998</v>
      </c>
      <c r="D116" s="205">
        <v>2406840.9</v>
      </c>
      <c r="E116" s="32">
        <v>2226972.7999999998</v>
      </c>
      <c r="F116" s="280">
        <f t="shared" si="18"/>
        <v>0.92526797263583138</v>
      </c>
      <c r="G116" s="32">
        <v>1521532.92</v>
      </c>
      <c r="H116" s="280">
        <f t="shared" si="19"/>
        <v>0.6321701280711991</v>
      </c>
      <c r="I116" s="32">
        <v>521226.4</v>
      </c>
      <c r="J116" s="178">
        <f t="shared" si="20"/>
        <v>0.21656038834972435</v>
      </c>
      <c r="K116" s="616">
        <v>984958.1</v>
      </c>
      <c r="L116" s="280">
        <v>0.49769999999999998</v>
      </c>
      <c r="M116" s="211">
        <f t="shared" si="21"/>
        <v>0.54476918358253013</v>
      </c>
      <c r="N116" s="616">
        <v>285465.62</v>
      </c>
      <c r="O116" s="280">
        <v>0.14419999999999999</v>
      </c>
      <c r="P116" s="211">
        <f t="shared" si="22"/>
        <v>0.82588151946283417</v>
      </c>
    </row>
    <row r="117" spans="1:18" ht="14.1" customHeight="1" x14ac:dyDescent="0.25">
      <c r="A117" s="39" t="s">
        <v>602</v>
      </c>
      <c r="B117" s="40" t="s">
        <v>603</v>
      </c>
      <c r="C117" s="199">
        <v>56423741.060000002</v>
      </c>
      <c r="D117" s="205">
        <v>51217947.130000003</v>
      </c>
      <c r="E117" s="32">
        <v>48748731.82</v>
      </c>
      <c r="F117" s="280">
        <f t="shared" si="18"/>
        <v>0.95179003750906477</v>
      </c>
      <c r="G117" s="32">
        <v>48748731.82</v>
      </c>
      <c r="H117" s="280">
        <f t="shared" si="19"/>
        <v>0.95179003750906477</v>
      </c>
      <c r="I117" s="32">
        <v>10500000</v>
      </c>
      <c r="J117" s="178">
        <f t="shared" si="20"/>
        <v>0.20500626417824175</v>
      </c>
      <c r="K117" s="616">
        <v>48152759.93</v>
      </c>
      <c r="L117" s="280">
        <v>0.94950000000000001</v>
      </c>
      <c r="M117" s="211">
        <f t="shared" si="21"/>
        <v>1.2376692236672815E-2</v>
      </c>
      <c r="N117" s="616">
        <v>10628886.93</v>
      </c>
      <c r="O117" s="280">
        <v>0.20960000000000001</v>
      </c>
      <c r="P117" s="211">
        <f t="shared" si="22"/>
        <v>-1.2126098513308703E-2</v>
      </c>
      <c r="R117"/>
    </row>
    <row r="118" spans="1:18" ht="14.1" customHeight="1" x14ac:dyDescent="0.25">
      <c r="A118" s="41">
        <v>1721</v>
      </c>
      <c r="B118" s="42" t="s">
        <v>604</v>
      </c>
      <c r="C118" s="199">
        <v>13754086.91</v>
      </c>
      <c r="D118" s="205">
        <v>7308892.8499999996</v>
      </c>
      <c r="E118" s="32">
        <v>2140009.86</v>
      </c>
      <c r="F118" s="280">
        <f t="shared" ref="F118:F144" si="23">+E118/D118</f>
        <v>0.29279535271884577</v>
      </c>
      <c r="G118" s="32">
        <v>1332830.47</v>
      </c>
      <c r="H118" s="280">
        <f t="shared" ref="H118:H144" si="24">+G118/D118</f>
        <v>0.18235736894131646</v>
      </c>
      <c r="I118" s="32">
        <v>69556.11</v>
      </c>
      <c r="J118" s="178">
        <f t="shared" ref="J118:J144" si="25">+I118/D118</f>
        <v>9.5166410874391195E-3</v>
      </c>
      <c r="K118" s="580">
        <v>397501.67</v>
      </c>
      <c r="L118" s="390">
        <v>0.4849</v>
      </c>
      <c r="M118" s="211">
        <f t="shared" si="21"/>
        <v>2.3530185420353078</v>
      </c>
      <c r="N118" s="580">
        <v>118918.78</v>
      </c>
      <c r="O118" s="390">
        <v>0.14510000000000001</v>
      </c>
      <c r="P118" s="211">
        <f t="shared" si="22"/>
        <v>-0.41509566445266255</v>
      </c>
      <c r="R118"/>
    </row>
    <row r="119" spans="1:18" ht="14.1" customHeight="1" x14ac:dyDescent="0.25">
      <c r="A119" s="41" t="s">
        <v>605</v>
      </c>
      <c r="B119" s="42" t="s">
        <v>606</v>
      </c>
      <c r="C119" s="200">
        <v>2576457.23</v>
      </c>
      <c r="D119" s="206">
        <v>2944655.81</v>
      </c>
      <c r="E119" s="34">
        <v>2345413.85</v>
      </c>
      <c r="F119" s="280">
        <f t="shared" si="23"/>
        <v>0.79649847090278436</v>
      </c>
      <c r="G119" s="34">
        <v>2099957.94</v>
      </c>
      <c r="H119" s="280">
        <f t="shared" si="24"/>
        <v>0.71314207007439689</v>
      </c>
      <c r="I119" s="34">
        <v>206641.53</v>
      </c>
      <c r="J119" s="178">
        <f t="shared" si="25"/>
        <v>7.0175104777355959E-2</v>
      </c>
      <c r="K119" s="580">
        <v>760991.99</v>
      </c>
      <c r="L119" s="390">
        <v>0.59970000000000001</v>
      </c>
      <c r="M119" s="211">
        <f t="shared" si="21"/>
        <v>1.7595007143242074</v>
      </c>
      <c r="N119" s="580">
        <v>213539.71</v>
      </c>
      <c r="O119" s="390">
        <v>0.16830000000000001</v>
      </c>
      <c r="P119" s="211">
        <f t="shared" si="22"/>
        <v>-3.2303968194018817E-2</v>
      </c>
      <c r="R119"/>
    </row>
    <row r="120" spans="1:18" ht="14.1" customHeight="1" x14ac:dyDescent="0.25">
      <c r="A120" s="41" t="s">
        <v>607</v>
      </c>
      <c r="B120" s="42" t="s">
        <v>608</v>
      </c>
      <c r="C120" s="661">
        <v>3772412.45</v>
      </c>
      <c r="D120" s="397">
        <v>3779582.45</v>
      </c>
      <c r="E120" s="398">
        <v>2640518.81</v>
      </c>
      <c r="F120" s="412">
        <f t="shared" si="23"/>
        <v>0.69862712215736955</v>
      </c>
      <c r="G120" s="398">
        <v>2442988.48</v>
      </c>
      <c r="H120" s="412">
        <f t="shared" si="24"/>
        <v>0.64636464803142468</v>
      </c>
      <c r="I120" s="398">
        <v>935738.29</v>
      </c>
      <c r="J120" s="427">
        <f t="shared" si="25"/>
        <v>0.24757716027599821</v>
      </c>
      <c r="K120" s="664">
        <v>1894950.93</v>
      </c>
      <c r="L120" s="412">
        <v>0.74450000000000005</v>
      </c>
      <c r="M120" s="211">
        <f t="shared" si="21"/>
        <v>0.28920936227092708</v>
      </c>
      <c r="N120" s="664">
        <v>695548.28</v>
      </c>
      <c r="O120" s="412">
        <v>0.27329999999999999</v>
      </c>
      <c r="P120" s="211">
        <f t="shared" si="22"/>
        <v>0.34532471275753851</v>
      </c>
      <c r="R120"/>
    </row>
    <row r="121" spans="1:18" ht="14.1" customHeight="1" x14ac:dyDescent="0.25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1162636534.2200003</v>
      </c>
      <c r="E121" s="203">
        <f>SUBTOTAL(9,E87:E120)</f>
        <v>666310722.38999999</v>
      </c>
      <c r="F121" s="90">
        <f t="shared" si="23"/>
        <v>0.57310320360526112</v>
      </c>
      <c r="G121" s="203">
        <f>SUBTOTAL(9,G87:G120)</f>
        <v>656217288.93000007</v>
      </c>
      <c r="H121" s="90">
        <f t="shared" si="24"/>
        <v>0.56442169983093537</v>
      </c>
      <c r="I121" s="203">
        <f>SUBTOTAL(9,I87:I120)</f>
        <v>211867278.67000002</v>
      </c>
      <c r="J121" s="170">
        <f t="shared" si="25"/>
        <v>0.18223001981624409</v>
      </c>
      <c r="K121" s="568">
        <f>SUM(K87:K120)</f>
        <v>620770742.40999997</v>
      </c>
      <c r="L121" s="90">
        <v>0.58320000000000005</v>
      </c>
      <c r="M121" s="213">
        <f t="shared" ref="M121:M147" si="26">+G121/K121-1</f>
        <v>5.710086526047764E-2</v>
      </c>
      <c r="N121" s="568">
        <f>SUBTOTAL(9,N87:N120)</f>
        <v>242986586.13000008</v>
      </c>
      <c r="O121" s="90">
        <v>0.2283</v>
      </c>
      <c r="P121" s="213">
        <f t="shared" ref="P121:P147" si="27">+I121/N121-1</f>
        <v>-0.12807006327234438</v>
      </c>
      <c r="R121"/>
    </row>
    <row r="122" spans="1:18" ht="14.1" customHeight="1" x14ac:dyDescent="0.25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159056.17000000001</v>
      </c>
      <c r="F122" s="48">
        <f t="shared" si="23"/>
        <v>0.28385706037645503</v>
      </c>
      <c r="G122" s="30">
        <v>159056.17000000001</v>
      </c>
      <c r="H122" s="48">
        <f t="shared" si="24"/>
        <v>0.28385706037645503</v>
      </c>
      <c r="I122" s="30">
        <v>159056.17000000001</v>
      </c>
      <c r="J122" s="153">
        <f t="shared" si="25"/>
        <v>0.28385706037645503</v>
      </c>
      <c r="K122" s="615">
        <v>172743.47</v>
      </c>
      <c r="L122" s="48">
        <v>0.29070000000000001</v>
      </c>
      <c r="M122" s="210">
        <f t="shared" si="26"/>
        <v>-7.9234833015685013E-2</v>
      </c>
      <c r="N122" s="615">
        <v>172743.47</v>
      </c>
      <c r="O122" s="48">
        <v>0.29070000000000001</v>
      </c>
      <c r="P122" s="210">
        <f t="shared" si="27"/>
        <v>-7.9234833015685013E-2</v>
      </c>
      <c r="R122"/>
    </row>
    <row r="123" spans="1:18" ht="14.1" customHeight="1" x14ac:dyDescent="0.25">
      <c r="A123" s="39" t="s">
        <v>610</v>
      </c>
      <c r="B123" s="40" t="s">
        <v>611</v>
      </c>
      <c r="C123" s="199">
        <v>9281481.3800000008</v>
      </c>
      <c r="D123" s="205">
        <v>8885396.8399999999</v>
      </c>
      <c r="E123" s="32">
        <v>3988558.08</v>
      </c>
      <c r="F123" s="280">
        <f t="shared" si="23"/>
        <v>0.44888913256461827</v>
      </c>
      <c r="G123" s="32">
        <v>3254466.61</v>
      </c>
      <c r="H123" s="48">
        <f t="shared" si="24"/>
        <v>0.36627138535322862</v>
      </c>
      <c r="I123" s="32">
        <v>2375500.9300000002</v>
      </c>
      <c r="J123" s="178">
        <f t="shared" si="25"/>
        <v>0.26734888410453933</v>
      </c>
      <c r="K123" s="616">
        <v>3590438.84</v>
      </c>
      <c r="L123" s="280">
        <v>0.4214</v>
      </c>
      <c r="M123" s="211">
        <f t="shared" si="26"/>
        <v>-9.3574140925904215E-2</v>
      </c>
      <c r="N123" s="616">
        <v>2636725.35</v>
      </c>
      <c r="O123" s="280">
        <v>0.3095</v>
      </c>
      <c r="P123" s="211">
        <f t="shared" si="27"/>
        <v>-9.9071532042576904E-2</v>
      </c>
      <c r="R123"/>
    </row>
    <row r="124" spans="1:18" ht="14.1" customHeight="1" x14ac:dyDescent="0.25">
      <c r="A124" s="39" t="s">
        <v>612</v>
      </c>
      <c r="B124" s="40" t="s">
        <v>613</v>
      </c>
      <c r="C124" s="199">
        <v>9392699.8300000001</v>
      </c>
      <c r="D124" s="205">
        <v>9322787.6600000001</v>
      </c>
      <c r="E124" s="32">
        <v>3147394.5</v>
      </c>
      <c r="F124" s="280">
        <f t="shared" si="23"/>
        <v>0.33760229394734492</v>
      </c>
      <c r="G124" s="32">
        <v>3086567.33</v>
      </c>
      <c r="H124" s="48">
        <f t="shared" si="24"/>
        <v>0.33107772509322603</v>
      </c>
      <c r="I124" s="32">
        <v>3017556.86</v>
      </c>
      <c r="J124" s="178">
        <f t="shared" si="25"/>
        <v>0.32367538230512477</v>
      </c>
      <c r="K124" s="618">
        <v>4151098.96</v>
      </c>
      <c r="L124" s="280">
        <v>0.45150000000000001</v>
      </c>
      <c r="M124" s="211">
        <f t="shared" si="26"/>
        <v>-0.25644573648034641</v>
      </c>
      <c r="N124" s="618">
        <v>4124243.16</v>
      </c>
      <c r="O124" s="280">
        <v>0.4486</v>
      </c>
      <c r="P124" s="211">
        <f t="shared" si="27"/>
        <v>-0.26833682134299774</v>
      </c>
      <c r="R124"/>
    </row>
    <row r="125" spans="1:18" ht="14.1" customHeight="1" x14ac:dyDescent="0.25">
      <c r="A125" s="39" t="s">
        <v>614</v>
      </c>
      <c r="B125" s="40" t="s">
        <v>615</v>
      </c>
      <c r="C125" s="199">
        <v>8507680.8399999999</v>
      </c>
      <c r="D125" s="205">
        <v>8580897.2300000004</v>
      </c>
      <c r="E125" s="32">
        <v>3215215.16</v>
      </c>
      <c r="F125" s="280">
        <f t="shared" si="23"/>
        <v>0.37469451897864064</v>
      </c>
      <c r="G125" s="32">
        <v>2591145.21</v>
      </c>
      <c r="H125" s="48">
        <f t="shared" si="24"/>
        <v>0.30196669888330546</v>
      </c>
      <c r="I125" s="32">
        <v>1276592.69</v>
      </c>
      <c r="J125" s="178">
        <f t="shared" si="25"/>
        <v>0.14877146943758465</v>
      </c>
      <c r="K125" s="618">
        <v>1685068.86</v>
      </c>
      <c r="L125" s="280">
        <v>0.3337</v>
      </c>
      <c r="M125" s="211">
        <f t="shared" si="26"/>
        <v>0.53770879725354348</v>
      </c>
      <c r="N125" s="618">
        <v>992275.98</v>
      </c>
      <c r="O125" s="280">
        <v>0.19650000000000001</v>
      </c>
      <c r="P125" s="211">
        <f t="shared" si="27"/>
        <v>0.2865298724655212</v>
      </c>
      <c r="R125"/>
    </row>
    <row r="126" spans="1:18" ht="14.1" customHeight="1" x14ac:dyDescent="0.25">
      <c r="A126" s="39" t="s">
        <v>616</v>
      </c>
      <c r="B126" s="40" t="s">
        <v>618</v>
      </c>
      <c r="C126" s="199">
        <v>8498539.1999999993</v>
      </c>
      <c r="D126" s="205">
        <v>9068165.5500000007</v>
      </c>
      <c r="E126" s="32">
        <v>4455611.47</v>
      </c>
      <c r="F126" s="280">
        <f t="shared" si="23"/>
        <v>0.49134650723265627</v>
      </c>
      <c r="G126" s="32">
        <v>2966758.91</v>
      </c>
      <c r="H126" s="48">
        <f t="shared" si="24"/>
        <v>0.32716197048255252</v>
      </c>
      <c r="I126" s="32">
        <v>2114890.3199999998</v>
      </c>
      <c r="J126" s="178">
        <f t="shared" si="25"/>
        <v>0.2332214060648683</v>
      </c>
      <c r="K126" s="618">
        <v>4517356.87</v>
      </c>
      <c r="L126" s="280">
        <v>0.56579999999999997</v>
      </c>
      <c r="M126" s="211">
        <f t="shared" si="26"/>
        <v>-0.34325336798108663</v>
      </c>
      <c r="N126" s="618">
        <v>2594933.29</v>
      </c>
      <c r="O126" s="280">
        <v>0.32500000000000001</v>
      </c>
      <c r="P126" s="211">
        <f t="shared" si="27"/>
        <v>-0.18499241265658906</v>
      </c>
      <c r="R126"/>
    </row>
    <row r="127" spans="1:18" ht="14.1" customHeight="1" x14ac:dyDescent="0.25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269542.12</v>
      </c>
      <c r="F127" s="280">
        <f t="shared" si="23"/>
        <v>0.19758255387773052</v>
      </c>
      <c r="G127" s="32">
        <v>116542.12</v>
      </c>
      <c r="H127" s="48">
        <f t="shared" si="24"/>
        <v>8.5428910716903672E-2</v>
      </c>
      <c r="I127" s="32">
        <v>42230.27</v>
      </c>
      <c r="J127" s="178">
        <f t="shared" si="25"/>
        <v>3.0956069491276935E-2</v>
      </c>
      <c r="K127" s="618">
        <v>170584.89</v>
      </c>
      <c r="L127" s="280">
        <v>0.11550000000000001</v>
      </c>
      <c r="M127" s="211">
        <f t="shared" si="26"/>
        <v>-0.3168086575546053</v>
      </c>
      <c r="N127" s="618">
        <v>49629.01</v>
      </c>
      <c r="O127" s="280">
        <v>3.3599999999999998E-2</v>
      </c>
      <c r="P127" s="211">
        <f t="shared" si="27"/>
        <v>-0.14908095083903561</v>
      </c>
      <c r="R127"/>
    </row>
    <row r="128" spans="1:18" ht="14.1" customHeight="1" x14ac:dyDescent="0.25">
      <c r="A128" s="39" t="s">
        <v>620</v>
      </c>
      <c r="B128" s="40" t="s">
        <v>621</v>
      </c>
      <c r="C128" s="199">
        <v>33334210.969999999</v>
      </c>
      <c r="D128" s="205">
        <v>33633278.310000002</v>
      </c>
      <c r="E128" s="32">
        <v>29491923.620000001</v>
      </c>
      <c r="F128" s="280">
        <f t="shared" si="23"/>
        <v>0.87686734989587156</v>
      </c>
      <c r="G128" s="32">
        <v>24072828.59</v>
      </c>
      <c r="H128" s="48">
        <f t="shared" si="24"/>
        <v>0.71574434011811916</v>
      </c>
      <c r="I128" s="32">
        <v>4626712.42</v>
      </c>
      <c r="J128" s="178">
        <f t="shared" si="25"/>
        <v>0.1375635279247924</v>
      </c>
      <c r="K128" s="618">
        <v>24493682.390000001</v>
      </c>
      <c r="L128" s="280">
        <v>0.83479999999999999</v>
      </c>
      <c r="M128" s="211">
        <f t="shared" si="26"/>
        <v>-1.7182136736280329E-2</v>
      </c>
      <c r="N128" s="618">
        <v>6944842.7699999996</v>
      </c>
      <c r="O128" s="280">
        <v>0.23669999999999999</v>
      </c>
      <c r="P128" s="211">
        <f t="shared" si="27"/>
        <v>-0.33379162448626609</v>
      </c>
      <c r="R128"/>
    </row>
    <row r="129" spans="1:19" ht="14.1" customHeight="1" x14ac:dyDescent="0.25">
      <c r="A129" s="39" t="s">
        <v>622</v>
      </c>
      <c r="B129" s="40" t="s">
        <v>625</v>
      </c>
      <c r="C129" s="199">
        <v>36709256.140000001</v>
      </c>
      <c r="D129" s="205">
        <v>36871235.530000001</v>
      </c>
      <c r="E129" s="32">
        <v>29991242.800000001</v>
      </c>
      <c r="F129" s="280">
        <f t="shared" si="23"/>
        <v>0.81340487696968689</v>
      </c>
      <c r="G129" s="32">
        <v>29763242.800000001</v>
      </c>
      <c r="H129" s="48">
        <f t="shared" si="24"/>
        <v>0.80722119484668109</v>
      </c>
      <c r="I129" s="32">
        <v>6232952.7300000004</v>
      </c>
      <c r="J129" s="178">
        <f t="shared" si="25"/>
        <v>0.16904648407913009</v>
      </c>
      <c r="K129" s="618">
        <v>22795767.469999999</v>
      </c>
      <c r="L129" s="280">
        <v>0.84619999999999995</v>
      </c>
      <c r="M129" s="211">
        <f t="shared" si="26"/>
        <v>0.30564776286516504</v>
      </c>
      <c r="N129" s="618">
        <v>6182833.1100000003</v>
      </c>
      <c r="O129" s="280">
        <v>0.22950000000000001</v>
      </c>
      <c r="P129" s="211">
        <f t="shared" si="27"/>
        <v>8.1062547069137292E-3</v>
      </c>
    </row>
    <row r="130" spans="1:19" ht="14.1" customHeight="1" x14ac:dyDescent="0.25">
      <c r="A130" s="39" t="s">
        <v>623</v>
      </c>
      <c r="B130" s="40" t="s">
        <v>624</v>
      </c>
      <c r="C130" s="199">
        <v>140973391.11000001</v>
      </c>
      <c r="D130" s="205">
        <v>145859031.77000001</v>
      </c>
      <c r="E130" s="32">
        <v>139935753.61000001</v>
      </c>
      <c r="F130" s="280">
        <f t="shared" si="23"/>
        <v>0.95939039161222317</v>
      </c>
      <c r="G130" s="32">
        <v>136435753.61000001</v>
      </c>
      <c r="H130" s="48">
        <f t="shared" si="24"/>
        <v>0.93539462009552321</v>
      </c>
      <c r="I130" s="32">
        <v>59314950</v>
      </c>
      <c r="J130" s="178">
        <f t="shared" si="25"/>
        <v>0.40665942506413771</v>
      </c>
      <c r="K130" s="663">
        <v>96498421.620000005</v>
      </c>
      <c r="L130" s="280">
        <v>0.97960000000000003</v>
      </c>
      <c r="M130" s="211">
        <f t="shared" si="26"/>
        <v>0.4138651318802784</v>
      </c>
      <c r="N130" s="664">
        <v>44433762.609999999</v>
      </c>
      <c r="O130" s="280">
        <v>0.4511</v>
      </c>
      <c r="P130" s="211">
        <f t="shared" si="27"/>
        <v>0.33490720830044962</v>
      </c>
    </row>
    <row r="131" spans="1:19" ht="14.4" thickBot="1" x14ac:dyDescent="0.3">
      <c r="A131" s="7" t="s">
        <v>19</v>
      </c>
      <c r="L131" s="686"/>
      <c r="N131" s="97"/>
      <c r="O131" s="686"/>
    </row>
    <row r="132" spans="1:19" ht="12.75" customHeight="1" x14ac:dyDescent="0.25">
      <c r="A132" s="8" t="s">
        <v>759</v>
      </c>
      <c r="C132" s="164" t="s">
        <v>767</v>
      </c>
      <c r="D132" s="743" t="s">
        <v>779</v>
      </c>
      <c r="E132" s="741"/>
      <c r="F132" s="741"/>
      <c r="G132" s="741"/>
      <c r="H132" s="741"/>
      <c r="I132" s="741"/>
      <c r="J132" s="742"/>
      <c r="K132" s="752" t="s">
        <v>780</v>
      </c>
      <c r="L132" s="750"/>
      <c r="M132" s="750"/>
      <c r="N132" s="750"/>
      <c r="O132" s="750"/>
      <c r="P132" s="753"/>
    </row>
    <row r="133" spans="1:19" ht="12.75" customHeight="1" x14ac:dyDescent="0.25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1" t="s">
        <v>362</v>
      </c>
    </row>
    <row r="134" spans="1:19" ht="14.1" customHeight="1" x14ac:dyDescent="0.25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13" t="s">
        <v>766</v>
      </c>
      <c r="N134" s="564" t="s">
        <v>17</v>
      </c>
      <c r="O134" s="89" t="s">
        <v>18</v>
      </c>
      <c r="P134" s="612" t="s">
        <v>766</v>
      </c>
    </row>
    <row r="135" spans="1:19" ht="14.1" customHeight="1" x14ac:dyDescent="0.25">
      <c r="A135" s="39" t="s">
        <v>626</v>
      </c>
      <c r="B135" s="40" t="s">
        <v>627</v>
      </c>
      <c r="C135" s="199">
        <v>7411204.5599999996</v>
      </c>
      <c r="D135" s="204">
        <v>7840544.3200000003</v>
      </c>
      <c r="E135" s="30">
        <v>5107187.0999999996</v>
      </c>
      <c r="F135" s="48">
        <f t="shared" si="23"/>
        <v>0.65138170151941688</v>
      </c>
      <c r="G135" s="30">
        <v>3954347.61</v>
      </c>
      <c r="H135" s="48">
        <f t="shared" si="24"/>
        <v>0.50434605667786081</v>
      </c>
      <c r="I135" s="30">
        <v>1268929.3400000001</v>
      </c>
      <c r="J135" s="153">
        <f t="shared" si="25"/>
        <v>0.16184199568429963</v>
      </c>
      <c r="K135" s="614">
        <v>3151524.76</v>
      </c>
      <c r="L135" s="48">
        <v>0.52569999999999995</v>
      </c>
      <c r="M135" s="210">
        <f t="shared" si="26"/>
        <v>0.25474108919899474</v>
      </c>
      <c r="N135" s="614">
        <v>940790.86</v>
      </c>
      <c r="O135" s="48">
        <v>0.15690000000000001</v>
      </c>
      <c r="P135" s="210">
        <f t="shared" si="27"/>
        <v>0.34879003820253951</v>
      </c>
    </row>
    <row r="136" spans="1:19" ht="14.1" customHeight="1" x14ac:dyDescent="0.25">
      <c r="A136" s="39" t="s">
        <v>628</v>
      </c>
      <c r="B136" s="40" t="s">
        <v>629</v>
      </c>
      <c r="C136" s="199">
        <v>11963437.41</v>
      </c>
      <c r="D136" s="205">
        <v>11963177.41</v>
      </c>
      <c r="E136" s="32">
        <v>6412012.1900000004</v>
      </c>
      <c r="F136" s="280">
        <f t="shared" si="23"/>
        <v>0.53597902716382106</v>
      </c>
      <c r="G136" s="32">
        <v>5550880.5300000003</v>
      </c>
      <c r="H136" s="48">
        <f t="shared" si="24"/>
        <v>0.46399717564666626</v>
      </c>
      <c r="I136" s="32">
        <v>797405.19</v>
      </c>
      <c r="J136" s="178">
        <f t="shared" si="25"/>
        <v>6.6654966542036759E-2</v>
      </c>
      <c r="K136" s="618">
        <v>4075832.49</v>
      </c>
      <c r="L136" s="280">
        <v>0.6401</v>
      </c>
      <c r="M136" s="211">
        <f t="shared" si="26"/>
        <v>0.36190104564380654</v>
      </c>
      <c r="N136" s="618">
        <v>1186677.52</v>
      </c>
      <c r="O136" s="280">
        <v>0.18640000000000001</v>
      </c>
      <c r="P136" s="211">
        <f t="shared" si="27"/>
        <v>-0.32803548010246297</v>
      </c>
    </row>
    <row r="137" spans="1:19" ht="14.1" customHeight="1" x14ac:dyDescent="0.25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146538</v>
      </c>
      <c r="F137" s="280">
        <f t="shared" si="23"/>
        <v>0.24206113225499523</v>
      </c>
      <c r="G137" s="32">
        <v>21538</v>
      </c>
      <c r="H137" s="48">
        <f t="shared" si="24"/>
        <v>3.5577888783169469E-2</v>
      </c>
      <c r="I137" s="32">
        <v>0</v>
      </c>
      <c r="J137" s="178">
        <f t="shared" si="25"/>
        <v>0</v>
      </c>
      <c r="K137" s="618">
        <v>0</v>
      </c>
      <c r="L137" s="280">
        <v>0</v>
      </c>
      <c r="M137" s="211" t="s">
        <v>129</v>
      </c>
      <c r="N137" s="618">
        <v>0</v>
      </c>
      <c r="O137" s="280">
        <v>0</v>
      </c>
      <c r="P137" s="211" t="s">
        <v>129</v>
      </c>
    </row>
    <row r="138" spans="1:19" ht="14.1" customHeight="1" x14ac:dyDescent="0.25">
      <c r="A138" s="39" t="s">
        <v>632</v>
      </c>
      <c r="B138" s="40" t="s">
        <v>633</v>
      </c>
      <c r="C138" s="199">
        <v>3840200</v>
      </c>
      <c r="D138" s="205">
        <v>4112839.06</v>
      </c>
      <c r="E138" s="32">
        <v>3393818.88</v>
      </c>
      <c r="F138" s="280">
        <f t="shared" si="23"/>
        <v>0.82517667977992792</v>
      </c>
      <c r="G138" s="32">
        <v>3393818.88</v>
      </c>
      <c r="H138" s="48">
        <f t="shared" si="24"/>
        <v>0.82517667977992792</v>
      </c>
      <c r="I138" s="32">
        <v>627495.78</v>
      </c>
      <c r="J138" s="178">
        <f t="shared" si="25"/>
        <v>0.1525699816710066</v>
      </c>
      <c r="K138" s="618">
        <v>2891921.54</v>
      </c>
      <c r="L138" s="280">
        <v>0.81840000000000002</v>
      </c>
      <c r="M138" s="211">
        <f t="shared" si="26"/>
        <v>0.17355150651839613</v>
      </c>
      <c r="N138" s="618">
        <v>871942.98</v>
      </c>
      <c r="O138" s="280">
        <v>0.24679999999999999</v>
      </c>
      <c r="P138" s="211">
        <f t="shared" si="27"/>
        <v>-0.28034768970787516</v>
      </c>
    </row>
    <row r="139" spans="1:19" ht="14.1" customHeight="1" x14ac:dyDescent="0.25">
      <c r="A139" s="39" t="s">
        <v>634</v>
      </c>
      <c r="B139" s="40" t="s">
        <v>635</v>
      </c>
      <c r="C139" s="199">
        <v>7354400.5099999998</v>
      </c>
      <c r="D139" s="205">
        <v>7351802.0599999996</v>
      </c>
      <c r="E139" s="32">
        <v>6112414.3099999996</v>
      </c>
      <c r="F139" s="280">
        <f t="shared" si="23"/>
        <v>0.83141714917172294</v>
      </c>
      <c r="G139" s="32">
        <v>2722138.78</v>
      </c>
      <c r="H139" s="48">
        <f t="shared" si="24"/>
        <v>0.37026823597587444</v>
      </c>
      <c r="I139" s="32">
        <v>973039.9</v>
      </c>
      <c r="J139" s="178">
        <f t="shared" si="25"/>
        <v>0.13235393064975964</v>
      </c>
      <c r="K139" s="616">
        <v>2319952.29</v>
      </c>
      <c r="L139" s="280">
        <v>0.4501</v>
      </c>
      <c r="M139" s="211">
        <f t="shared" si="26"/>
        <v>0.17335981077438434</v>
      </c>
      <c r="N139" s="616">
        <v>694326.4</v>
      </c>
      <c r="O139" s="280">
        <v>0.13469999999999999</v>
      </c>
      <c r="P139" s="211">
        <f t="shared" si="27"/>
        <v>0.40141567424197033</v>
      </c>
    </row>
    <row r="140" spans="1:19" ht="14.1" customHeight="1" x14ac:dyDescent="0.25">
      <c r="A140" s="39" t="s">
        <v>636</v>
      </c>
      <c r="B140" s="40" t="s">
        <v>637</v>
      </c>
      <c r="C140" s="199">
        <v>6846944.8200000003</v>
      </c>
      <c r="D140" s="205">
        <v>6796842.3399999999</v>
      </c>
      <c r="E140" s="32">
        <v>5174426.93</v>
      </c>
      <c r="F140" s="280">
        <f t="shared" si="23"/>
        <v>0.7612986547514945</v>
      </c>
      <c r="G140" s="32">
        <v>4169478.19</v>
      </c>
      <c r="H140" s="48">
        <f t="shared" si="24"/>
        <v>0.61344341702061611</v>
      </c>
      <c r="I140" s="32">
        <v>1106761</v>
      </c>
      <c r="J140" s="178">
        <f t="shared" si="25"/>
        <v>0.16283458474336188</v>
      </c>
      <c r="K140" s="616">
        <v>3351831.13</v>
      </c>
      <c r="L140" s="390">
        <v>0.58069999999999999</v>
      </c>
      <c r="M140" s="211">
        <f t="shared" si="26"/>
        <v>0.24394040996928146</v>
      </c>
      <c r="N140" s="616">
        <v>1122751</v>
      </c>
      <c r="O140" s="390">
        <v>0.19450000000000001</v>
      </c>
      <c r="P140" s="211">
        <f t="shared" si="27"/>
        <v>-1.4241804282516757E-2</v>
      </c>
    </row>
    <row r="141" spans="1:19" ht="14.1" customHeight="1" x14ac:dyDescent="0.25">
      <c r="A141" s="39" t="s">
        <v>638</v>
      </c>
      <c r="B141" s="40" t="s">
        <v>639</v>
      </c>
      <c r="C141" s="199">
        <v>6662283.29</v>
      </c>
      <c r="D141" s="205">
        <v>6592601.6699999999</v>
      </c>
      <c r="E141" s="32">
        <v>3497569.38</v>
      </c>
      <c r="F141" s="280">
        <f t="shared" si="23"/>
        <v>0.53052945636255922</v>
      </c>
      <c r="G141" s="32">
        <v>3143195.7</v>
      </c>
      <c r="H141" s="48">
        <f t="shared" si="24"/>
        <v>0.47677621936469888</v>
      </c>
      <c r="I141" s="32">
        <v>1333778.1100000001</v>
      </c>
      <c r="J141" s="178">
        <f t="shared" si="25"/>
        <v>0.20231437856611775</v>
      </c>
      <c r="K141" s="616">
        <v>2974856.97</v>
      </c>
      <c r="L141" s="390">
        <v>0.77100000000000002</v>
      </c>
      <c r="M141" s="211">
        <f t="shared" si="26"/>
        <v>5.658716761767546E-2</v>
      </c>
      <c r="N141" s="616">
        <v>1556882.75</v>
      </c>
      <c r="O141" s="390">
        <v>0.40350000000000003</v>
      </c>
      <c r="P141" s="211">
        <f t="shared" si="27"/>
        <v>-0.14330214654892914</v>
      </c>
    </row>
    <row r="142" spans="1:19" ht="14.1" customHeight="1" x14ac:dyDescent="0.25">
      <c r="A142" s="39" t="s">
        <v>640</v>
      </c>
      <c r="B142" s="40" t="s">
        <v>641</v>
      </c>
      <c r="C142" s="199">
        <v>1046944.94</v>
      </c>
      <c r="D142" s="205">
        <v>1092999.3400000001</v>
      </c>
      <c r="E142" s="32">
        <v>472312.78</v>
      </c>
      <c r="F142" s="280">
        <f t="shared" si="23"/>
        <v>0.43212540274726974</v>
      </c>
      <c r="G142" s="32">
        <v>166207.34</v>
      </c>
      <c r="H142" s="48">
        <f t="shared" si="24"/>
        <v>0.15206536172290824</v>
      </c>
      <c r="I142" s="32">
        <v>87446.18</v>
      </c>
      <c r="J142" s="178">
        <f t="shared" si="25"/>
        <v>8.0005702473708709E-2</v>
      </c>
      <c r="K142" s="616">
        <v>362535.06</v>
      </c>
      <c r="L142" s="390">
        <v>0.45050000000000001</v>
      </c>
      <c r="M142" s="211">
        <f t="shared" si="26"/>
        <v>-0.54154133396091408</v>
      </c>
      <c r="N142" s="616">
        <v>90175.02</v>
      </c>
      <c r="O142" s="390">
        <v>0.11210000000000001</v>
      </c>
      <c r="P142" s="211">
        <f t="shared" si="27"/>
        <v>-3.0261595727952284E-2</v>
      </c>
    </row>
    <row r="143" spans="1:19" ht="14.1" customHeight="1" x14ac:dyDescent="0.25">
      <c r="A143" s="39" t="s">
        <v>642</v>
      </c>
      <c r="B143" s="40" t="s">
        <v>643</v>
      </c>
      <c r="C143" s="199">
        <v>3071168.61</v>
      </c>
      <c r="D143" s="205">
        <v>3081728.61</v>
      </c>
      <c r="E143" s="32">
        <v>1810876.57</v>
      </c>
      <c r="F143" s="280">
        <f t="shared" si="23"/>
        <v>0.58761714581998836</v>
      </c>
      <c r="G143" s="32">
        <v>743143.83</v>
      </c>
      <c r="H143" s="48">
        <f t="shared" si="24"/>
        <v>0.24114512471622218</v>
      </c>
      <c r="I143" s="32">
        <v>190117.4</v>
      </c>
      <c r="J143" s="178">
        <f t="shared" si="25"/>
        <v>6.169180484715038E-2</v>
      </c>
      <c r="K143" s="616">
        <v>551090.82999999996</v>
      </c>
      <c r="L143" s="390">
        <v>0.29120000000000001</v>
      </c>
      <c r="M143" s="211">
        <f t="shared" si="26"/>
        <v>0.34849609092570089</v>
      </c>
      <c r="N143" s="616">
        <v>73176.92</v>
      </c>
      <c r="O143" s="390">
        <v>3.8699999999999998E-2</v>
      </c>
      <c r="P143" s="211">
        <f t="shared" si="27"/>
        <v>1.5980514074656327</v>
      </c>
    </row>
    <row r="144" spans="1:19" ht="14.1" customHeight="1" x14ac:dyDescent="0.25">
      <c r="A144" s="39" t="s">
        <v>644</v>
      </c>
      <c r="B144" s="40" t="s">
        <v>645</v>
      </c>
      <c r="C144" s="199">
        <v>3957522.84</v>
      </c>
      <c r="D144" s="205">
        <v>4061140.44</v>
      </c>
      <c r="E144" s="32">
        <v>2350641.64</v>
      </c>
      <c r="F144" s="280">
        <f t="shared" si="23"/>
        <v>0.57881318677075844</v>
      </c>
      <c r="G144" s="32">
        <v>1557506.36</v>
      </c>
      <c r="H144" s="48">
        <f t="shared" si="24"/>
        <v>0.38351452824911419</v>
      </c>
      <c r="I144" s="32">
        <v>499413.76000000001</v>
      </c>
      <c r="J144" s="178">
        <f t="shared" si="25"/>
        <v>0.12297377236232687</v>
      </c>
      <c r="K144" s="616">
        <v>1011828</v>
      </c>
      <c r="L144" s="390">
        <v>0.36209999999999998</v>
      </c>
      <c r="M144" s="211">
        <f t="shared" si="26"/>
        <v>0.5392995252157482</v>
      </c>
      <c r="N144" s="616">
        <v>241352.98</v>
      </c>
      <c r="O144" s="390">
        <v>8.6400000000000005E-2</v>
      </c>
      <c r="P144" s="211">
        <f t="shared" si="27"/>
        <v>1.0692255798954711</v>
      </c>
      <c r="R144" s="275"/>
      <c r="S144" s="275"/>
    </row>
    <row r="145" spans="1:19" ht="14.1" customHeight="1" x14ac:dyDescent="0.25">
      <c r="A145" s="39" t="s">
        <v>648</v>
      </c>
      <c r="B145" s="40" t="s">
        <v>649</v>
      </c>
      <c r="C145" s="199">
        <v>543815.78</v>
      </c>
      <c r="D145" s="205">
        <v>638250.91</v>
      </c>
      <c r="E145" s="32">
        <v>259022.98</v>
      </c>
      <c r="F145" s="280">
        <f t="shared" ref="F145:F174" si="28">+E145/D145</f>
        <v>0.40583252752432425</v>
      </c>
      <c r="G145" s="32">
        <v>259022.98</v>
      </c>
      <c r="H145" s="48">
        <f>+G145/D145</f>
        <v>0.40583252752432425</v>
      </c>
      <c r="I145" s="32">
        <v>142196.53</v>
      </c>
      <c r="J145" s="178">
        <f>+I145/D145</f>
        <v>0.22279095536268015</v>
      </c>
      <c r="K145" s="616">
        <v>398990.49</v>
      </c>
      <c r="L145" s="390">
        <v>0.68569999999999998</v>
      </c>
      <c r="M145" s="211">
        <f t="shared" si="26"/>
        <v>-0.3508041256822938</v>
      </c>
      <c r="N145" s="616">
        <v>306880.83</v>
      </c>
      <c r="O145" s="390">
        <v>0.52739999999999998</v>
      </c>
      <c r="P145" s="211">
        <f t="shared" si="27"/>
        <v>-0.53663925504893872</v>
      </c>
      <c r="R145" s="275"/>
      <c r="S145" s="275"/>
    </row>
    <row r="146" spans="1:19" ht="14.1" customHeight="1" x14ac:dyDescent="0.25">
      <c r="A146" s="39" t="s">
        <v>650</v>
      </c>
      <c r="B146" s="40" t="s">
        <v>651</v>
      </c>
      <c r="C146" s="199">
        <v>10158466.529999999</v>
      </c>
      <c r="D146" s="205">
        <v>10170466.529999999</v>
      </c>
      <c r="E146" s="32">
        <v>7859017.6799999997</v>
      </c>
      <c r="F146" s="280">
        <f t="shared" si="28"/>
        <v>0.77272931942877154</v>
      </c>
      <c r="G146" s="32">
        <v>2579320.92</v>
      </c>
      <c r="H146" s="48">
        <f>+G146/D146</f>
        <v>0.25360890893173216</v>
      </c>
      <c r="I146" s="32">
        <v>105150.15</v>
      </c>
      <c r="J146" s="178">
        <f>+I146/D146</f>
        <v>1.033877351543676E-2</v>
      </c>
      <c r="K146" s="616">
        <v>2314875.86</v>
      </c>
      <c r="L146" s="390">
        <v>0.31490000000000001</v>
      </c>
      <c r="M146" s="211">
        <f t="shared" si="26"/>
        <v>0.11423725330998957</v>
      </c>
      <c r="N146" s="616">
        <v>43807.59</v>
      </c>
      <c r="O146" s="390">
        <v>6.0000000000000001E-3</v>
      </c>
      <c r="P146" s="211">
        <f t="shared" si="27"/>
        <v>1.4002724185466491</v>
      </c>
    </row>
    <row r="147" spans="1:19" ht="14.1" customHeight="1" x14ac:dyDescent="0.25">
      <c r="A147" s="253">
        <v>2341</v>
      </c>
      <c r="B147" s="40" t="s">
        <v>431</v>
      </c>
      <c r="C147" s="199">
        <v>10668077.699999999</v>
      </c>
      <c r="D147" s="205">
        <v>10674570.699999999</v>
      </c>
      <c r="E147" s="32">
        <v>10569974.73</v>
      </c>
      <c r="F147" s="280">
        <f t="shared" si="28"/>
        <v>0.99020138861415763</v>
      </c>
      <c r="G147" s="32">
        <v>10515773.039999999</v>
      </c>
      <c r="H147" s="48">
        <f>+G147/D147</f>
        <v>0.98512374272812675</v>
      </c>
      <c r="I147" s="32">
        <v>2707397.31</v>
      </c>
      <c r="J147" s="178">
        <f>+I147/D147</f>
        <v>0.25363055677733254</v>
      </c>
      <c r="K147" s="616">
        <v>8876712.2300000004</v>
      </c>
      <c r="L147" s="390">
        <v>0.98480000000000001</v>
      </c>
      <c r="M147" s="211">
        <f t="shared" si="26"/>
        <v>0.18464728466251046</v>
      </c>
      <c r="N147" s="616">
        <v>3704511.63</v>
      </c>
      <c r="O147" s="390">
        <v>0.41099999999999998</v>
      </c>
      <c r="P147" s="211">
        <f t="shared" si="27"/>
        <v>-0.2691621513413901</v>
      </c>
    </row>
    <row r="148" spans="1:19" ht="14.1" customHeight="1" x14ac:dyDescent="0.25">
      <c r="A148" s="532">
        <v>2</v>
      </c>
      <c r="B148" s="518" t="s">
        <v>125</v>
      </c>
      <c r="C148" s="201">
        <f>SUM(C122:C130,C135:C147)</f>
        <v>322762317.93999994</v>
      </c>
      <c r="D148" s="207">
        <f>SUM(D122:D130,D135:D147)</f>
        <v>329127671.24000001</v>
      </c>
      <c r="E148" s="203">
        <f>SUM(E122:E130,E135:E147)</f>
        <v>267820110.69999999</v>
      </c>
      <c r="F148" s="263">
        <f t="shared" si="28"/>
        <v>0.8137271159577022</v>
      </c>
      <c r="G148" s="203">
        <f>SUM(G122:G130,G135:G147)</f>
        <v>241222733.51000002</v>
      </c>
      <c r="H148" s="232">
        <f>G148/D148</f>
        <v>0.73291538387272315</v>
      </c>
      <c r="I148" s="203">
        <f>SUM(I122:I130,I135:I147)</f>
        <v>88999573.040000036</v>
      </c>
      <c r="J148" s="277">
        <f>I148/D148</f>
        <v>0.27041048449281407</v>
      </c>
      <c r="K148" s="568">
        <f>SUM(K122:K147)</f>
        <v>190357115.02000001</v>
      </c>
      <c r="L148" s="90">
        <v>0.77937785090782374</v>
      </c>
      <c r="M148" s="213">
        <f t="shared" ref="M148:M172" si="29">+G148/K148-1</f>
        <v>0.26721154333871766</v>
      </c>
      <c r="N148" s="568">
        <f>SUBTOTAL(9,N122:N147)</f>
        <v>78965265.230000004</v>
      </c>
      <c r="O148" s="90">
        <v>0.32330695232934981</v>
      </c>
      <c r="P148" s="213">
        <f>+I148/N148-1</f>
        <v>0.12707242584158207</v>
      </c>
    </row>
    <row r="149" spans="1:19" ht="14.1" customHeight="1" x14ac:dyDescent="0.25">
      <c r="A149" s="37">
        <v>3111</v>
      </c>
      <c r="B149" s="38" t="s">
        <v>653</v>
      </c>
      <c r="C149" s="198">
        <v>19998074.850000001</v>
      </c>
      <c r="D149" s="516">
        <v>19983074.850000001</v>
      </c>
      <c r="E149" s="180">
        <v>18092874.370000001</v>
      </c>
      <c r="F149" s="48">
        <f t="shared" si="28"/>
        <v>0.90540992844251889</v>
      </c>
      <c r="G149" s="180">
        <v>17781996.219999999</v>
      </c>
      <c r="H149" s="48">
        <f t="shared" ref="H149:H198" si="30">+G149/D149</f>
        <v>0.88985285565299266</v>
      </c>
      <c r="I149" s="180">
        <v>7226770.6900000004</v>
      </c>
      <c r="J149" s="153">
        <f t="shared" ref="J149:J198" si="31">+I149/D149</f>
        <v>0.36164457893725999</v>
      </c>
      <c r="K149" s="615">
        <v>16154565.970000001</v>
      </c>
      <c r="L149" s="48">
        <v>0.97299999999999998</v>
      </c>
      <c r="M149" s="210">
        <f t="shared" si="29"/>
        <v>0.1007411931104949</v>
      </c>
      <c r="N149" s="615">
        <v>6493274.3399999999</v>
      </c>
      <c r="O149" s="48">
        <v>0.3911</v>
      </c>
      <c r="P149" s="210">
        <f>+I149/N149-1</f>
        <v>0.1129624764937931</v>
      </c>
    </row>
    <row r="150" spans="1:19" ht="14.1" customHeight="1" x14ac:dyDescent="0.25">
      <c r="A150" s="37" t="s">
        <v>652</v>
      </c>
      <c r="B150" s="38" t="s">
        <v>654</v>
      </c>
      <c r="C150" s="200">
        <v>2248848</v>
      </c>
      <c r="D150" s="206">
        <v>2248848</v>
      </c>
      <c r="E150" s="34">
        <v>2248848</v>
      </c>
      <c r="F150" s="48">
        <f t="shared" si="28"/>
        <v>1</v>
      </c>
      <c r="G150" s="34">
        <v>2248848</v>
      </c>
      <c r="H150" s="48">
        <f t="shared" si="30"/>
        <v>1</v>
      </c>
      <c r="I150" s="34">
        <v>1500000</v>
      </c>
      <c r="J150" s="153">
        <f t="shared" si="31"/>
        <v>0.66700817485219099</v>
      </c>
      <c r="K150" s="615">
        <v>2248848</v>
      </c>
      <c r="L150" s="48">
        <v>1</v>
      </c>
      <c r="M150" s="210">
        <f t="shared" si="29"/>
        <v>0</v>
      </c>
      <c r="N150" s="615">
        <v>750000</v>
      </c>
      <c r="O150" s="48">
        <v>0.33350000000000002</v>
      </c>
      <c r="P150" s="210">
        <f>+I150/N150-1</f>
        <v>1</v>
      </c>
    </row>
    <row r="151" spans="1:19" ht="14.1" customHeight="1" x14ac:dyDescent="0.25">
      <c r="A151" s="37">
        <v>3131</v>
      </c>
      <c r="B151" s="38" t="s">
        <v>763</v>
      </c>
      <c r="C151" s="200">
        <v>9000</v>
      </c>
      <c r="D151" s="206">
        <v>9000</v>
      </c>
      <c r="E151" s="34">
        <v>6000</v>
      </c>
      <c r="F151" s="48">
        <f t="shared" si="28"/>
        <v>0.66666666666666663</v>
      </c>
      <c r="G151" s="34">
        <v>0</v>
      </c>
      <c r="H151" s="48">
        <f t="shared" si="30"/>
        <v>0</v>
      </c>
      <c r="I151" s="34">
        <v>0</v>
      </c>
      <c r="J151" s="153">
        <f t="shared" si="31"/>
        <v>0</v>
      </c>
      <c r="K151" s="615">
        <v>0</v>
      </c>
      <c r="L151" s="48">
        <v>0</v>
      </c>
      <c r="M151" s="210" t="s">
        <v>129</v>
      </c>
      <c r="N151" s="615">
        <v>0</v>
      </c>
      <c r="O151" s="48">
        <v>0</v>
      </c>
      <c r="P151" s="210" t="s">
        <v>129</v>
      </c>
    </row>
    <row r="152" spans="1:19" ht="14.1" customHeight="1" x14ac:dyDescent="0.25">
      <c r="A152" s="39" t="s">
        <v>655</v>
      </c>
      <c r="B152" s="40" t="s">
        <v>656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0</v>
      </c>
      <c r="J152" s="178">
        <f t="shared" si="31"/>
        <v>0</v>
      </c>
      <c r="K152" s="616">
        <v>21495802.09</v>
      </c>
      <c r="L152" s="280">
        <v>0.99939999999999996</v>
      </c>
      <c r="M152" s="212">
        <f t="shared" si="29"/>
        <v>-0.50339435368331498</v>
      </c>
      <c r="N152" s="616">
        <v>3480976.91</v>
      </c>
      <c r="O152" s="280">
        <v>0.1618</v>
      </c>
      <c r="P152" s="210">
        <f t="shared" ref="P152:P171" si="32">+I152/N152-1</f>
        <v>-1</v>
      </c>
    </row>
    <row r="153" spans="1:19" ht="14.1" customHeight="1" x14ac:dyDescent="0.25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28900875</v>
      </c>
      <c r="J153" s="178">
        <f t="shared" si="31"/>
        <v>0.71184702396906829</v>
      </c>
      <c r="K153" s="579">
        <v>37980210.549999997</v>
      </c>
      <c r="L153" s="610">
        <v>1</v>
      </c>
      <c r="M153" s="211">
        <f t="shared" si="29"/>
        <v>6.8973526530384133E-2</v>
      </c>
      <c r="N153" s="579">
        <v>26300000</v>
      </c>
      <c r="O153" s="610">
        <v>0.6925</v>
      </c>
      <c r="P153" s="210">
        <f t="shared" si="32"/>
        <v>9.8892585551330736E-2</v>
      </c>
    </row>
    <row r="154" spans="1:19" ht="14.1" customHeight="1" x14ac:dyDescent="0.25">
      <c r="A154" s="253" t="s">
        <v>657</v>
      </c>
      <c r="B154" s="40" t="s">
        <v>658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9">
        <v>1326943.5</v>
      </c>
      <c r="L154" s="610">
        <v>1</v>
      </c>
      <c r="M154" s="211">
        <f t="shared" si="29"/>
        <v>0.18840289733511639</v>
      </c>
      <c r="N154" s="579">
        <v>0</v>
      </c>
      <c r="O154" s="610">
        <v>0</v>
      </c>
      <c r="P154" s="210" t="s">
        <v>129</v>
      </c>
    </row>
    <row r="155" spans="1:19" ht="14.1" customHeight="1" x14ac:dyDescent="0.25">
      <c r="A155" s="39" t="s">
        <v>659</v>
      </c>
      <c r="B155" s="40" t="s">
        <v>660</v>
      </c>
      <c r="C155" s="200">
        <v>8163831</v>
      </c>
      <c r="D155" s="206">
        <v>8163831</v>
      </c>
      <c r="E155" s="34">
        <v>7463831</v>
      </c>
      <c r="F155" s="280">
        <f t="shared" si="28"/>
        <v>0.91425594184886971</v>
      </c>
      <c r="G155" s="34">
        <v>7463831</v>
      </c>
      <c r="H155" s="280">
        <f t="shared" si="30"/>
        <v>0.91425594184886971</v>
      </c>
      <c r="I155" s="34">
        <v>0</v>
      </c>
      <c r="J155" s="178">
        <f t="shared" si="31"/>
        <v>0</v>
      </c>
      <c r="K155" s="579">
        <v>7493661</v>
      </c>
      <c r="L155" s="280">
        <v>1</v>
      </c>
      <c r="M155" s="211">
        <f t="shared" si="29"/>
        <v>-3.9806978191300191E-3</v>
      </c>
      <c r="N155" s="579">
        <v>29830</v>
      </c>
      <c r="O155" s="280">
        <v>4.0000000000000001E-3</v>
      </c>
      <c r="P155" s="210">
        <f t="shared" si="32"/>
        <v>-1</v>
      </c>
    </row>
    <row r="156" spans="1:19" ht="14.1" customHeight="1" x14ac:dyDescent="0.25">
      <c r="A156" s="39" t="s">
        <v>661</v>
      </c>
      <c r="B156" s="40" t="s">
        <v>114</v>
      </c>
      <c r="C156" s="200">
        <v>9096798.4100000001</v>
      </c>
      <c r="D156" s="206">
        <v>9191525.1699999999</v>
      </c>
      <c r="E156" s="34">
        <v>8541914.25</v>
      </c>
      <c r="F156" s="280">
        <f t="shared" si="28"/>
        <v>0.9293250132067038</v>
      </c>
      <c r="G156" s="34">
        <v>8343488.04</v>
      </c>
      <c r="H156" s="280">
        <f t="shared" si="30"/>
        <v>0.90773706057315839</v>
      </c>
      <c r="I156" s="34">
        <v>167611.96</v>
      </c>
      <c r="J156" s="178">
        <f t="shared" si="31"/>
        <v>1.8235489420957544E-2</v>
      </c>
      <c r="K156" s="579">
        <v>6308545.0800000001</v>
      </c>
      <c r="L156" s="280">
        <v>0.94720000000000004</v>
      </c>
      <c r="M156" s="211">
        <f t="shared" si="29"/>
        <v>0.32256929833970527</v>
      </c>
      <c r="N156" s="579">
        <v>92647.4</v>
      </c>
      <c r="O156" s="280">
        <v>1.3899999999999999E-2</v>
      </c>
      <c r="P156" s="210">
        <f t="shared" si="32"/>
        <v>0.80913830285577371</v>
      </c>
    </row>
    <row r="157" spans="1:19" ht="14.1" customHeight="1" x14ac:dyDescent="0.25">
      <c r="A157" s="39" t="s">
        <v>662</v>
      </c>
      <c r="B157" s="40" t="s">
        <v>663</v>
      </c>
      <c r="C157" s="200">
        <v>8827393.0999999996</v>
      </c>
      <c r="D157" s="206">
        <v>8827393.0999999996</v>
      </c>
      <c r="E157" s="34">
        <v>8744700.8900000006</v>
      </c>
      <c r="F157" s="280">
        <f t="shared" si="28"/>
        <v>0.99063231816423825</v>
      </c>
      <c r="G157" s="34">
        <v>8744700.8900000006</v>
      </c>
      <c r="H157" s="280">
        <f t="shared" si="30"/>
        <v>0.99063231816423825</v>
      </c>
      <c r="I157" s="34">
        <v>0</v>
      </c>
      <c r="J157" s="178">
        <f t="shared" si="31"/>
        <v>0</v>
      </c>
      <c r="K157" s="579">
        <v>7468371.0999999996</v>
      </c>
      <c r="L157" s="280">
        <v>0.9829</v>
      </c>
      <c r="M157" s="211">
        <f t="shared" si="29"/>
        <v>0.17089801416000894</v>
      </c>
      <c r="N157" s="579">
        <v>0</v>
      </c>
      <c r="O157" s="280">
        <v>0</v>
      </c>
      <c r="P157" s="210" t="s">
        <v>129</v>
      </c>
    </row>
    <row r="158" spans="1:19" ht="14.1" customHeight="1" x14ac:dyDescent="0.25">
      <c r="A158" s="39">
        <v>3281</v>
      </c>
      <c r="B158" s="40" t="s">
        <v>666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9">
        <v>4793232.18</v>
      </c>
      <c r="L158" s="280">
        <v>1</v>
      </c>
      <c r="M158" s="211">
        <f t="shared" si="29"/>
        <v>9.6499168542259151E-2</v>
      </c>
      <c r="N158" s="579">
        <v>0</v>
      </c>
      <c r="O158" s="280">
        <v>0</v>
      </c>
      <c r="P158" s="210" t="s">
        <v>129</v>
      </c>
    </row>
    <row r="159" spans="1:19" ht="14.1" customHeight="1" x14ac:dyDescent="0.25">
      <c r="A159" s="39" t="s">
        <v>664</v>
      </c>
      <c r="B159" s="40" t="s">
        <v>667</v>
      </c>
      <c r="C159" s="200">
        <v>2919606</v>
      </c>
      <c r="D159" s="206">
        <v>2919606</v>
      </c>
      <c r="E159" s="34">
        <v>2919606</v>
      </c>
      <c r="F159" s="280">
        <f t="shared" si="28"/>
        <v>1</v>
      </c>
      <c r="G159" s="34">
        <v>2919606</v>
      </c>
      <c r="H159" s="280">
        <f t="shared" si="30"/>
        <v>1</v>
      </c>
      <c r="I159" s="34">
        <v>0</v>
      </c>
      <c r="J159" s="178">
        <f t="shared" si="31"/>
        <v>0</v>
      </c>
      <c r="K159" s="579">
        <v>2919606</v>
      </c>
      <c r="L159" s="280">
        <v>1</v>
      </c>
      <c r="M159" s="211">
        <f t="shared" si="29"/>
        <v>0</v>
      </c>
      <c r="N159" s="579">
        <v>0</v>
      </c>
      <c r="O159" s="280">
        <v>0</v>
      </c>
      <c r="P159" s="210" t="s">
        <v>129</v>
      </c>
    </row>
    <row r="160" spans="1:19" ht="14.1" customHeight="1" x14ac:dyDescent="0.25">
      <c r="A160" s="39" t="s">
        <v>665</v>
      </c>
      <c r="B160" s="40" t="s">
        <v>668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9">
        <v>1326943.5</v>
      </c>
      <c r="L160" s="280">
        <v>1</v>
      </c>
      <c r="M160" s="211">
        <f t="shared" si="29"/>
        <v>0</v>
      </c>
      <c r="N160" s="579">
        <v>0</v>
      </c>
      <c r="O160" s="280">
        <v>0</v>
      </c>
      <c r="P160" s="210" t="s">
        <v>129</v>
      </c>
    </row>
    <row r="161" spans="1:19" ht="14.1" customHeight="1" x14ac:dyDescent="0.25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15900000</v>
      </c>
      <c r="J161" s="178">
        <f t="shared" si="31"/>
        <v>0.47638748688484278</v>
      </c>
      <c r="K161" s="579">
        <v>28919222.559999999</v>
      </c>
      <c r="L161" s="610">
        <v>1</v>
      </c>
      <c r="M161" s="211">
        <f t="shared" si="29"/>
        <v>0.15411786920457238</v>
      </c>
      <c r="N161" s="579">
        <v>20500000</v>
      </c>
      <c r="O161" s="610">
        <v>0.70889999999999997</v>
      </c>
      <c r="P161" s="210">
        <f t="shared" si="32"/>
        <v>-0.224390243902439</v>
      </c>
    </row>
    <row r="162" spans="1:19" ht="14.1" customHeight="1" x14ac:dyDescent="0.25">
      <c r="A162" s="253" t="s">
        <v>669</v>
      </c>
      <c r="B162" s="40" t="s">
        <v>670</v>
      </c>
      <c r="C162" s="200">
        <v>28640778.239999998</v>
      </c>
      <c r="D162" s="206">
        <v>30899327.100000001</v>
      </c>
      <c r="E162" s="34">
        <v>13157115.09</v>
      </c>
      <c r="F162" s="280">
        <f t="shared" si="28"/>
        <v>0.42580587750080806</v>
      </c>
      <c r="G162" s="34">
        <v>13157115.09</v>
      </c>
      <c r="H162" s="280">
        <f t="shared" si="30"/>
        <v>0.42580587750080806</v>
      </c>
      <c r="I162" s="34">
        <v>1977259.05</v>
      </c>
      <c r="J162" s="178">
        <f t="shared" si="31"/>
        <v>6.3990359518217466E-2</v>
      </c>
      <c r="K162" s="579">
        <v>15268936.369999999</v>
      </c>
      <c r="L162" s="280">
        <v>0.86439999999999995</v>
      </c>
      <c r="M162" s="211">
        <f t="shared" si="29"/>
        <v>-0.13830834242974843</v>
      </c>
      <c r="N162" s="579">
        <v>2054028.53</v>
      </c>
      <c r="O162" s="280">
        <v>0.1163</v>
      </c>
      <c r="P162" s="210">
        <f t="shared" si="32"/>
        <v>-3.7375079692782975E-2</v>
      </c>
    </row>
    <row r="163" spans="1:19" s="6" customFormat="1" ht="14.1" customHeight="1" x14ac:dyDescent="0.25">
      <c r="A163" s="39" t="s">
        <v>671</v>
      </c>
      <c r="B163" s="40" t="s">
        <v>672</v>
      </c>
      <c r="C163" s="200">
        <v>12623127.310000001</v>
      </c>
      <c r="D163" s="206">
        <v>12619013.119999999</v>
      </c>
      <c r="E163" s="34">
        <v>12592318.890000001</v>
      </c>
      <c r="F163" s="280">
        <f t="shared" si="28"/>
        <v>0.99788460240542176</v>
      </c>
      <c r="G163" s="34">
        <v>12502775.15</v>
      </c>
      <c r="H163" s="280">
        <f t="shared" si="30"/>
        <v>0.99078866398706156</v>
      </c>
      <c r="I163" s="34">
        <v>7020233.6500000004</v>
      </c>
      <c r="J163" s="178">
        <f t="shared" si="31"/>
        <v>0.55632192337398889</v>
      </c>
      <c r="K163" s="579">
        <v>12397135.449999999</v>
      </c>
      <c r="L163" s="280">
        <v>0.99329999999999996</v>
      </c>
      <c r="M163" s="211">
        <f t="shared" si="29"/>
        <v>8.5212991683494277E-3</v>
      </c>
      <c r="N163" s="579">
        <v>16832.93</v>
      </c>
      <c r="O163" s="280">
        <v>1.2999999999999999E-3</v>
      </c>
      <c r="P163" s="210">
        <f t="shared" si="32"/>
        <v>416.05357593716604</v>
      </c>
      <c r="R163" s="255"/>
    </row>
    <row r="164" spans="1:19" s="272" customFormat="1" ht="14.1" customHeight="1" x14ac:dyDescent="0.25">
      <c r="A164" s="39" t="s">
        <v>673</v>
      </c>
      <c r="B164" s="40" t="s">
        <v>674</v>
      </c>
      <c r="C164" s="200">
        <v>48067327.659999996</v>
      </c>
      <c r="D164" s="206">
        <v>48067327.659999996</v>
      </c>
      <c r="E164" s="34">
        <v>48067327.659999996</v>
      </c>
      <c r="F164" s="280">
        <f t="shared" si="28"/>
        <v>1</v>
      </c>
      <c r="G164" s="34">
        <v>48067327.659999996</v>
      </c>
      <c r="H164" s="280">
        <f t="shared" si="30"/>
        <v>1</v>
      </c>
      <c r="I164" s="34">
        <v>24000000</v>
      </c>
      <c r="J164" s="178">
        <f t="shared" si="31"/>
        <v>0.4992996525573854</v>
      </c>
      <c r="K164" s="579">
        <v>47277327.799999997</v>
      </c>
      <c r="L164" s="280">
        <v>1</v>
      </c>
      <c r="M164" s="211">
        <f t="shared" si="29"/>
        <v>1.6709909310906434E-2</v>
      </c>
      <c r="N164" s="579">
        <v>47277327.799999997</v>
      </c>
      <c r="O164" s="280">
        <v>1</v>
      </c>
      <c r="P164" s="210">
        <f t="shared" si="32"/>
        <v>-0.49235709552941354</v>
      </c>
      <c r="R164" s="273"/>
      <c r="S164" s="274"/>
    </row>
    <row r="165" spans="1:19" x14ac:dyDescent="0.25">
      <c r="A165" s="39" t="s">
        <v>675</v>
      </c>
      <c r="B165" s="40" t="s">
        <v>676</v>
      </c>
      <c r="C165" s="200">
        <v>17219551.329999998</v>
      </c>
      <c r="D165" s="206">
        <v>17219551.329999998</v>
      </c>
      <c r="E165" s="34">
        <v>17219551.329999998</v>
      </c>
      <c r="F165" s="280">
        <f t="shared" si="28"/>
        <v>1</v>
      </c>
      <c r="G165" s="34">
        <v>17219551.329999998</v>
      </c>
      <c r="H165" s="280">
        <f t="shared" si="30"/>
        <v>1</v>
      </c>
      <c r="I165" s="34">
        <v>0</v>
      </c>
      <c r="J165" s="178">
        <f t="shared" si="31"/>
        <v>0</v>
      </c>
      <c r="K165" s="579">
        <v>17219551.329999998</v>
      </c>
      <c r="L165" s="280">
        <v>1</v>
      </c>
      <c r="M165" s="211">
        <f t="shared" si="29"/>
        <v>0</v>
      </c>
      <c r="N165" s="579">
        <v>4000000</v>
      </c>
      <c r="O165" s="280">
        <v>0.23230000000000001</v>
      </c>
      <c r="P165" s="210">
        <f t="shared" si="32"/>
        <v>-1</v>
      </c>
    </row>
    <row r="166" spans="1:19" x14ac:dyDescent="0.25">
      <c r="A166" s="39" t="s">
        <v>677</v>
      </c>
      <c r="B166" s="40" t="s">
        <v>102</v>
      </c>
      <c r="C166" s="200">
        <v>17748245.370000001</v>
      </c>
      <c r="D166" s="206">
        <v>17797623.359999999</v>
      </c>
      <c r="E166" s="34">
        <v>16962450.25</v>
      </c>
      <c r="F166" s="280">
        <f t="shared" si="28"/>
        <v>0.95307389682843591</v>
      </c>
      <c r="G166" s="34">
        <v>16653544.550000001</v>
      </c>
      <c r="H166" s="280">
        <f t="shared" si="30"/>
        <v>0.93571732658578977</v>
      </c>
      <c r="I166" s="34">
        <v>1159030.19</v>
      </c>
      <c r="J166" s="178">
        <f t="shared" si="31"/>
        <v>6.5122750749120245E-2</v>
      </c>
      <c r="K166" s="579">
        <v>15448455.91</v>
      </c>
      <c r="L166" s="610">
        <v>0.94310000000000005</v>
      </c>
      <c r="M166" s="211">
        <f t="shared" si="29"/>
        <v>7.8007060836412068E-2</v>
      </c>
      <c r="N166" s="579">
        <v>1071226.78</v>
      </c>
      <c r="O166" s="610">
        <v>6.54E-2</v>
      </c>
      <c r="P166" s="210">
        <f t="shared" si="32"/>
        <v>8.1965286566118012E-2</v>
      </c>
    </row>
    <row r="167" spans="1:19" x14ac:dyDescent="0.25">
      <c r="A167" s="253">
        <v>3361</v>
      </c>
      <c r="B167" s="40" t="s">
        <v>678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9">
        <v>211322.62</v>
      </c>
      <c r="L167" s="280">
        <v>1</v>
      </c>
      <c r="M167" s="212">
        <f t="shared" si="29"/>
        <v>0</v>
      </c>
      <c r="N167" s="579">
        <v>0</v>
      </c>
      <c r="O167" s="280">
        <v>0</v>
      </c>
      <c r="P167" s="210" t="s">
        <v>129</v>
      </c>
    </row>
    <row r="168" spans="1:19" x14ac:dyDescent="0.25">
      <c r="A168" s="253">
        <v>3371</v>
      </c>
      <c r="B168" s="40" t="s">
        <v>679</v>
      </c>
      <c r="C168" s="200">
        <v>15245118.1</v>
      </c>
      <c r="D168" s="206">
        <v>15862072.17</v>
      </c>
      <c r="E168" s="34">
        <v>13418331.75</v>
      </c>
      <c r="F168" s="280">
        <f t="shared" si="28"/>
        <v>0.84593813508036764</v>
      </c>
      <c r="G168" s="34">
        <v>12772478.880000001</v>
      </c>
      <c r="H168" s="280">
        <f t="shared" si="30"/>
        <v>0.80522133193648182</v>
      </c>
      <c r="I168" s="34">
        <v>5312859.74</v>
      </c>
      <c r="J168" s="178">
        <f t="shared" si="31"/>
        <v>0.33494108985635768</v>
      </c>
      <c r="K168" s="579">
        <v>9851079.8499999996</v>
      </c>
      <c r="L168" s="280">
        <v>0.77059999999999995</v>
      </c>
      <c r="M168" s="211">
        <f t="shared" si="29"/>
        <v>0.29655622271704574</v>
      </c>
      <c r="N168" s="579">
        <v>5355977.0599999996</v>
      </c>
      <c r="O168" s="280">
        <v>0.41899999999999998</v>
      </c>
      <c r="P168" s="210">
        <f t="shared" si="32"/>
        <v>-8.050318273767898E-3</v>
      </c>
    </row>
    <row r="169" spans="1:19" x14ac:dyDescent="0.25">
      <c r="A169" s="253">
        <v>3381</v>
      </c>
      <c r="B169" s="40" t="s">
        <v>680</v>
      </c>
      <c r="C169" s="200">
        <v>8127724.7699999996</v>
      </c>
      <c r="D169" s="206">
        <v>8064555.5700000003</v>
      </c>
      <c r="E169" s="34">
        <v>7323174.9400000004</v>
      </c>
      <c r="F169" s="280">
        <f t="shared" si="28"/>
        <v>0.90806925148387319</v>
      </c>
      <c r="G169" s="34">
        <v>7067362.7800000003</v>
      </c>
      <c r="H169" s="280">
        <f t="shared" si="30"/>
        <v>0.87634869877894583</v>
      </c>
      <c r="I169" s="34">
        <v>670698.59</v>
      </c>
      <c r="J169" s="178">
        <f t="shared" si="31"/>
        <v>8.3166218420638885E-2</v>
      </c>
      <c r="K169" s="579">
        <v>4897484.47</v>
      </c>
      <c r="L169" s="280">
        <v>0.73829999999999996</v>
      </c>
      <c r="M169" s="211">
        <f t="shared" si="29"/>
        <v>0.4430597632910922</v>
      </c>
      <c r="N169" s="579">
        <v>428621.71</v>
      </c>
      <c r="O169" s="280">
        <v>6.4600000000000005E-2</v>
      </c>
      <c r="P169" s="210">
        <f t="shared" si="32"/>
        <v>0.56477979148559676</v>
      </c>
      <c r="R169"/>
    </row>
    <row r="170" spans="1:19" x14ac:dyDescent="0.25">
      <c r="A170" s="253" t="s">
        <v>681</v>
      </c>
      <c r="B170" s="40" t="s">
        <v>682</v>
      </c>
      <c r="C170" s="200">
        <v>14042820.529999999</v>
      </c>
      <c r="D170" s="206">
        <v>13094609.029999999</v>
      </c>
      <c r="E170" s="34">
        <v>12089902.15</v>
      </c>
      <c r="F170" s="390">
        <f t="shared" si="28"/>
        <v>0.92327324338602268</v>
      </c>
      <c r="G170" s="34">
        <v>12013478.810000001</v>
      </c>
      <c r="H170" s="390">
        <f t="shared" si="30"/>
        <v>0.91743699888075247</v>
      </c>
      <c r="I170" s="34">
        <v>2722670.67</v>
      </c>
      <c r="J170" s="392">
        <f t="shared" si="31"/>
        <v>0.20792302112742042</v>
      </c>
      <c r="K170" s="579">
        <v>11219794.16</v>
      </c>
      <c r="L170" s="390">
        <v>0.9718</v>
      </c>
      <c r="M170" s="211">
        <f t="shared" si="29"/>
        <v>7.0739680129746629E-2</v>
      </c>
      <c r="N170" s="579">
        <v>5048678.5999999996</v>
      </c>
      <c r="O170" s="390">
        <v>0.43730000000000002</v>
      </c>
      <c r="P170" s="210">
        <f t="shared" si="32"/>
        <v>-0.46071618225014366</v>
      </c>
    </row>
    <row r="171" spans="1:19" x14ac:dyDescent="0.25">
      <c r="A171" s="253">
        <v>3421</v>
      </c>
      <c r="B171" s="40" t="s">
        <v>484</v>
      </c>
      <c r="C171" s="200">
        <v>5455050.5800000001</v>
      </c>
      <c r="D171" s="206">
        <v>6445868.8799999999</v>
      </c>
      <c r="E171" s="34">
        <v>6403992.3399999999</v>
      </c>
      <c r="F171" s="390">
        <f t="shared" si="28"/>
        <v>0.99350335218112595</v>
      </c>
      <c r="G171" s="34">
        <v>6349638.4000000004</v>
      </c>
      <c r="H171" s="390">
        <f t="shared" si="30"/>
        <v>0.98507098394468129</v>
      </c>
      <c r="I171" s="34">
        <v>1316722.6000000001</v>
      </c>
      <c r="J171" s="392">
        <f t="shared" si="31"/>
        <v>0.20427387284986165</v>
      </c>
      <c r="K171" s="579">
        <v>4610331.54</v>
      </c>
      <c r="L171" s="390">
        <v>0.98609999999999998</v>
      </c>
      <c r="M171" s="211">
        <f t="shared" si="29"/>
        <v>0.37726285949491611</v>
      </c>
      <c r="N171" s="579">
        <v>6772.86</v>
      </c>
      <c r="O171" s="390">
        <v>1.4E-3</v>
      </c>
      <c r="P171" s="210">
        <f t="shared" si="32"/>
        <v>193.41160750406772</v>
      </c>
      <c r="R171"/>
    </row>
    <row r="172" spans="1:19" x14ac:dyDescent="0.25">
      <c r="A172" s="669">
        <v>3431</v>
      </c>
      <c r="B172" s="668" t="s">
        <v>435</v>
      </c>
      <c r="C172" s="661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35">
        <v>7608676.7199999997</v>
      </c>
      <c r="L172" s="412">
        <v>1</v>
      </c>
      <c r="M172" s="665">
        <f t="shared" si="29"/>
        <v>-0.14322142208192024</v>
      </c>
      <c r="N172" s="635">
        <v>0</v>
      </c>
      <c r="O172" s="412">
        <v>0</v>
      </c>
      <c r="P172" s="210" t="s">
        <v>129</v>
      </c>
    </row>
    <row r="173" spans="1:19" x14ac:dyDescent="0.25">
      <c r="A173" s="532">
        <v>3</v>
      </c>
      <c r="B173" s="2" t="s">
        <v>124</v>
      </c>
      <c r="C173" s="201">
        <f>SUBTOTAL(9,C149:C172)</f>
        <v>317974199.00999999</v>
      </c>
      <c r="D173" s="207">
        <f>SUBTOTAL(9,D149:D172)</f>
        <v>320954130.10000002</v>
      </c>
      <c r="E173" s="203">
        <f>SUBTOTAL(9,E149:E172)</f>
        <v>294792842.67000002</v>
      </c>
      <c r="F173" s="90">
        <f t="shared" si="28"/>
        <v>0.91848901454594489</v>
      </c>
      <c r="G173" s="203">
        <f>SUBTOTAL(9,G149:G172)</f>
        <v>292846646.56</v>
      </c>
      <c r="H173" s="90">
        <f t="shared" si="30"/>
        <v>0.91242523181975399</v>
      </c>
      <c r="I173" s="203">
        <f>SUBTOTAL(9,I149:I172)</f>
        <v>97874732.139999986</v>
      </c>
      <c r="J173" s="170">
        <f t="shared" si="31"/>
        <v>0.30494928390391812</v>
      </c>
      <c r="K173" s="568">
        <f>SUM(K149:K172)</f>
        <v>284446047.75</v>
      </c>
      <c r="L173" s="90">
        <v>0.96797222570275665</v>
      </c>
      <c r="M173" s="213">
        <f t="shared" ref="M173:M179" si="33">+G173/K173-1</f>
        <v>2.9533188724011783E-2</v>
      </c>
      <c r="N173" s="568">
        <f>SUBTOTAL(9,N149:N172)</f>
        <v>122906194.91999999</v>
      </c>
      <c r="O173" s="90">
        <v>0.41825078601173571</v>
      </c>
      <c r="P173" s="213">
        <f t="shared" ref="P173:P179" si="34">+I173/N173-1</f>
        <v>-0.20366314974027999</v>
      </c>
    </row>
    <row r="174" spans="1:19" x14ac:dyDescent="0.25">
      <c r="A174" s="37">
        <v>4301</v>
      </c>
      <c r="B174" s="534" t="s">
        <v>683</v>
      </c>
      <c r="C174" s="198">
        <v>4583248.97</v>
      </c>
      <c r="D174" s="516">
        <v>5226567.25</v>
      </c>
      <c r="E174" s="180">
        <v>1571934.08</v>
      </c>
      <c r="F174" s="78">
        <f t="shared" si="28"/>
        <v>0.30075841461716579</v>
      </c>
      <c r="G174" s="180">
        <v>1466033.49</v>
      </c>
      <c r="H174" s="78">
        <f t="shared" si="30"/>
        <v>0.28049643673866437</v>
      </c>
      <c r="I174" s="180">
        <v>1437821.24</v>
      </c>
      <c r="J174" s="153">
        <f t="shared" si="31"/>
        <v>0.27509858215255911</v>
      </c>
      <c r="K174" s="615">
        <v>1982212.19</v>
      </c>
      <c r="L174" s="48">
        <v>0.56759999999999999</v>
      </c>
      <c r="M174" s="210">
        <f t="shared" si="33"/>
        <v>-0.26040537062785396</v>
      </c>
      <c r="N174" s="615">
        <v>1847884.21</v>
      </c>
      <c r="O174" s="48">
        <v>0.52910000000000001</v>
      </c>
      <c r="P174" s="210">
        <f t="shared" si="34"/>
        <v>-0.22190945070091805</v>
      </c>
    </row>
    <row r="175" spans="1:19" x14ac:dyDescent="0.25">
      <c r="A175" s="37" t="s">
        <v>684</v>
      </c>
      <c r="B175" s="38" t="s">
        <v>686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1973209.73</v>
      </c>
      <c r="J175" s="153">
        <f t="shared" si="31"/>
        <v>7.6229816967085334E-2</v>
      </c>
      <c r="K175" s="615">
        <v>825238.14</v>
      </c>
      <c r="L175" s="48">
        <v>0.36059999999999998</v>
      </c>
      <c r="M175" s="210">
        <f t="shared" si="33"/>
        <v>30.366718023963362</v>
      </c>
      <c r="N175" s="615">
        <v>752000</v>
      </c>
      <c r="O175" s="48">
        <v>0.3286</v>
      </c>
      <c r="P175" s="210">
        <f t="shared" si="34"/>
        <v>1.6239491090425533</v>
      </c>
    </row>
    <row r="176" spans="1:19" x14ac:dyDescent="0.25">
      <c r="A176" s="37" t="s">
        <v>685</v>
      </c>
      <c r="B176" s="38" t="s">
        <v>687</v>
      </c>
      <c r="C176" s="200">
        <v>7512544.6100000003</v>
      </c>
      <c r="D176" s="206">
        <v>7478354.6100000003</v>
      </c>
      <c r="E176" s="34">
        <v>3121492.89</v>
      </c>
      <c r="F176" s="48">
        <f t="shared" si="35"/>
        <v>0.4174037007854593</v>
      </c>
      <c r="G176" s="34">
        <v>685793.77</v>
      </c>
      <c r="H176" s="48">
        <f t="shared" si="30"/>
        <v>9.1703831359235322E-2</v>
      </c>
      <c r="I176" s="34">
        <v>385303.43</v>
      </c>
      <c r="J176" s="153">
        <f t="shared" si="31"/>
        <v>5.1522487244022246E-2</v>
      </c>
      <c r="K176" s="615">
        <v>327332.08</v>
      </c>
      <c r="L176" s="48">
        <v>5.2400000000000002E-2</v>
      </c>
      <c r="M176" s="210">
        <f t="shared" si="33"/>
        <v>1.0951010056820585</v>
      </c>
      <c r="N176" s="615">
        <v>119176.28</v>
      </c>
      <c r="O176" s="48">
        <v>1.9099999999999999E-2</v>
      </c>
      <c r="P176" s="210">
        <f t="shared" si="34"/>
        <v>2.2330546816866579</v>
      </c>
    </row>
    <row r="177" spans="1:16" x14ac:dyDescent="0.25">
      <c r="A177" s="39" t="s">
        <v>688</v>
      </c>
      <c r="B177" s="40" t="s">
        <v>689</v>
      </c>
      <c r="C177" s="200">
        <v>2743104</v>
      </c>
      <c r="D177" s="206">
        <v>7437178.2999999998</v>
      </c>
      <c r="E177" s="34">
        <v>3175828.7</v>
      </c>
      <c r="F177" s="280">
        <f t="shared" si="35"/>
        <v>0.42702064840908821</v>
      </c>
      <c r="G177" s="34">
        <v>2829780.62</v>
      </c>
      <c r="H177" s="280">
        <f t="shared" si="30"/>
        <v>0.38049116289171125</v>
      </c>
      <c r="I177" s="34">
        <v>1657050.56</v>
      </c>
      <c r="J177" s="178">
        <f t="shared" si="31"/>
        <v>0.22280635116681283</v>
      </c>
      <c r="K177" s="616">
        <v>2486084.14</v>
      </c>
      <c r="L177" s="280">
        <v>0.42330000000000001</v>
      </c>
      <c r="M177" s="211">
        <f t="shared" si="33"/>
        <v>0.13824812864137415</v>
      </c>
      <c r="N177" s="616">
        <v>1809438.5</v>
      </c>
      <c r="O177" s="280">
        <v>0.30809999999999998</v>
      </c>
      <c r="P177" s="211">
        <f t="shared" si="34"/>
        <v>-8.4218358347078359E-2</v>
      </c>
    </row>
    <row r="178" spans="1:16" x14ac:dyDescent="0.25">
      <c r="A178" s="39" t="s">
        <v>690</v>
      </c>
      <c r="B178" s="40" t="s">
        <v>691</v>
      </c>
      <c r="C178" s="200">
        <v>36360768.060000002</v>
      </c>
      <c r="D178" s="206">
        <v>40073130.359999999</v>
      </c>
      <c r="E178" s="34">
        <v>11655291.460000001</v>
      </c>
      <c r="F178" s="280">
        <f t="shared" si="35"/>
        <v>0.29085053638919167</v>
      </c>
      <c r="G178" s="34">
        <v>7682960</v>
      </c>
      <c r="H178" s="280">
        <f t="shared" si="30"/>
        <v>0.19172347982250321</v>
      </c>
      <c r="I178" s="34">
        <v>7057960</v>
      </c>
      <c r="J178" s="178">
        <f t="shared" si="31"/>
        <v>0.17612699423764208</v>
      </c>
      <c r="K178" s="616">
        <v>4812684.72</v>
      </c>
      <c r="L178" s="280">
        <v>7.8E-2</v>
      </c>
      <c r="M178" s="211">
        <f t="shared" si="33"/>
        <v>0.59639794563563275</v>
      </c>
      <c r="N178" s="616">
        <v>4582684.72</v>
      </c>
      <c r="O178" s="280">
        <v>7.4300000000000005E-2</v>
      </c>
      <c r="P178" s="211">
        <f t="shared" si="34"/>
        <v>0.54013649885126735</v>
      </c>
    </row>
    <row r="179" spans="1:16" x14ac:dyDescent="0.25">
      <c r="A179" s="666" t="s">
        <v>692</v>
      </c>
      <c r="B179" s="662" t="s">
        <v>693</v>
      </c>
      <c r="C179" s="661">
        <v>1922280</v>
      </c>
      <c r="D179" s="397">
        <v>1922280</v>
      </c>
      <c r="E179" s="398">
        <v>1162500</v>
      </c>
      <c r="F179" s="412">
        <f t="shared" si="35"/>
        <v>0.60475060865222552</v>
      </c>
      <c r="G179" s="398">
        <v>1162500</v>
      </c>
      <c r="H179" s="412">
        <f t="shared" si="30"/>
        <v>0.60475060865222552</v>
      </c>
      <c r="I179" s="398">
        <v>0</v>
      </c>
      <c r="J179" s="427">
        <f t="shared" si="31"/>
        <v>0</v>
      </c>
      <c r="K179" s="664">
        <v>112500</v>
      </c>
      <c r="L179" s="412">
        <v>7.3899999999999993E-2</v>
      </c>
      <c r="M179" s="211">
        <f t="shared" si="33"/>
        <v>9.3333333333333339</v>
      </c>
      <c r="N179" s="664">
        <v>112500</v>
      </c>
      <c r="O179" s="412">
        <v>7.3899999999999993E-2</v>
      </c>
      <c r="P179" s="211">
        <f t="shared" si="34"/>
        <v>-1</v>
      </c>
    </row>
    <row r="180" spans="1:16" ht="14.4" thickBot="1" x14ac:dyDescent="0.3">
      <c r="A180" s="7" t="s">
        <v>19</v>
      </c>
      <c r="N180" s="97"/>
    </row>
    <row r="181" spans="1:16" ht="12.75" customHeight="1" x14ac:dyDescent="0.25">
      <c r="A181" s="8" t="s">
        <v>759</v>
      </c>
      <c r="C181" s="164" t="s">
        <v>767</v>
      </c>
      <c r="D181" s="743" t="s">
        <v>779</v>
      </c>
      <c r="E181" s="741"/>
      <c r="F181" s="741"/>
      <c r="G181" s="741"/>
      <c r="H181" s="741"/>
      <c r="I181" s="741"/>
      <c r="J181" s="742"/>
      <c r="K181" s="752" t="s">
        <v>780</v>
      </c>
      <c r="L181" s="750"/>
      <c r="M181" s="750"/>
      <c r="N181" s="750"/>
      <c r="O181" s="750"/>
      <c r="P181" s="753"/>
    </row>
    <row r="182" spans="1:16" ht="12.75" customHeight="1" x14ac:dyDescent="0.25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545</v>
      </c>
      <c r="L182" s="88" t="s">
        <v>546</v>
      </c>
      <c r="M182" s="88" t="s">
        <v>547</v>
      </c>
      <c r="N182" s="87" t="s">
        <v>39</v>
      </c>
      <c r="O182" s="88" t="s">
        <v>40</v>
      </c>
      <c r="P182" s="611" t="s">
        <v>362</v>
      </c>
    </row>
    <row r="183" spans="1:16" ht="14.1" customHeight="1" x14ac:dyDescent="0.25">
      <c r="A183" s="680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13" t="s">
        <v>766</v>
      </c>
      <c r="N183" s="564" t="s">
        <v>17</v>
      </c>
      <c r="O183" s="89" t="s">
        <v>18</v>
      </c>
      <c r="P183" s="612" t="s">
        <v>766</v>
      </c>
    </row>
    <row r="184" spans="1:16" x14ac:dyDescent="0.25">
      <c r="A184" s="37" t="s">
        <v>694</v>
      </c>
      <c r="B184" s="40" t="s">
        <v>695</v>
      </c>
      <c r="C184" s="530">
        <v>10510570.890000001</v>
      </c>
      <c r="D184" s="516">
        <v>10400570.890000001</v>
      </c>
      <c r="E184" s="180">
        <v>5575951.7000000002</v>
      </c>
      <c r="F184" s="48">
        <f t="shared" si="35"/>
        <v>0.53611977255606202</v>
      </c>
      <c r="G184" s="180">
        <v>5575951.7000000002</v>
      </c>
      <c r="H184" s="48">
        <f t="shared" si="30"/>
        <v>0.53611977255606202</v>
      </c>
      <c r="I184" s="180">
        <v>5262731.5199999996</v>
      </c>
      <c r="J184" s="153">
        <f t="shared" si="31"/>
        <v>0.50600410070374502</v>
      </c>
      <c r="K184" s="615">
        <v>9339313.5500000007</v>
      </c>
      <c r="L184" s="48">
        <v>0.5736</v>
      </c>
      <c r="M184" s="210">
        <f>+G184/K184-1</f>
        <v>-0.40295915003303429</v>
      </c>
      <c r="N184" s="615">
        <v>6854093.3700000001</v>
      </c>
      <c r="O184" s="48">
        <v>0.42099999999999999</v>
      </c>
      <c r="P184" s="210">
        <f>+I184/N184-1</f>
        <v>-0.23217685609088812</v>
      </c>
    </row>
    <row r="185" spans="1:16" x14ac:dyDescent="0.25">
      <c r="A185" s="39" t="s">
        <v>696</v>
      </c>
      <c r="B185" s="40" t="s">
        <v>697</v>
      </c>
      <c r="C185" s="200">
        <v>1031566.99</v>
      </c>
      <c r="D185" s="206">
        <v>1082779.1299999999</v>
      </c>
      <c r="E185" s="34">
        <v>406133.81</v>
      </c>
      <c r="F185" s="280">
        <f t="shared" si="35"/>
        <v>0.37508463060236491</v>
      </c>
      <c r="G185" s="34">
        <v>161125.69</v>
      </c>
      <c r="H185" s="280">
        <f t="shared" si="30"/>
        <v>0.14880753196637619</v>
      </c>
      <c r="I185" s="34">
        <v>48449.52</v>
      </c>
      <c r="J185" s="178">
        <f t="shared" si="31"/>
        <v>4.4745524417338929E-2</v>
      </c>
      <c r="K185" s="616">
        <v>102231.19</v>
      </c>
      <c r="L185" s="280">
        <v>0.1716</v>
      </c>
      <c r="M185" s="211">
        <f>+G185/K185-1</f>
        <v>0.57609130833750433</v>
      </c>
      <c r="N185" s="616">
        <v>30186.25</v>
      </c>
      <c r="O185" s="280">
        <v>5.0700000000000002E-2</v>
      </c>
      <c r="P185" s="211">
        <f t="shared" ref="P185:P191" si="36">+I185/N185-1</f>
        <v>0.60501950391320536</v>
      </c>
    </row>
    <row r="186" spans="1:16" x14ac:dyDescent="0.25">
      <c r="A186" s="39" t="s">
        <v>698</v>
      </c>
      <c r="B186" s="40" t="s">
        <v>699</v>
      </c>
      <c r="C186" s="200">
        <v>4649794.68</v>
      </c>
      <c r="D186" s="206">
        <v>4705707.68</v>
      </c>
      <c r="E186" s="34">
        <v>1864287.51</v>
      </c>
      <c r="F186" s="280">
        <f t="shared" si="35"/>
        <v>0.3961758011283863</v>
      </c>
      <c r="G186" s="34">
        <v>776803.92</v>
      </c>
      <c r="H186" s="280">
        <f t="shared" si="30"/>
        <v>0.16507696032661343</v>
      </c>
      <c r="I186" s="34">
        <v>318268.86</v>
      </c>
      <c r="J186" s="178">
        <f t="shared" si="31"/>
        <v>6.7634643212686765E-2</v>
      </c>
      <c r="K186" s="691">
        <v>317023.40999999997</v>
      </c>
      <c r="L186" s="418">
        <v>0.3775</v>
      </c>
      <c r="M186" s="211">
        <f>+G186/K186-1</f>
        <v>1.4503046005340745</v>
      </c>
      <c r="N186" s="691">
        <v>97131.92</v>
      </c>
      <c r="O186" s="280">
        <v>0.11559999999999999</v>
      </c>
      <c r="P186" s="211">
        <f t="shared" si="36"/>
        <v>2.2766660022781386</v>
      </c>
    </row>
    <row r="187" spans="1:16" x14ac:dyDescent="0.25">
      <c r="A187" s="39" t="s">
        <v>700</v>
      </c>
      <c r="B187" s="40" t="s">
        <v>702</v>
      </c>
      <c r="C187" s="200">
        <v>145653002</v>
      </c>
      <c r="D187" s="206">
        <v>145803475.97999999</v>
      </c>
      <c r="E187" s="34">
        <v>114326047.42</v>
      </c>
      <c r="F187" s="280">
        <f t="shared" si="35"/>
        <v>0.78411057522169236</v>
      </c>
      <c r="G187" s="34">
        <v>112365954.63</v>
      </c>
      <c r="H187" s="280">
        <f t="shared" si="30"/>
        <v>0.77066718659995015</v>
      </c>
      <c r="I187" s="34">
        <v>45357448.100000001</v>
      </c>
      <c r="J187" s="178">
        <f t="shared" si="31"/>
        <v>0.31108619184237918</v>
      </c>
      <c r="K187" s="691">
        <v>110924325</v>
      </c>
      <c r="L187" s="418">
        <v>0.95140000000000002</v>
      </c>
      <c r="M187" s="211">
        <f t="shared" ref="M187:M191" si="37">+G187/K187-1</f>
        <v>1.2996514786093982E-2</v>
      </c>
      <c r="N187" s="691">
        <v>53726164.079999998</v>
      </c>
      <c r="O187" s="280">
        <v>0.46079999999999999</v>
      </c>
      <c r="P187" s="211">
        <f t="shared" si="36"/>
        <v>-0.15576611737139301</v>
      </c>
    </row>
    <row r="188" spans="1:16" x14ac:dyDescent="0.25">
      <c r="A188" s="39" t="s">
        <v>701</v>
      </c>
      <c r="B188" s="40" t="s">
        <v>703</v>
      </c>
      <c r="C188" s="200">
        <v>16809054</v>
      </c>
      <c r="D188" s="206">
        <v>16809054</v>
      </c>
      <c r="E188" s="34">
        <v>14327012</v>
      </c>
      <c r="F188" s="280">
        <f t="shared" si="35"/>
        <v>0.85233898350258142</v>
      </c>
      <c r="G188" s="34">
        <v>14327012</v>
      </c>
      <c r="H188" s="280">
        <f t="shared" si="30"/>
        <v>0.85233898350258142</v>
      </c>
      <c r="I188" s="34">
        <v>3696877.95</v>
      </c>
      <c r="J188" s="178">
        <f t="shared" si="31"/>
        <v>0.21993373035746094</v>
      </c>
      <c r="K188" s="616">
        <v>16692043</v>
      </c>
      <c r="L188" s="280">
        <v>0.99299999999999999</v>
      </c>
      <c r="M188" s="211">
        <f t="shared" si="37"/>
        <v>-0.14168613152985532</v>
      </c>
      <c r="N188" s="616">
        <v>3816897.53</v>
      </c>
      <c r="O188" s="280">
        <v>0.2271</v>
      </c>
      <c r="P188" s="211">
        <f t="shared" si="36"/>
        <v>-3.1444276157971629E-2</v>
      </c>
    </row>
    <row r="189" spans="1:16" x14ac:dyDescent="0.25">
      <c r="A189" s="39">
        <v>4591</v>
      </c>
      <c r="B189" s="40" t="s">
        <v>762</v>
      </c>
      <c r="C189" s="200">
        <v>0</v>
      </c>
      <c r="D189" s="649">
        <v>0</v>
      </c>
      <c r="E189" s="725">
        <v>0</v>
      </c>
      <c r="F189" s="280" t="s">
        <v>129</v>
      </c>
      <c r="G189" s="725">
        <v>0</v>
      </c>
      <c r="H189" s="280" t="s">
        <v>129</v>
      </c>
      <c r="I189" s="725">
        <v>0</v>
      </c>
      <c r="J189" s="178" t="s">
        <v>129</v>
      </c>
      <c r="K189" s="616">
        <v>0</v>
      </c>
      <c r="L189" s="280">
        <v>0</v>
      </c>
      <c r="M189" s="211" t="s">
        <v>129</v>
      </c>
      <c r="N189" s="616">
        <v>0</v>
      </c>
      <c r="O189" s="280">
        <v>0</v>
      </c>
      <c r="P189" s="211" t="s">
        <v>129</v>
      </c>
    </row>
    <row r="190" spans="1:16" x14ac:dyDescent="0.25">
      <c r="A190" s="39">
        <v>4911</v>
      </c>
      <c r="B190" s="40" t="s">
        <v>704</v>
      </c>
      <c r="C190" s="200">
        <v>34765352.369999997</v>
      </c>
      <c r="D190" s="206">
        <v>37838133.950000003</v>
      </c>
      <c r="E190" s="34">
        <v>36916054.609999999</v>
      </c>
      <c r="F190" s="280">
        <f t="shared" si="35"/>
        <v>0.97563095100782571</v>
      </c>
      <c r="G190" s="34">
        <v>36847865.229999997</v>
      </c>
      <c r="H190" s="280">
        <f t="shared" si="30"/>
        <v>0.9738288172110029</v>
      </c>
      <c r="I190" s="34">
        <v>4337877.34</v>
      </c>
      <c r="J190" s="178">
        <f t="shared" si="31"/>
        <v>0.11464300395289445</v>
      </c>
      <c r="K190" s="616">
        <v>15669752</v>
      </c>
      <c r="L190" s="280">
        <v>0.91320000000000001</v>
      </c>
      <c r="M190" s="211">
        <f t="shared" si="37"/>
        <v>1.3515282966826785</v>
      </c>
      <c r="N190" s="616">
        <v>5400000</v>
      </c>
      <c r="O190" s="280">
        <v>0.31469999999999998</v>
      </c>
      <c r="P190" s="211">
        <f t="shared" si="36"/>
        <v>-0.19668938148148152</v>
      </c>
    </row>
    <row r="191" spans="1:16" x14ac:dyDescent="0.25">
      <c r="A191" s="666" t="s">
        <v>705</v>
      </c>
      <c r="B191" s="662" t="s">
        <v>706</v>
      </c>
      <c r="C191" s="661">
        <v>1548192.01</v>
      </c>
      <c r="D191" s="397">
        <v>1483243.86</v>
      </c>
      <c r="E191" s="398">
        <v>715223.77</v>
      </c>
      <c r="F191" s="412">
        <f t="shared" si="35"/>
        <v>0.48220241410606612</v>
      </c>
      <c r="G191" s="398">
        <v>293156.68</v>
      </c>
      <c r="H191" s="412">
        <f t="shared" si="30"/>
        <v>0.19764563866119761</v>
      </c>
      <c r="I191" s="398">
        <v>260875.15</v>
      </c>
      <c r="J191" s="427">
        <f t="shared" si="31"/>
        <v>0.17588149665423189</v>
      </c>
      <c r="K191" s="616">
        <v>452875.12</v>
      </c>
      <c r="L191" s="280">
        <v>0.27779999999999999</v>
      </c>
      <c r="M191" s="211">
        <f t="shared" si="37"/>
        <v>-0.35267656125600366</v>
      </c>
      <c r="N191" s="616">
        <v>388881.62</v>
      </c>
      <c r="O191" s="412">
        <v>0.23849999999999999</v>
      </c>
      <c r="P191" s="211">
        <f t="shared" si="36"/>
        <v>-0.32916564686189076</v>
      </c>
    </row>
    <row r="192" spans="1:16" x14ac:dyDescent="0.25">
      <c r="A192" s="18">
        <v>4</v>
      </c>
      <c r="B192" s="518" t="s">
        <v>123</v>
      </c>
      <c r="C192" s="201">
        <f>SUM(C174:C179,C184:C191)</f>
        <v>298186053.5</v>
      </c>
      <c r="D192" s="207">
        <f>SUM(D174:D179,D184:D191)</f>
        <v>306145488.05000001</v>
      </c>
      <c r="E192" s="203">
        <f>SUM(E174:E179,E184:E191)</f>
        <v>220702769.99000004</v>
      </c>
      <c r="F192" s="90">
        <f t="shared" si="35"/>
        <v>0.72090812572731633</v>
      </c>
      <c r="G192" s="203">
        <f>SUM(G174:G179,G184:G191)</f>
        <v>210059949.77000001</v>
      </c>
      <c r="H192" s="90">
        <f t="shared" si="30"/>
        <v>0.6861441960421536</v>
      </c>
      <c r="I192" s="203">
        <f>SUM(I174:I179,I184:I191)</f>
        <v>71793873.400000006</v>
      </c>
      <c r="J192" s="170">
        <f t="shared" si="31"/>
        <v>0.23450900373313538</v>
      </c>
      <c r="K192" s="568">
        <f>SUM(K174:K191)</f>
        <v>164043614.54000002</v>
      </c>
      <c r="L192" s="90">
        <v>0.65351007197894717</v>
      </c>
      <c r="M192" s="213">
        <f t="shared" ref="M192:M198" si="38">+G192/K192-1</f>
        <v>0.28051280971244075</v>
      </c>
      <c r="N192" s="568">
        <f>SUBTOTAL(9,N174:N191)</f>
        <v>79537038.480000004</v>
      </c>
      <c r="O192" s="90">
        <v>0.31109307778202738</v>
      </c>
      <c r="P192" s="213">
        <f t="shared" ref="P192:P198" si="39">+I192/N192-1</f>
        <v>-9.7352946853145106E-2</v>
      </c>
    </row>
    <row r="193" spans="1:16" x14ac:dyDescent="0.25">
      <c r="A193" s="37" t="s">
        <v>707</v>
      </c>
      <c r="B193" s="38" t="s">
        <v>113</v>
      </c>
      <c r="C193" s="198">
        <v>22797084.350000001</v>
      </c>
      <c r="D193" s="516">
        <v>23363590.890000001</v>
      </c>
      <c r="E193" s="180">
        <v>9539661.5600000005</v>
      </c>
      <c r="F193" s="48">
        <f t="shared" si="35"/>
        <v>0.40831315720748784</v>
      </c>
      <c r="G193" s="472">
        <v>8714161.5600000005</v>
      </c>
      <c r="H193" s="48">
        <f t="shared" si="30"/>
        <v>0.37298040361294821</v>
      </c>
      <c r="I193" s="30">
        <v>6747895.8799999999</v>
      </c>
      <c r="J193" s="153">
        <f t="shared" si="31"/>
        <v>0.28882100837025915</v>
      </c>
      <c r="K193" s="615">
        <v>9451810.9399999995</v>
      </c>
      <c r="L193" s="48">
        <v>0.4481</v>
      </c>
      <c r="M193" s="210">
        <f t="shared" si="38"/>
        <v>-7.8043179733766288E-2</v>
      </c>
      <c r="N193" s="615">
        <v>8031735.9199999999</v>
      </c>
      <c r="O193" s="48">
        <v>0.38080000000000003</v>
      </c>
      <c r="P193" s="210">
        <f t="shared" si="39"/>
        <v>-0.1598458979214048</v>
      </c>
    </row>
    <row r="194" spans="1:16" x14ac:dyDescent="0.25">
      <c r="A194" s="37" t="s">
        <v>708</v>
      </c>
      <c r="B194" s="38" t="s">
        <v>709</v>
      </c>
      <c r="C194" s="530">
        <v>7386447.1399999997</v>
      </c>
      <c r="D194" s="696">
        <v>6996896.0199999996</v>
      </c>
      <c r="E194" s="697">
        <v>2520635</v>
      </c>
      <c r="F194" s="48">
        <f t="shared" si="35"/>
        <v>0.36025045860264193</v>
      </c>
      <c r="G194" s="180">
        <v>1856652.41</v>
      </c>
      <c r="H194" s="48">
        <f t="shared" si="30"/>
        <v>0.26535372323569273</v>
      </c>
      <c r="I194" s="180">
        <v>1784243.35</v>
      </c>
      <c r="J194" s="153">
        <f t="shared" si="31"/>
        <v>0.25500498290955026</v>
      </c>
      <c r="K194" s="615">
        <v>3904545.61</v>
      </c>
      <c r="L194" s="48">
        <v>0.52349999999999997</v>
      </c>
      <c r="M194" s="210">
        <f>+G194/K194-1</f>
        <v>-0.52448950647550507</v>
      </c>
      <c r="N194" s="615">
        <v>3384240.47</v>
      </c>
      <c r="O194" s="48">
        <v>0.45379999999999998</v>
      </c>
      <c r="P194" s="210">
        <f t="shared" si="39"/>
        <v>-0.47277879163238068</v>
      </c>
    </row>
    <row r="195" spans="1:16" x14ac:dyDescent="0.25">
      <c r="A195" s="39" t="s">
        <v>710</v>
      </c>
      <c r="B195" s="40" t="s">
        <v>711</v>
      </c>
      <c r="C195" s="200">
        <v>53388679.920000002</v>
      </c>
      <c r="D195" s="206">
        <v>57667602.850000001</v>
      </c>
      <c r="E195" s="34">
        <v>22709174.670000002</v>
      </c>
      <c r="F195" s="48">
        <f t="shared" si="35"/>
        <v>0.39379432380897034</v>
      </c>
      <c r="G195" s="34">
        <v>19013521.260000002</v>
      </c>
      <c r="H195" s="48">
        <f t="shared" si="30"/>
        <v>0.32970888887919159</v>
      </c>
      <c r="I195" s="34">
        <v>12452314.68</v>
      </c>
      <c r="J195" s="153">
        <f t="shared" si="31"/>
        <v>0.21593258718226743</v>
      </c>
      <c r="K195" s="616">
        <v>20033311.289999999</v>
      </c>
      <c r="L195" s="280">
        <v>0.40739999999999998</v>
      </c>
      <c r="M195" s="211">
        <f t="shared" si="38"/>
        <v>-5.0904716411462325E-2</v>
      </c>
      <c r="N195" s="616">
        <v>15350521.26</v>
      </c>
      <c r="O195" s="280">
        <v>0.31219999999999998</v>
      </c>
      <c r="P195" s="211">
        <f t="shared" si="39"/>
        <v>-0.1888018348635544</v>
      </c>
    </row>
    <row r="196" spans="1:16" x14ac:dyDescent="0.25">
      <c r="A196" s="39" t="s">
        <v>712</v>
      </c>
      <c r="B196" s="40" t="s">
        <v>713</v>
      </c>
      <c r="C196" s="200">
        <v>877692.04</v>
      </c>
      <c r="D196" s="206">
        <v>884664.91</v>
      </c>
      <c r="E196" s="34">
        <v>316330.77</v>
      </c>
      <c r="F196" s="48">
        <f t="shared" si="35"/>
        <v>0.35757128651118308</v>
      </c>
      <c r="G196" s="34">
        <v>311630.62</v>
      </c>
      <c r="H196" s="48">
        <f t="shared" si="30"/>
        <v>0.35225837091243961</v>
      </c>
      <c r="I196" s="34">
        <v>282166.86</v>
      </c>
      <c r="J196" s="153">
        <f t="shared" si="31"/>
        <v>0.31895337636936449</v>
      </c>
      <c r="K196" s="616">
        <v>367967.5</v>
      </c>
      <c r="L196" s="280">
        <v>0.50690000000000002</v>
      </c>
      <c r="M196" s="211">
        <f t="shared" si="38"/>
        <v>-0.15310286913925819</v>
      </c>
      <c r="N196" s="616">
        <v>346910.61</v>
      </c>
      <c r="O196" s="280">
        <v>0.47789999999999999</v>
      </c>
      <c r="P196" s="211">
        <f t="shared" si="39"/>
        <v>-0.18662948936615109</v>
      </c>
    </row>
    <row r="197" spans="1:16" x14ac:dyDescent="0.25">
      <c r="A197" s="39" t="s">
        <v>714</v>
      </c>
      <c r="B197" s="40" t="s">
        <v>715</v>
      </c>
      <c r="C197" s="200">
        <v>4144550.55</v>
      </c>
      <c r="D197" s="206">
        <v>4181555.24</v>
      </c>
      <c r="E197" s="34">
        <v>1828434.22</v>
      </c>
      <c r="F197" s="48">
        <f t="shared" si="35"/>
        <v>0.43726176387902982</v>
      </c>
      <c r="G197" s="34">
        <v>1490296.74</v>
      </c>
      <c r="H197" s="48">
        <f t="shared" si="30"/>
        <v>0.35639771675000037</v>
      </c>
      <c r="I197" s="34">
        <v>1223687.2</v>
      </c>
      <c r="J197" s="153">
        <f t="shared" si="31"/>
        <v>0.29263925256670764</v>
      </c>
      <c r="K197" s="616">
        <v>1834834.53</v>
      </c>
      <c r="L197" s="280">
        <v>0.43009999999999998</v>
      </c>
      <c r="M197" s="211">
        <f t="shared" si="38"/>
        <v>-0.18777594620480575</v>
      </c>
      <c r="N197" s="616">
        <v>1552675.72</v>
      </c>
      <c r="O197" s="280">
        <v>0.36399999999999999</v>
      </c>
      <c r="P197" s="211">
        <f t="shared" si="39"/>
        <v>-0.21188488733500643</v>
      </c>
    </row>
    <row r="198" spans="1:16" x14ac:dyDescent="0.25">
      <c r="A198" s="39" t="s">
        <v>716</v>
      </c>
      <c r="B198" s="40" t="s">
        <v>717</v>
      </c>
      <c r="C198" s="200">
        <v>7218581.6100000003</v>
      </c>
      <c r="D198" s="206">
        <v>7260705.21</v>
      </c>
      <c r="E198" s="34">
        <v>3437221.45</v>
      </c>
      <c r="F198" s="48">
        <f t="shared" si="35"/>
        <v>0.47340049631349795</v>
      </c>
      <c r="G198" s="34">
        <v>2908744.82</v>
      </c>
      <c r="H198" s="48">
        <f t="shared" si="30"/>
        <v>0.40061464222426402</v>
      </c>
      <c r="I198" s="34">
        <v>2276643.41</v>
      </c>
      <c r="J198" s="153">
        <f t="shared" si="31"/>
        <v>0.31355678879021726</v>
      </c>
      <c r="K198" s="616">
        <v>2322227.36</v>
      </c>
      <c r="L198" s="280">
        <v>0.35260000000000002</v>
      </c>
      <c r="M198" s="211">
        <f t="shared" si="38"/>
        <v>0.25256676848385773</v>
      </c>
      <c r="N198" s="616">
        <v>2175370.33</v>
      </c>
      <c r="O198" s="280">
        <v>0.33029999999999998</v>
      </c>
      <c r="P198" s="211">
        <f t="shared" si="39"/>
        <v>4.6554408968150218E-2</v>
      </c>
    </row>
    <row r="199" spans="1:16" x14ac:dyDescent="0.25">
      <c r="A199" s="39" t="s">
        <v>718</v>
      </c>
      <c r="B199" s="40" t="s">
        <v>719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6">
        <v>0</v>
      </c>
      <c r="L199" s="418" t="s">
        <v>129</v>
      </c>
      <c r="M199" s="212" t="s">
        <v>129</v>
      </c>
      <c r="N199" s="616">
        <v>0</v>
      </c>
      <c r="O199" s="418" t="s">
        <v>129</v>
      </c>
      <c r="P199" s="211" t="s">
        <v>129</v>
      </c>
    </row>
    <row r="200" spans="1:16" x14ac:dyDescent="0.25">
      <c r="A200" s="39" t="s">
        <v>720</v>
      </c>
      <c r="B200" s="40" t="s">
        <v>721</v>
      </c>
      <c r="C200" s="200">
        <v>2204546.69</v>
      </c>
      <c r="D200" s="206">
        <v>2309210.9900000002</v>
      </c>
      <c r="E200" s="34">
        <v>1086039.1200000001</v>
      </c>
      <c r="F200" s="48">
        <f t="shared" ref="F200:F214" si="40">+E200/D200</f>
        <v>0.47030744470863617</v>
      </c>
      <c r="G200" s="34">
        <v>993420.80000000005</v>
      </c>
      <c r="H200" s="48">
        <f t="shared" ref="H200:H214" si="41">+G200/D200</f>
        <v>0.43019923441469504</v>
      </c>
      <c r="I200" s="34">
        <v>610952.14</v>
      </c>
      <c r="J200" s="153">
        <f t="shared" ref="J200:J214" si="42">+I200/D200</f>
        <v>0.26457181376916966</v>
      </c>
      <c r="K200" s="616">
        <v>1034902.57</v>
      </c>
      <c r="L200" s="280">
        <v>0.48180000000000001</v>
      </c>
      <c r="M200" s="211">
        <f>+G200/K200-1</f>
        <v>-4.0082778033878053E-2</v>
      </c>
      <c r="N200" s="616">
        <v>812384.9</v>
      </c>
      <c r="O200" s="280">
        <v>0.37819999999999998</v>
      </c>
      <c r="P200" s="211">
        <f>+I200/N200-1</f>
        <v>-0.24795236839089452</v>
      </c>
    </row>
    <row r="201" spans="1:16" x14ac:dyDescent="0.25">
      <c r="A201" s="39" t="s">
        <v>722</v>
      </c>
      <c r="B201" s="40" t="s">
        <v>723</v>
      </c>
      <c r="C201" s="200">
        <v>14812972.529999999</v>
      </c>
      <c r="D201" s="206">
        <v>14860449.24</v>
      </c>
      <c r="E201" s="34">
        <v>9417870.1600000001</v>
      </c>
      <c r="F201" s="48">
        <f t="shared" si="40"/>
        <v>0.63375406812398627</v>
      </c>
      <c r="G201" s="34">
        <v>3217962.07</v>
      </c>
      <c r="H201" s="48">
        <f t="shared" si="41"/>
        <v>0.21654540976716796</v>
      </c>
      <c r="I201" s="34">
        <v>1089043.94</v>
      </c>
      <c r="J201" s="153">
        <f t="shared" si="42"/>
        <v>7.3284725273890836E-2</v>
      </c>
      <c r="K201" s="616">
        <v>3147467.2</v>
      </c>
      <c r="L201" s="280">
        <v>0.32379999999999998</v>
      </c>
      <c r="M201" s="211">
        <f>+G201/K201-1</f>
        <v>2.2397332687057014E-2</v>
      </c>
      <c r="N201" s="616">
        <v>1406489.45</v>
      </c>
      <c r="O201" s="280">
        <v>0.1447</v>
      </c>
      <c r="P201" s="211">
        <f>+I201/N201-1</f>
        <v>-0.22570059803861309</v>
      </c>
    </row>
    <row r="202" spans="1:16" x14ac:dyDescent="0.25">
      <c r="A202" s="39" t="s">
        <v>724</v>
      </c>
      <c r="B202" s="40" t="s">
        <v>725</v>
      </c>
      <c r="C202" s="200">
        <v>871764.12</v>
      </c>
      <c r="D202" s="206">
        <v>881894.41</v>
      </c>
      <c r="E202" s="34">
        <v>23533.3</v>
      </c>
      <c r="F202" s="48">
        <f t="shared" si="40"/>
        <v>2.6684940660866643E-2</v>
      </c>
      <c r="G202" s="34">
        <v>8533.2999999999993</v>
      </c>
      <c r="H202" s="48">
        <f t="shared" si="41"/>
        <v>9.6761017002024077E-3</v>
      </c>
      <c r="I202" s="34">
        <v>403.01</v>
      </c>
      <c r="J202" s="153">
        <f t="shared" si="42"/>
        <v>4.5698214596915293E-4</v>
      </c>
      <c r="K202" s="691">
        <v>0</v>
      </c>
      <c r="L202" s="418">
        <v>0</v>
      </c>
      <c r="M202" s="211" t="s">
        <v>129</v>
      </c>
      <c r="N202" s="691">
        <v>0</v>
      </c>
      <c r="O202" s="418">
        <v>0</v>
      </c>
      <c r="P202" s="211" t="s">
        <v>129</v>
      </c>
    </row>
    <row r="203" spans="1:16" x14ac:dyDescent="0.25">
      <c r="A203" s="39" t="s">
        <v>726</v>
      </c>
      <c r="B203" s="40" t="s">
        <v>727</v>
      </c>
      <c r="C203" s="200">
        <v>16719312.35</v>
      </c>
      <c r="D203" s="206">
        <v>16906629.129999999</v>
      </c>
      <c r="E203" s="34">
        <v>8175473.7999999998</v>
      </c>
      <c r="F203" s="48">
        <f t="shared" si="40"/>
        <v>0.48356616432148591</v>
      </c>
      <c r="G203" s="34">
        <v>8120995.0599999996</v>
      </c>
      <c r="H203" s="48">
        <f t="shared" si="41"/>
        <v>0.48034383421764926</v>
      </c>
      <c r="I203" s="34">
        <v>4229035.5599999996</v>
      </c>
      <c r="J203" s="153">
        <f t="shared" si="42"/>
        <v>0.25014067130009848</v>
      </c>
      <c r="K203" s="691">
        <v>9610166.4000000004</v>
      </c>
      <c r="L203" s="280">
        <v>0.66169999999999995</v>
      </c>
      <c r="M203" s="211">
        <f t="shared" ref="M203:M212" si="43">+G203/K203-1</f>
        <v>-0.15495791415224613</v>
      </c>
      <c r="N203" s="616">
        <v>4475289.5199999996</v>
      </c>
      <c r="O203" s="280">
        <v>0.30819999999999997</v>
      </c>
      <c r="P203" s="211">
        <f>+I203/N203-1</f>
        <v>-5.5025257896610946E-2</v>
      </c>
    </row>
    <row r="204" spans="1:16" x14ac:dyDescent="0.25">
      <c r="A204" s="39" t="s">
        <v>728</v>
      </c>
      <c r="B204" s="40" t="s">
        <v>729</v>
      </c>
      <c r="C204" s="200">
        <v>22448323.75</v>
      </c>
      <c r="D204" s="206">
        <v>22718049.93</v>
      </c>
      <c r="E204" s="34">
        <v>13877768.609999999</v>
      </c>
      <c r="F204" s="48">
        <f t="shared" si="40"/>
        <v>0.61086971165046644</v>
      </c>
      <c r="G204" s="34">
        <v>10080764.119999999</v>
      </c>
      <c r="H204" s="48">
        <f t="shared" si="41"/>
        <v>0.44373368977801164</v>
      </c>
      <c r="I204" s="34">
        <v>3237913.6</v>
      </c>
      <c r="J204" s="153">
        <f t="shared" si="42"/>
        <v>0.14252603590435017</v>
      </c>
      <c r="K204" s="616">
        <v>6275920.0800000001</v>
      </c>
      <c r="L204" s="280">
        <v>0.28539999999999999</v>
      </c>
      <c r="M204" s="211">
        <f t="shared" si="43"/>
        <v>0.60626075404070456</v>
      </c>
      <c r="N204" s="616">
        <v>3082344.15</v>
      </c>
      <c r="O204" s="280">
        <v>0.14019999999999999</v>
      </c>
      <c r="P204" s="211">
        <f>+I204/N204-1</f>
        <v>5.047114871971714E-2</v>
      </c>
    </row>
    <row r="205" spans="1:16" x14ac:dyDescent="0.25">
      <c r="A205" s="39" t="s">
        <v>730</v>
      </c>
      <c r="B205" s="40" t="s">
        <v>731</v>
      </c>
      <c r="C205" s="200">
        <v>49281328.299999997</v>
      </c>
      <c r="D205" s="206">
        <v>49999157.020000003</v>
      </c>
      <c r="E205" s="34">
        <v>41305520.439999998</v>
      </c>
      <c r="F205" s="48">
        <f t="shared" si="40"/>
        <v>0.82612433692587073</v>
      </c>
      <c r="G205" s="34">
        <v>41087633.32</v>
      </c>
      <c r="H205" s="48">
        <f t="shared" si="41"/>
        <v>0.82176652105483838</v>
      </c>
      <c r="I205" s="34">
        <v>14183911.07</v>
      </c>
      <c r="J205" s="153">
        <f t="shared" si="42"/>
        <v>0.28368300418197728</v>
      </c>
      <c r="K205" s="616">
        <v>36335300.68</v>
      </c>
      <c r="L205" s="280">
        <v>0.73499999999999999</v>
      </c>
      <c r="M205" s="211">
        <f t="shared" si="43"/>
        <v>0.13079106409090002</v>
      </c>
      <c r="N205" s="616">
        <v>12993486.390000001</v>
      </c>
      <c r="O205" s="280">
        <v>0.26279999999999998</v>
      </c>
      <c r="P205" s="211">
        <f t="shared" ref="P205" si="44">+I205/N205-1</f>
        <v>9.1617033663587755E-2</v>
      </c>
    </row>
    <row r="206" spans="1:16" x14ac:dyDescent="0.25">
      <c r="A206" s="39" t="s">
        <v>732</v>
      </c>
      <c r="B206" s="40" t="s">
        <v>733</v>
      </c>
      <c r="C206" s="200">
        <v>13647818.9</v>
      </c>
      <c r="D206" s="206">
        <v>9829606.0399999991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6">
        <v>0</v>
      </c>
      <c r="L206" s="280">
        <v>0</v>
      </c>
      <c r="M206" s="212" t="s">
        <v>129</v>
      </c>
      <c r="N206" s="616">
        <v>0</v>
      </c>
      <c r="O206" s="280">
        <v>0</v>
      </c>
      <c r="P206" s="211" t="s">
        <v>129</v>
      </c>
    </row>
    <row r="207" spans="1:16" x14ac:dyDescent="0.25">
      <c r="A207" s="39" t="s">
        <v>734</v>
      </c>
      <c r="B207" s="40" t="s">
        <v>735</v>
      </c>
      <c r="C207" s="200">
        <v>30916505.399999999</v>
      </c>
      <c r="D207" s="206">
        <v>13498929.6</v>
      </c>
      <c r="E207" s="34">
        <v>2428.0500000000002</v>
      </c>
      <c r="F207" s="48">
        <f t="shared" si="40"/>
        <v>1.7986981723350866E-4</v>
      </c>
      <c r="G207" s="34">
        <v>2428.0500000000002</v>
      </c>
      <c r="H207" s="48">
        <f t="shared" si="41"/>
        <v>1.7986981723350866E-4</v>
      </c>
      <c r="I207" s="34">
        <v>2428.0500000000002</v>
      </c>
      <c r="J207" s="153">
        <f t="shared" si="42"/>
        <v>1.7986981723350866E-4</v>
      </c>
      <c r="K207" s="616">
        <v>9208474.9600000009</v>
      </c>
      <c r="L207" s="280">
        <v>0.77049999999999996</v>
      </c>
      <c r="M207" s="211">
        <f t="shared" si="43"/>
        <v>-0.99973632441739302</v>
      </c>
      <c r="N207" s="616">
        <v>9208474.9600000009</v>
      </c>
      <c r="O207" s="280">
        <v>0.77049999999999996</v>
      </c>
      <c r="P207" s="211">
        <f t="shared" ref="P207:P212" si="45">+I207/N207-1</f>
        <v>-0.99973632441739302</v>
      </c>
    </row>
    <row r="208" spans="1:16" x14ac:dyDescent="0.25">
      <c r="A208" s="253">
        <v>9311</v>
      </c>
      <c r="B208" s="40" t="s">
        <v>736</v>
      </c>
      <c r="C208" s="200">
        <v>5805408.6299999999</v>
      </c>
      <c r="D208" s="206">
        <v>5139664.4800000004</v>
      </c>
      <c r="E208" s="34">
        <v>2064386.6</v>
      </c>
      <c r="F208" s="280">
        <f t="shared" si="40"/>
        <v>0.40165785296553053</v>
      </c>
      <c r="G208" s="34">
        <v>1985239.1</v>
      </c>
      <c r="H208" s="280">
        <f t="shared" si="41"/>
        <v>0.38625850144988449</v>
      </c>
      <c r="I208" s="34">
        <v>1398015.96</v>
      </c>
      <c r="J208" s="178">
        <f t="shared" si="42"/>
        <v>0.27200529634572562</v>
      </c>
      <c r="K208" s="616">
        <v>2154156.2799999998</v>
      </c>
      <c r="L208" s="280">
        <v>0.44290000000000002</v>
      </c>
      <c r="M208" s="211">
        <f t="shared" si="43"/>
        <v>-7.841454288543992E-2</v>
      </c>
      <c r="N208" s="616">
        <v>1652890.27</v>
      </c>
      <c r="O208" s="280">
        <v>0.33979999999999999</v>
      </c>
      <c r="P208" s="211">
        <f t="shared" si="45"/>
        <v>-0.15419917137028105</v>
      </c>
    </row>
    <row r="209" spans="1:16" x14ac:dyDescent="0.25">
      <c r="A209" s="39" t="s">
        <v>737</v>
      </c>
      <c r="B209" s="40" t="s">
        <v>738</v>
      </c>
      <c r="C209" s="200">
        <v>30138334.93</v>
      </c>
      <c r="D209" s="206">
        <v>30139104.140000001</v>
      </c>
      <c r="E209" s="34">
        <v>27590832.34</v>
      </c>
      <c r="F209" s="280">
        <f t="shared" si="40"/>
        <v>0.91544965012354207</v>
      </c>
      <c r="G209" s="34">
        <v>27444429.07</v>
      </c>
      <c r="H209" s="280">
        <f t="shared" si="41"/>
        <v>0.91059206479784904</v>
      </c>
      <c r="I209" s="34">
        <v>7849030.4500000002</v>
      </c>
      <c r="J209" s="178">
        <f t="shared" si="42"/>
        <v>0.2604268001311601</v>
      </c>
      <c r="K209" s="616">
        <v>25208859.800000001</v>
      </c>
      <c r="L209" s="280">
        <v>0.85929999999999995</v>
      </c>
      <c r="M209" s="211">
        <f t="shared" si="43"/>
        <v>8.8681887548123006E-2</v>
      </c>
      <c r="N209" s="616">
        <v>8420410.1099999994</v>
      </c>
      <c r="O209" s="280">
        <v>0.28699999999999998</v>
      </c>
      <c r="P209" s="211">
        <f t="shared" si="45"/>
        <v>-6.7856512038699135E-2</v>
      </c>
    </row>
    <row r="210" spans="1:16" x14ac:dyDescent="0.25">
      <c r="A210" s="39" t="s">
        <v>739</v>
      </c>
      <c r="B210" s="40" t="s">
        <v>740</v>
      </c>
      <c r="C210" s="200">
        <v>113561295.48999999</v>
      </c>
      <c r="D210" s="206">
        <v>111447011.77</v>
      </c>
      <c r="E210" s="34">
        <v>85825614.269999996</v>
      </c>
      <c r="F210" s="280">
        <f t="shared" si="40"/>
        <v>0.7701024272155772</v>
      </c>
      <c r="G210" s="34">
        <v>84013539.760000005</v>
      </c>
      <c r="H210" s="280">
        <f t="shared" si="41"/>
        <v>0.75384291086587296</v>
      </c>
      <c r="I210" s="34">
        <v>26778261.879999999</v>
      </c>
      <c r="J210" s="178">
        <f t="shared" si="42"/>
        <v>0.2402779711605362</v>
      </c>
      <c r="K210" s="616">
        <v>68751603.099999994</v>
      </c>
      <c r="L210" s="280">
        <v>0.75349999999999995</v>
      </c>
      <c r="M210" s="211">
        <f t="shared" si="43"/>
        <v>0.2219866297197659</v>
      </c>
      <c r="N210" s="616">
        <v>25132125.030000001</v>
      </c>
      <c r="O210" s="280">
        <v>0.27539999999999998</v>
      </c>
      <c r="P210" s="211">
        <f t="shared" si="45"/>
        <v>6.5499310067693051E-2</v>
      </c>
    </row>
    <row r="211" spans="1:16" x14ac:dyDescent="0.25">
      <c r="A211" s="39" t="s">
        <v>741</v>
      </c>
      <c r="B211" s="40" t="s">
        <v>117</v>
      </c>
      <c r="C211" s="200">
        <v>799840.54</v>
      </c>
      <c r="D211" s="206">
        <v>801333.05</v>
      </c>
      <c r="E211" s="34">
        <v>261194.43</v>
      </c>
      <c r="F211" s="280">
        <f t="shared" si="40"/>
        <v>0.32594990310208716</v>
      </c>
      <c r="G211" s="34">
        <v>261194.43</v>
      </c>
      <c r="H211" s="280">
        <f t="shared" si="41"/>
        <v>0.32594990310208716</v>
      </c>
      <c r="I211" s="34">
        <v>261194.43</v>
      </c>
      <c r="J211" s="178">
        <f t="shared" si="42"/>
        <v>0.32594990310208716</v>
      </c>
      <c r="K211" s="616">
        <v>332207.76</v>
      </c>
      <c r="L211" s="280">
        <v>0.4163</v>
      </c>
      <c r="M211" s="211">
        <f t="shared" si="43"/>
        <v>-0.2137618037579857</v>
      </c>
      <c r="N211" s="616">
        <v>332207.76</v>
      </c>
      <c r="O211" s="280">
        <v>0.4163</v>
      </c>
      <c r="P211" s="211">
        <f t="shared" si="45"/>
        <v>-0.2137618037579857</v>
      </c>
    </row>
    <row r="212" spans="1:16" x14ac:dyDescent="0.25">
      <c r="A212" s="666">
        <v>9431</v>
      </c>
      <c r="B212" s="662" t="s">
        <v>742</v>
      </c>
      <c r="C212" s="661">
        <v>98287346.239999995</v>
      </c>
      <c r="D212" s="397">
        <v>98287346.239999995</v>
      </c>
      <c r="E212" s="398">
        <v>89498375.260000005</v>
      </c>
      <c r="F212" s="412">
        <f t="shared" si="40"/>
        <v>0.91057881491134263</v>
      </c>
      <c r="G212" s="398">
        <v>89498375.260000005</v>
      </c>
      <c r="H212" s="412">
        <f t="shared" si="41"/>
        <v>0.91057881491134263</v>
      </c>
      <c r="I212" s="398">
        <v>23451866.84</v>
      </c>
      <c r="J212" s="427">
        <f t="shared" si="42"/>
        <v>0.23860514844642122</v>
      </c>
      <c r="K212" s="616">
        <v>84274401.209999993</v>
      </c>
      <c r="L212" s="412">
        <v>0.94589999999999996</v>
      </c>
      <c r="M212" s="211">
        <f t="shared" si="43"/>
        <v>6.1987673302864588E-2</v>
      </c>
      <c r="N212" s="664">
        <v>29447490.739999998</v>
      </c>
      <c r="O212" s="412">
        <v>0.33050000000000002</v>
      </c>
      <c r="P212" s="443">
        <f t="shared" si="45"/>
        <v>-0.20360389796662171</v>
      </c>
    </row>
    <row r="213" spans="1:16" ht="13.8" thickBot="1" x14ac:dyDescent="0.3">
      <c r="A213" s="18">
        <v>9</v>
      </c>
      <c r="B213" s="2" t="s">
        <v>535</v>
      </c>
      <c r="C213" s="201">
        <f>SUBTOTAL(9,DTProg!C66:C78)</f>
        <v>496436210.86000007</v>
      </c>
      <c r="D213" s="207">
        <f>SUBTOTAL(9,DTProg!D66:D78)</f>
        <v>477173401.16000003</v>
      </c>
      <c r="E213" s="203">
        <f>SUBTOTAL(9,DTProg!E66:E78)</f>
        <v>319480494.04999995</v>
      </c>
      <c r="F213" s="535">
        <f t="shared" si="40"/>
        <v>0.6695270383331271</v>
      </c>
      <c r="G213" s="203">
        <f>SUBTOTAL(9,DTProg!G66:G78)</f>
        <v>301009521.75</v>
      </c>
      <c r="H213" s="535">
        <f t="shared" si="41"/>
        <v>0.63081789768300423</v>
      </c>
      <c r="I213" s="203">
        <f>SUBTOTAL(9,DTProg!I66:I78)</f>
        <v>107859008.31</v>
      </c>
      <c r="J213" s="536">
        <f t="shared" si="42"/>
        <v>0.22603734417676399</v>
      </c>
      <c r="K213" s="568">
        <f>SUM(K193:K212)</f>
        <v>284248157.26999998</v>
      </c>
      <c r="L213" s="90">
        <v>0.68059979370025248</v>
      </c>
      <c r="M213" s="647">
        <f>+G213/K213-1</f>
        <v>5.8967363732384204E-2</v>
      </c>
      <c r="N213" s="568">
        <f>SUM(N193:N212)</f>
        <v>127805047.59</v>
      </c>
      <c r="O213" s="90">
        <v>0.30601461011752845</v>
      </c>
      <c r="P213" s="647">
        <f>+I213/N213-1</f>
        <v>-0.15606613084631149</v>
      </c>
    </row>
    <row r="214" spans="1:16" ht="13.8" thickBot="1" x14ac:dyDescent="0.3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2751222224.7699976</v>
      </c>
      <c r="E214" s="209">
        <f>SUM(E85,E87:E120,E122:E130,E135:E147,E149:E172,E174:E179,E184:E191,E193:E212)</f>
        <v>1809552490.3499997</v>
      </c>
      <c r="F214" s="181">
        <f t="shared" si="40"/>
        <v>0.65772676378451345</v>
      </c>
      <c r="G214" s="209">
        <f>SUM(G85,G87:G120,G122:G130,G135:G147,G149:G172,G174:G179,G184:G191,G193:G212)</f>
        <v>1741801691.0699997</v>
      </c>
      <c r="H214" s="181">
        <f t="shared" si="41"/>
        <v>0.63310105428347008</v>
      </c>
      <c r="I214" s="209">
        <f>SUM(I85,I87:I120,I122:I130,I135:I147,I149:I172,I174:I179,I184:I191,I193:I212)</f>
        <v>618840016.1099999</v>
      </c>
      <c r="J214" s="173">
        <f t="shared" si="42"/>
        <v>0.22493276280571445</v>
      </c>
      <c r="K214" s="154">
        <f>K86+K121+K148+K173+K192+K213</f>
        <v>1675791120.3799999</v>
      </c>
      <c r="L214" s="181">
        <v>0.67873128806798277</v>
      </c>
      <c r="M214" s="181">
        <f>+G214/K214-1</f>
        <v>3.9390691290350999E-2</v>
      </c>
      <c r="N214" s="576">
        <f>N86+N121+N148+N173+N192+N213</f>
        <v>784125575.74000013</v>
      </c>
      <c r="O214" s="181">
        <v>0.31758764893585051</v>
      </c>
      <c r="P214" s="630">
        <f>+I214/N214-1</f>
        <v>-0.21078965505495195</v>
      </c>
    </row>
    <row r="296" spans="1:16" x14ac:dyDescent="0.25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5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5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20"/>
  <sheetViews>
    <sheetView topLeftCell="A194" zoomScaleNormal="100" workbookViewId="0">
      <pane xSplit="1" topLeftCell="C1" activePane="topRight" state="frozen"/>
      <selection activeCell="N21" sqref="N21"/>
      <selection pane="topRight" activeCell="I212" sqref="I212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22"/>
    </row>
    <row r="2" spans="1:16" x14ac:dyDescent="0.25">
      <c r="A2" s="754" t="s">
        <v>465</v>
      </c>
      <c r="B2" s="755"/>
      <c r="C2" s="164" t="s">
        <v>767</v>
      </c>
      <c r="D2" s="740" t="s">
        <v>779</v>
      </c>
      <c r="E2" s="741"/>
      <c r="F2" s="741"/>
      <c r="G2" s="741"/>
      <c r="H2" s="741"/>
      <c r="I2" s="741"/>
      <c r="J2" s="742"/>
      <c r="K2" s="749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11" t="s">
        <v>362</v>
      </c>
    </row>
    <row r="4" spans="1:16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3" t="s">
        <v>766</v>
      </c>
      <c r="N4" s="564" t="s">
        <v>17</v>
      </c>
      <c r="O4" s="89" t="s">
        <v>18</v>
      </c>
      <c r="P4" s="612" t="s">
        <v>766</v>
      </c>
    </row>
    <row r="5" spans="1:16" x14ac:dyDescent="0.25">
      <c r="A5" s="17" t="s">
        <v>53</v>
      </c>
      <c r="B5" s="13" t="s">
        <v>96</v>
      </c>
      <c r="C5" s="530">
        <v>24060000</v>
      </c>
      <c r="D5" s="516">
        <v>24060000</v>
      </c>
      <c r="E5" s="180">
        <v>5195550.55</v>
      </c>
      <c r="F5" s="78">
        <f>+E5/D5</f>
        <v>0.21594141936824604</v>
      </c>
      <c r="G5" s="180">
        <v>5195550.55</v>
      </c>
      <c r="H5" s="78">
        <f>+G5/D5</f>
        <v>0.21594141936824604</v>
      </c>
      <c r="I5" s="180">
        <v>5195550.55</v>
      </c>
      <c r="J5" s="172">
        <f>I5/D5</f>
        <v>0.21594141936824604</v>
      </c>
      <c r="K5" s="180">
        <v>6675443.3899999997</v>
      </c>
      <c r="L5" s="78">
        <v>0.18205215726313323</v>
      </c>
      <c r="M5" s="245">
        <f>+G5/K5-1</f>
        <v>-0.22169206651005691</v>
      </c>
      <c r="N5" s="180">
        <v>6675443.3899999997</v>
      </c>
      <c r="O5" s="172">
        <v>0.18205215726313323</v>
      </c>
      <c r="P5" s="245">
        <f>+I5/N5-1</f>
        <v>-0.22169206651005691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5195550.55</v>
      </c>
      <c r="F6" s="90">
        <f t="shared" ref="F6:F27" si="0">+E6/D6</f>
        <v>0.21594141936824604</v>
      </c>
      <c r="G6" s="203">
        <f>SUBTOTAL(9,G5:G5)</f>
        <v>5195550.55</v>
      </c>
      <c r="H6" s="90">
        <f>+G6/D6</f>
        <v>0.21594141936824604</v>
      </c>
      <c r="I6" s="203">
        <f>SUBTOTAL(9,I5:I5)</f>
        <v>5195550.55</v>
      </c>
      <c r="J6" s="170">
        <f>+I6/D6</f>
        <v>0.21594141936824604</v>
      </c>
      <c r="K6" s="568">
        <f>SUBTOTAL(9,K5:K5)</f>
        <v>6675443.3899999997</v>
      </c>
      <c r="L6" s="90">
        <v>0.18205215726313323</v>
      </c>
      <c r="M6" s="213">
        <f>+G6/K6-1</f>
        <v>-0.22169206651005691</v>
      </c>
      <c r="N6" s="568">
        <f>SUBTOTAL(9,N5:N5)</f>
        <v>6675443.3899999997</v>
      </c>
      <c r="O6" s="170">
        <v>0.18205215726313323</v>
      </c>
      <c r="P6" s="213">
        <f>+I6/N6-1</f>
        <v>-0.22169206651005691</v>
      </c>
    </row>
    <row r="7" spans="1:16" x14ac:dyDescent="0.25">
      <c r="A7" s="37" t="s">
        <v>54</v>
      </c>
      <c r="B7" s="38" t="s">
        <v>501</v>
      </c>
      <c r="C7" s="198">
        <v>8245978.9400000004</v>
      </c>
      <c r="D7" s="30">
        <v>19522658.879999999</v>
      </c>
      <c r="E7" s="30">
        <v>3296322.18</v>
      </c>
      <c r="F7" s="414">
        <f>+E7/D7</f>
        <v>0.16884596510452374</v>
      </c>
      <c r="G7" s="30">
        <v>2958854.59</v>
      </c>
      <c r="H7" s="48">
        <f>+G7/D7</f>
        <v>0.15156002100877766</v>
      </c>
      <c r="I7" s="30">
        <v>2554172.83</v>
      </c>
      <c r="J7" s="153">
        <f>I7/D7</f>
        <v>0.13083119700547677</v>
      </c>
      <c r="K7" s="30">
        <v>3675219.52</v>
      </c>
      <c r="L7" s="48">
        <v>0.44701458464301547</v>
      </c>
      <c r="M7" s="210">
        <f>+G7/K7-1</f>
        <v>-0.19491758957571059</v>
      </c>
      <c r="N7" s="30">
        <v>3344460.94</v>
      </c>
      <c r="O7" s="153">
        <v>0.40678463145213406</v>
      </c>
      <c r="P7" s="210">
        <f>+I7/N7-1</f>
        <v>-0.2362976049587231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169608455.03</v>
      </c>
      <c r="E8" s="32">
        <v>61859444.829999998</v>
      </c>
      <c r="F8" s="130">
        <f t="shared" ref="F8:F45" si="1">+E8/D8</f>
        <v>0.36471911037134574</v>
      </c>
      <c r="G8" s="32">
        <v>61117855.399999999</v>
      </c>
      <c r="H8" s="280">
        <f t="shared" ref="H8:H45" si="2">+G8/D8</f>
        <v>0.36034674915934817</v>
      </c>
      <c r="I8" s="32">
        <v>55707667.259999998</v>
      </c>
      <c r="J8" s="153">
        <f t="shared" ref="J8:J26" si="3">I8/D8</f>
        <v>0.32844864514653199</v>
      </c>
      <c r="K8" s="32">
        <v>79526673.950000003</v>
      </c>
      <c r="L8" s="280">
        <v>0.46019257009285441</v>
      </c>
      <c r="M8" s="210">
        <f>+G8/K8-1</f>
        <v>-0.23147979961508258</v>
      </c>
      <c r="N8" s="32">
        <v>73265896.969999999</v>
      </c>
      <c r="O8" s="178">
        <v>0.42396368101576531</v>
      </c>
      <c r="P8" s="210">
        <f>+I8/N8-1</f>
        <v>-0.23965078482816538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468</v>
      </c>
      <c r="C10" s="199">
        <v>14562809.07</v>
      </c>
      <c r="D10" s="32">
        <v>14666964.640000001</v>
      </c>
      <c r="E10" s="32">
        <v>12233187.300000001</v>
      </c>
      <c r="F10" s="130">
        <f t="shared" si="1"/>
        <v>0.83406400712506257</v>
      </c>
      <c r="G10" s="32">
        <v>12007063.039999999</v>
      </c>
      <c r="H10" s="280">
        <f t="shared" si="2"/>
        <v>0.81864675716570068</v>
      </c>
      <c r="I10" s="32">
        <v>2382890.23</v>
      </c>
      <c r="J10" s="153">
        <f t="shared" si="3"/>
        <v>0.16246648768084845</v>
      </c>
      <c r="K10" s="32">
        <v>12046436.390000001</v>
      </c>
      <c r="L10" s="280">
        <v>0.79859223789516776</v>
      </c>
      <c r="M10" s="210">
        <f t="shared" ref="M10:M20" si="4">+G10/K10-1</f>
        <v>-3.2684645255492972E-3</v>
      </c>
      <c r="N10" s="32">
        <v>1339787.1200000001</v>
      </c>
      <c r="O10" s="178">
        <v>8.8818266234494403E-2</v>
      </c>
      <c r="P10" s="210">
        <f t="shared" ref="P10:P20" si="5">+I10/N10-1</f>
        <v>0.77855884298992195</v>
      </c>
    </row>
    <row r="11" spans="1:16" x14ac:dyDescent="0.25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101297.65</v>
      </c>
      <c r="F11" s="130">
        <f t="shared" si="1"/>
        <v>0.31113343256047898</v>
      </c>
      <c r="G11" s="32">
        <v>101297.65</v>
      </c>
      <c r="H11" s="280">
        <f t="shared" si="2"/>
        <v>0.31113343256047898</v>
      </c>
      <c r="I11" s="32">
        <v>101297.65</v>
      </c>
      <c r="J11" s="153">
        <f t="shared" si="3"/>
        <v>0.31113343256047898</v>
      </c>
      <c r="K11" s="32">
        <v>174654.42</v>
      </c>
      <c r="L11" s="280">
        <v>0.39248414468228682</v>
      </c>
      <c r="M11" s="210">
        <f t="shared" si="4"/>
        <v>-0.42001095649340003</v>
      </c>
      <c r="N11" s="32">
        <v>174654.42</v>
      </c>
      <c r="O11" s="178">
        <v>0.39248414468228682</v>
      </c>
      <c r="P11" s="210">
        <f t="shared" si="5"/>
        <v>-0.42001095649340003</v>
      </c>
    </row>
    <row r="12" spans="1:16" x14ac:dyDescent="0.25">
      <c r="A12" s="39">
        <v>136</v>
      </c>
      <c r="B12" s="40" t="s">
        <v>469</v>
      </c>
      <c r="C12" s="199">
        <v>40845954.75</v>
      </c>
      <c r="D12" s="32">
        <v>41702050.460000001</v>
      </c>
      <c r="E12" s="32">
        <v>15799382.359999999</v>
      </c>
      <c r="F12" s="130">
        <f t="shared" si="1"/>
        <v>0.37886344162272156</v>
      </c>
      <c r="G12" s="32">
        <v>15391858.619999999</v>
      </c>
      <c r="H12" s="280">
        <f t="shared" si="2"/>
        <v>0.3690911705831742</v>
      </c>
      <c r="I12" s="32">
        <v>13338469.289999999</v>
      </c>
      <c r="J12" s="153">
        <f t="shared" si="3"/>
        <v>0.31985164141494826</v>
      </c>
      <c r="K12" s="32">
        <v>18790732.370000001</v>
      </c>
      <c r="L12" s="280">
        <v>0.43876688455660406</v>
      </c>
      <c r="M12" s="210">
        <f t="shared" si="4"/>
        <v>-0.18088032350598593</v>
      </c>
      <c r="N12" s="32">
        <v>17136600.57</v>
      </c>
      <c r="O12" s="178">
        <v>0.4001426179638482</v>
      </c>
      <c r="P12" s="210">
        <f t="shared" si="5"/>
        <v>-0.22163854870079414</v>
      </c>
    </row>
    <row r="13" spans="1:16" x14ac:dyDescent="0.25">
      <c r="A13" s="39" t="s">
        <v>58</v>
      </c>
      <c r="B13" s="40" t="s">
        <v>744</v>
      </c>
      <c r="C13" s="199">
        <v>27221948.489999998</v>
      </c>
      <c r="D13" s="32">
        <v>29964184.039999999</v>
      </c>
      <c r="E13" s="32">
        <v>12141338.890000001</v>
      </c>
      <c r="F13" s="130">
        <f t="shared" si="1"/>
        <v>0.40519504465037992</v>
      </c>
      <c r="G13" s="32">
        <v>11144367.77</v>
      </c>
      <c r="H13" s="280">
        <f t="shared" si="2"/>
        <v>0.37192295158523531</v>
      </c>
      <c r="I13" s="32">
        <v>6076578.9100000001</v>
      </c>
      <c r="J13" s="153">
        <f t="shared" si="3"/>
        <v>0.20279473994313379</v>
      </c>
      <c r="K13" s="32">
        <v>12925232.550000001</v>
      </c>
      <c r="L13" s="280">
        <v>0.61330400774008864</v>
      </c>
      <c r="M13" s="210">
        <f t="shared" si="4"/>
        <v>-0.13778203008037959</v>
      </c>
      <c r="N13" s="32">
        <v>7599205.4699999997</v>
      </c>
      <c r="O13" s="178">
        <v>0.36058331270731397</v>
      </c>
      <c r="P13" s="210">
        <f t="shared" si="5"/>
        <v>-0.20036654700428824</v>
      </c>
    </row>
    <row r="14" spans="1:16" x14ac:dyDescent="0.25">
      <c r="A14" s="39" t="s">
        <v>59</v>
      </c>
      <c r="B14" s="40" t="s">
        <v>476</v>
      </c>
      <c r="C14" s="199">
        <v>26796599.550000001</v>
      </c>
      <c r="D14" s="32">
        <v>26585228.219999999</v>
      </c>
      <c r="E14" s="32">
        <v>17571443.079999998</v>
      </c>
      <c r="F14" s="130">
        <f t="shared" si="1"/>
        <v>0.66094761100380728</v>
      </c>
      <c r="G14" s="32">
        <v>16827215.25</v>
      </c>
      <c r="H14" s="280">
        <f t="shared" si="2"/>
        <v>0.63295357522418894</v>
      </c>
      <c r="I14" s="32">
        <v>6897994.4400000004</v>
      </c>
      <c r="J14" s="153">
        <f t="shared" si="3"/>
        <v>0.25946718918179745</v>
      </c>
      <c r="K14" s="32">
        <v>17929175.850000001</v>
      </c>
      <c r="L14" s="280">
        <v>0.65283603666592716</v>
      </c>
      <c r="M14" s="210">
        <f t="shared" si="4"/>
        <v>-6.1461865800150672E-2</v>
      </c>
      <c r="N14" s="32">
        <v>8414075.5999999996</v>
      </c>
      <c r="O14" s="178">
        <v>0.30637279777204496</v>
      </c>
      <c r="P14" s="210">
        <f t="shared" si="5"/>
        <v>-0.18018392418532581</v>
      </c>
    </row>
    <row r="15" spans="1:16" x14ac:dyDescent="0.25">
      <c r="A15" s="39">
        <v>152</v>
      </c>
      <c r="B15" s="40" t="s">
        <v>470</v>
      </c>
      <c r="C15" s="199">
        <v>28986451.059999999</v>
      </c>
      <c r="D15" s="32">
        <v>28986451.059999999</v>
      </c>
      <c r="E15" s="32">
        <v>26721983.719999999</v>
      </c>
      <c r="F15" s="130">
        <f t="shared" si="1"/>
        <v>0.92187842053127833</v>
      </c>
      <c r="G15" s="32">
        <v>26640124.710000001</v>
      </c>
      <c r="H15" s="280">
        <f t="shared" si="2"/>
        <v>0.91905437664158129</v>
      </c>
      <c r="I15" s="32">
        <v>7861862.6100000003</v>
      </c>
      <c r="J15" s="153">
        <f t="shared" si="3"/>
        <v>0.27122542851922349</v>
      </c>
      <c r="K15" s="32">
        <v>19329339.41</v>
      </c>
      <c r="L15" s="280">
        <v>0.82594361127264038</v>
      </c>
      <c r="M15" s="210">
        <f t="shared" si="4"/>
        <v>0.37822220123144912</v>
      </c>
      <c r="N15" s="32">
        <v>9565877.7400000002</v>
      </c>
      <c r="O15" s="178">
        <v>0.40875042017631807</v>
      </c>
      <c r="P15" s="210">
        <f t="shared" si="5"/>
        <v>-0.17813473852740247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36729210.759999998</v>
      </c>
      <c r="E16" s="32">
        <v>25941048.050000001</v>
      </c>
      <c r="F16" s="78">
        <f t="shared" si="1"/>
        <v>0.70627839567549699</v>
      </c>
      <c r="G16" s="32">
        <v>25457566.100000001</v>
      </c>
      <c r="H16" s="280">
        <f t="shared" si="2"/>
        <v>0.6931149777855995</v>
      </c>
      <c r="I16" s="32">
        <v>5055316.34</v>
      </c>
      <c r="J16" s="153">
        <f t="shared" si="3"/>
        <v>0.13763748894668598</v>
      </c>
      <c r="K16" s="32">
        <v>20687456.239999998</v>
      </c>
      <c r="L16" s="280">
        <v>0.75945594131624261</v>
      </c>
      <c r="M16" s="210">
        <f t="shared" si="4"/>
        <v>0.23057981632255053</v>
      </c>
      <c r="N16" s="32">
        <v>5760868.6100000003</v>
      </c>
      <c r="O16" s="178">
        <v>0.21148689535580836</v>
      </c>
      <c r="P16" s="210">
        <f t="shared" si="5"/>
        <v>-0.12247324453386566</v>
      </c>
    </row>
    <row r="17" spans="1:16" x14ac:dyDescent="0.25">
      <c r="A17" s="39" t="s">
        <v>489</v>
      </c>
      <c r="B17" s="40" t="s">
        <v>162</v>
      </c>
      <c r="C17" s="199">
        <v>18215182.399999999</v>
      </c>
      <c r="D17" s="32">
        <v>18415182.399999999</v>
      </c>
      <c r="E17" s="32">
        <v>18124807.469999999</v>
      </c>
      <c r="F17" s="414">
        <f t="shared" si="1"/>
        <v>0.98423176465523365</v>
      </c>
      <c r="G17" s="32">
        <v>18124807.469999999</v>
      </c>
      <c r="H17" s="280">
        <f t="shared" si="2"/>
        <v>0.98423176465523365</v>
      </c>
      <c r="I17" s="32">
        <v>4600649.43</v>
      </c>
      <c r="J17" s="153">
        <f t="shared" si="3"/>
        <v>0.24982915347067103</v>
      </c>
      <c r="K17" s="32">
        <v>19349633.260000002</v>
      </c>
      <c r="L17" s="280">
        <v>0.87534206799709346</v>
      </c>
      <c r="M17" s="210">
        <f t="shared" si="4"/>
        <v>-6.329969015650494E-2</v>
      </c>
      <c r="N17" s="32">
        <v>6158767.1799999997</v>
      </c>
      <c r="O17" s="178">
        <v>0.27861137868686547</v>
      </c>
      <c r="P17" s="210">
        <f t="shared" si="5"/>
        <v>-0.25299182522434627</v>
      </c>
    </row>
    <row r="18" spans="1:16" x14ac:dyDescent="0.25">
      <c r="A18" s="39" t="s">
        <v>61</v>
      </c>
      <c r="B18" s="40" t="s">
        <v>478</v>
      </c>
      <c r="C18" s="199">
        <v>8305266.9900000002</v>
      </c>
      <c r="D18" s="32">
        <v>8326562.9900000002</v>
      </c>
      <c r="E18" s="32">
        <v>6341788.7300000004</v>
      </c>
      <c r="F18" s="78">
        <f t="shared" si="1"/>
        <v>0.76163342997781136</v>
      </c>
      <c r="G18" s="32">
        <v>6341788.7300000004</v>
      </c>
      <c r="H18" s="280">
        <f t="shared" si="2"/>
        <v>0.76163342997781136</v>
      </c>
      <c r="I18" s="32">
        <v>1166025.6599999999</v>
      </c>
      <c r="J18" s="153">
        <f t="shared" si="3"/>
        <v>0.14003685090719525</v>
      </c>
      <c r="K18" s="32">
        <v>6140658.3200000003</v>
      </c>
      <c r="L18" s="280">
        <v>0.99583507764852397</v>
      </c>
      <c r="M18" s="210">
        <f t="shared" si="4"/>
        <v>3.2753883951647689E-2</v>
      </c>
      <c r="N18" s="32">
        <v>879427.06</v>
      </c>
      <c r="O18" s="178">
        <v>0.14261733334502044</v>
      </c>
      <c r="P18" s="210">
        <f t="shared" si="5"/>
        <v>0.32589240544861098</v>
      </c>
    </row>
    <row r="19" spans="1:16" x14ac:dyDescent="0.25">
      <c r="A19" s="39" t="s">
        <v>62</v>
      </c>
      <c r="B19" s="40" t="s">
        <v>490</v>
      </c>
      <c r="C19" s="199">
        <v>103800543.09999999</v>
      </c>
      <c r="D19" s="32">
        <v>100328587.58</v>
      </c>
      <c r="E19" s="32">
        <v>92949303.439999998</v>
      </c>
      <c r="F19" s="414">
        <f t="shared" si="1"/>
        <v>0.9264488385813674</v>
      </c>
      <c r="G19" s="32">
        <v>92949303.439999998</v>
      </c>
      <c r="H19" s="280">
        <f t="shared" si="2"/>
        <v>0.9264488385813674</v>
      </c>
      <c r="I19" s="32">
        <v>11388830.75</v>
      </c>
      <c r="J19" s="153">
        <f t="shared" si="3"/>
        <v>0.11351531028899191</v>
      </c>
      <c r="K19" s="32">
        <v>93341383.900000006</v>
      </c>
      <c r="L19" s="280">
        <v>0.63934950229749843</v>
      </c>
      <c r="M19" s="210">
        <f t="shared" si="4"/>
        <v>-4.2004997528219956E-3</v>
      </c>
      <c r="N19" s="32">
        <v>15614217.359999999</v>
      </c>
      <c r="O19" s="178">
        <v>0.10695086874409367</v>
      </c>
      <c r="P19" s="210">
        <f t="shared" si="5"/>
        <v>-0.27061148904103638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173802254.97</v>
      </c>
      <c r="F20" s="130">
        <f t="shared" si="1"/>
        <v>0.99579992316845523</v>
      </c>
      <c r="G20" s="32">
        <v>173774130.75</v>
      </c>
      <c r="H20" s="280">
        <f t="shared" si="2"/>
        <v>0.99563878546561002</v>
      </c>
      <c r="I20" s="32">
        <v>29453649.850000001</v>
      </c>
      <c r="J20" s="153">
        <f t="shared" si="3"/>
        <v>0.16875467043119333</v>
      </c>
      <c r="K20" s="32">
        <v>174592933.40000001</v>
      </c>
      <c r="L20" s="280">
        <v>0.98692708963966569</v>
      </c>
      <c r="M20" s="210">
        <f t="shared" si="4"/>
        <v>-4.6897811615553842E-3</v>
      </c>
      <c r="N20" s="32">
        <v>28063724.890000001</v>
      </c>
      <c r="O20" s="178">
        <v>0.15863672023128941</v>
      </c>
      <c r="P20" s="210">
        <f t="shared" si="5"/>
        <v>4.9527458149195125E-2</v>
      </c>
    </row>
    <row r="21" spans="1:16" x14ac:dyDescent="0.25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29549630.02</v>
      </c>
      <c r="E22" s="32">
        <v>24189520.84</v>
      </c>
      <c r="F22" s="130">
        <f t="shared" si="1"/>
        <v>0.81860655526407167</v>
      </c>
      <c r="G22" s="32">
        <v>24189022.27</v>
      </c>
      <c r="H22" s="280">
        <f t="shared" si="2"/>
        <v>0.81858968297160428</v>
      </c>
      <c r="I22" s="32">
        <v>3425299.61</v>
      </c>
      <c r="J22" s="153">
        <f t="shared" si="3"/>
        <v>0.11591683576686622</v>
      </c>
      <c r="K22" s="32">
        <v>22009251.609999999</v>
      </c>
      <c r="L22" s="280">
        <v>0.7177122149488715</v>
      </c>
      <c r="M22" s="210">
        <f>+G22/K22-1</f>
        <v>9.9038835968852768E-2</v>
      </c>
      <c r="N22" s="32">
        <v>3633060.99</v>
      </c>
      <c r="O22" s="178">
        <v>0.1184725540141726</v>
      </c>
      <c r="P22" s="210">
        <f>+I22/N22-1</f>
        <v>-5.7186317700656186E-2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2306840.9</v>
      </c>
      <c r="E23" s="32">
        <v>2226972.7999999998</v>
      </c>
      <c r="F23" s="130">
        <f t="shared" si="1"/>
        <v>0.96537771633925851</v>
      </c>
      <c r="G23" s="32">
        <v>1521532.92</v>
      </c>
      <c r="H23" s="280">
        <f t="shared" si="2"/>
        <v>0.65957427753253373</v>
      </c>
      <c r="I23" s="32">
        <v>521226.4</v>
      </c>
      <c r="J23" s="153">
        <f t="shared" si="3"/>
        <v>0.22594813539156516</v>
      </c>
      <c r="K23" s="32">
        <v>784958.1</v>
      </c>
      <c r="L23" s="280">
        <v>0.44118841753049692</v>
      </c>
      <c r="M23" s="210">
        <f>+G23/K23-1</f>
        <v>0.93836195842809955</v>
      </c>
      <c r="N23" s="32">
        <v>285465.62</v>
      </c>
      <c r="O23" s="178">
        <v>0.1604469399668112</v>
      </c>
      <c r="P23" s="210">
        <f>+I23/N23-1</f>
        <v>0.82588151946283417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48748731.82</v>
      </c>
      <c r="F24" s="130">
        <f t="shared" si="1"/>
        <v>0.99890649760465833</v>
      </c>
      <c r="G24" s="32">
        <v>48748731.82</v>
      </c>
      <c r="H24" s="280">
        <f t="shared" si="2"/>
        <v>0.99890649760465833</v>
      </c>
      <c r="I24" s="32">
        <v>10500000</v>
      </c>
      <c r="J24" s="153">
        <f t="shared" si="3"/>
        <v>0.21515468881481381</v>
      </c>
      <c r="K24" s="32">
        <v>47823873</v>
      </c>
      <c r="L24" s="280">
        <v>0.99905252263540734</v>
      </c>
      <c r="M24" s="210">
        <f>+G24/K24-1</f>
        <v>1.9338852376092674E-2</v>
      </c>
      <c r="N24" s="32">
        <v>10300000</v>
      </c>
      <c r="O24" s="178">
        <v>0.2151695447824708</v>
      </c>
      <c r="P24" s="210">
        <f>+I24/N24-1</f>
        <v>1.9417475728155331E-2</v>
      </c>
    </row>
    <row r="25" spans="1:16" x14ac:dyDescent="0.25">
      <c r="A25" s="41" t="s">
        <v>492</v>
      </c>
      <c r="B25" s="42" t="s">
        <v>493</v>
      </c>
      <c r="C25" s="199">
        <v>3847206.77</v>
      </c>
      <c r="D25" s="32">
        <v>4267905.3499999996</v>
      </c>
      <c r="E25" s="32">
        <v>3183387.15</v>
      </c>
      <c r="F25" s="130">
        <f t="shared" si="1"/>
        <v>0.74588981922947284</v>
      </c>
      <c r="G25" s="32">
        <v>2526030.25</v>
      </c>
      <c r="H25" s="280">
        <f t="shared" si="2"/>
        <v>0.59186651128521406</v>
      </c>
      <c r="I25" s="32">
        <v>276197.64</v>
      </c>
      <c r="J25" s="153">
        <f t="shared" si="3"/>
        <v>6.4715034038887495E-2</v>
      </c>
      <c r="K25" s="32">
        <v>1150707.3700000001</v>
      </c>
      <c r="L25" s="390">
        <v>0.55297059914953794</v>
      </c>
      <c r="M25" s="210">
        <f>+G25/K25-1</f>
        <v>1.195197767786957</v>
      </c>
      <c r="N25" s="32">
        <v>324978.46999999997</v>
      </c>
      <c r="O25" s="178">
        <v>0.15616788764166872</v>
      </c>
      <c r="P25" s="210">
        <f>+I25/N25-1</f>
        <v>-0.15010480540449334</v>
      </c>
    </row>
    <row r="26" spans="1:16" x14ac:dyDescent="0.25">
      <c r="A26" s="666" t="s">
        <v>68</v>
      </c>
      <c r="B26" s="662" t="s">
        <v>131</v>
      </c>
      <c r="C26" s="661">
        <v>3772412.45</v>
      </c>
      <c r="D26" s="397">
        <v>3779582.45</v>
      </c>
      <c r="E26" s="398">
        <v>2640518.81</v>
      </c>
      <c r="F26" s="130">
        <f t="shared" si="1"/>
        <v>0.69862712215736955</v>
      </c>
      <c r="G26" s="398">
        <v>2442988.48</v>
      </c>
      <c r="H26" s="280">
        <f t="shared" si="2"/>
        <v>0.64636464803142468</v>
      </c>
      <c r="I26" s="398">
        <v>935738.29</v>
      </c>
      <c r="J26" s="153">
        <f t="shared" si="3"/>
        <v>0.24757716027599821</v>
      </c>
      <c r="K26" s="398">
        <v>1260608.19</v>
      </c>
      <c r="L26" s="412">
        <v>0.69305552158381389</v>
      </c>
      <c r="M26" s="443">
        <f>+G26/K26-1</f>
        <v>0.9379443187656904</v>
      </c>
      <c r="N26" s="398">
        <v>695548.28</v>
      </c>
      <c r="O26" s="427">
        <v>0.38239762346944983</v>
      </c>
      <c r="P26" s="443">
        <f>+I26/N26-1</f>
        <v>0.34532471275753851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825115573.75</v>
      </c>
      <c r="E27" s="203">
        <f>SUBTOTAL(9,E7:E26)</f>
        <v>547872734.08999991</v>
      </c>
      <c r="F27" s="90">
        <f t="shared" si="0"/>
        <v>0.66399514385605174</v>
      </c>
      <c r="G27" s="203">
        <f>SUBTOTAL(9,G7:G26)</f>
        <v>542264539.25999999</v>
      </c>
      <c r="H27" s="90">
        <f t="shared" si="2"/>
        <v>0.65719828410886294</v>
      </c>
      <c r="I27" s="203">
        <f>SUBTOTAL(9,I7:I26)</f>
        <v>162243867.18999997</v>
      </c>
      <c r="J27" s="170">
        <f t="shared" ref="J27" si="6">+I27/D27</f>
        <v>0.19663168694372249</v>
      </c>
      <c r="K27" s="568">
        <f>SUM(K7:K26)</f>
        <v>551538927.85000014</v>
      </c>
      <c r="L27" s="90">
        <v>0.6583007056070036</v>
      </c>
      <c r="M27" s="213">
        <f t="shared" ref="M27" si="7">+G27/K27-1</f>
        <v>-1.6815474160914445E-2</v>
      </c>
      <c r="N27" s="568">
        <f>SUBTOTAL(9,N7:N26)</f>
        <v>192556617.29000002</v>
      </c>
      <c r="O27" s="170">
        <v>0.22982993698276039</v>
      </c>
      <c r="P27" s="213">
        <f t="shared" ref="P27:P32" si="8">+I27/N27-1</f>
        <v>-0.15742253123582617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159056.17000000001</v>
      </c>
      <c r="F28" s="414">
        <f t="shared" si="1"/>
        <v>0.28385706037645503</v>
      </c>
      <c r="G28" s="30">
        <v>159056.17000000001</v>
      </c>
      <c r="H28" s="48">
        <f t="shared" si="2"/>
        <v>0.28385706037645503</v>
      </c>
      <c r="I28" s="30">
        <v>159056.17000000001</v>
      </c>
      <c r="J28" s="153">
        <f>I28/D28</f>
        <v>0.28385706037645503</v>
      </c>
      <c r="K28" s="30">
        <v>172743.47</v>
      </c>
      <c r="L28" s="48">
        <v>0.29071506964685645</v>
      </c>
      <c r="M28" s="210">
        <f>+G28/K28-1</f>
        <v>-7.9234833015685013E-2</v>
      </c>
      <c r="N28" s="30">
        <v>172743.47</v>
      </c>
      <c r="O28" s="153">
        <v>0.29071506964685645</v>
      </c>
      <c r="P28" s="210">
        <f t="shared" si="8"/>
        <v>-7.9234833015685013E-2</v>
      </c>
    </row>
    <row r="29" spans="1:16" x14ac:dyDescent="0.25">
      <c r="A29" s="39" t="s">
        <v>70</v>
      </c>
      <c r="B29" s="40" t="s">
        <v>745</v>
      </c>
      <c r="C29" s="199">
        <v>27012393.300000001</v>
      </c>
      <c r="D29" s="32">
        <v>26788981.73</v>
      </c>
      <c r="E29" s="32">
        <v>10351167.74</v>
      </c>
      <c r="F29" s="130">
        <f t="shared" si="1"/>
        <v>0.38639646121405602</v>
      </c>
      <c r="G29" s="32">
        <v>8932179.1500000004</v>
      </c>
      <c r="H29" s="280">
        <f t="shared" si="2"/>
        <v>0.33342734860269735</v>
      </c>
      <c r="I29" s="32">
        <v>6669650.4800000004</v>
      </c>
      <c r="J29" s="153">
        <f t="shared" ref="J29:J32" si="9">I29/D29</f>
        <v>0.24896991409460342</v>
      </c>
      <c r="K29" s="32">
        <v>9426606.6600000001</v>
      </c>
      <c r="L29" s="280">
        <v>0.42180831990508888</v>
      </c>
      <c r="M29" s="211">
        <f>+G29/K29-1</f>
        <v>-5.2450211177051509E-2</v>
      </c>
      <c r="N29" s="32">
        <v>7753244.4900000002</v>
      </c>
      <c r="O29" s="153">
        <v>0.34693110151901552</v>
      </c>
      <c r="P29" s="211">
        <f t="shared" si="8"/>
        <v>-0.13976007223783549</v>
      </c>
    </row>
    <row r="30" spans="1:16" x14ac:dyDescent="0.25">
      <c r="A30" s="39" t="s">
        <v>71</v>
      </c>
      <c r="B30" s="40" t="s">
        <v>479</v>
      </c>
      <c r="C30" s="199">
        <v>243331620.75999999</v>
      </c>
      <c r="D30" s="32">
        <v>249581888.30000001</v>
      </c>
      <c r="E30" s="32">
        <v>217467670.13999999</v>
      </c>
      <c r="F30" s="130">
        <f t="shared" si="1"/>
        <v>0.87132793016856092</v>
      </c>
      <c r="G30" s="32">
        <v>204539751.40000001</v>
      </c>
      <c r="H30" s="280">
        <f t="shared" si="2"/>
        <v>0.81952962529933704</v>
      </c>
      <c r="I30" s="32">
        <v>75025566.049999997</v>
      </c>
      <c r="J30" s="153">
        <f t="shared" si="9"/>
        <v>0.30060501008718427</v>
      </c>
      <c r="K30" s="32">
        <v>158595092.03</v>
      </c>
      <c r="L30" s="280">
        <v>0.87966418371167743</v>
      </c>
      <c r="M30" s="211">
        <f>+G30/K30-1</f>
        <v>0.28969786379838958</v>
      </c>
      <c r="N30" s="32">
        <v>63205412.149999999</v>
      </c>
      <c r="O30" s="153">
        <v>0.35057539658650105</v>
      </c>
      <c r="P30" s="211">
        <f t="shared" si="8"/>
        <v>0.18701173677893657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39785831.899999999</v>
      </c>
      <c r="E31" s="32">
        <v>27536282.27</v>
      </c>
      <c r="F31" s="414">
        <f t="shared" si="1"/>
        <v>0.69211276866627491</v>
      </c>
      <c r="G31" s="32">
        <v>15340014.1</v>
      </c>
      <c r="H31" s="280">
        <f t="shared" si="2"/>
        <v>0.38556474421740067</v>
      </c>
      <c r="I31" s="32">
        <v>4437903.03</v>
      </c>
      <c r="J31" s="153">
        <f t="shared" si="9"/>
        <v>0.11154480924652981</v>
      </c>
      <c r="K31" s="32">
        <v>13285960.630000001</v>
      </c>
      <c r="L31" s="280">
        <v>0.4624196570700001</v>
      </c>
      <c r="M31" s="211">
        <f>+G31/K31-1</f>
        <v>0.15460330850009441</v>
      </c>
      <c r="N31" s="32">
        <v>4129353.49</v>
      </c>
      <c r="O31" s="153">
        <v>0.14372270684401448</v>
      </c>
      <c r="P31" s="211">
        <f t="shared" si="8"/>
        <v>7.4721028545318369E-2</v>
      </c>
    </row>
    <row r="32" spans="1:16" x14ac:dyDescent="0.25">
      <c r="A32" s="41">
        <v>234</v>
      </c>
      <c r="B32" s="42" t="s">
        <v>431</v>
      </c>
      <c r="C32" s="199">
        <v>10668077.699999999</v>
      </c>
      <c r="D32" s="32">
        <v>10674570.699999999</v>
      </c>
      <c r="E32" s="32">
        <v>10569974.73</v>
      </c>
      <c r="F32" s="130">
        <f t="shared" si="1"/>
        <v>0.99020138861415763</v>
      </c>
      <c r="G32" s="32">
        <v>10515773.039999999</v>
      </c>
      <c r="H32" s="280">
        <f t="shared" si="2"/>
        <v>0.98512374272812675</v>
      </c>
      <c r="I32" s="32">
        <v>2707397.31</v>
      </c>
      <c r="J32" s="153">
        <f t="shared" si="9"/>
        <v>0.25363055677733254</v>
      </c>
      <c r="K32" s="32">
        <v>8876712.2300000004</v>
      </c>
      <c r="L32" s="243">
        <v>0.98475564157278594</v>
      </c>
      <c r="M32" s="520">
        <f>+G32/K32-1</f>
        <v>0.18464728466251046</v>
      </c>
      <c r="N32" s="32">
        <v>3704511.63</v>
      </c>
      <c r="O32" s="153">
        <v>0.41096733028986526</v>
      </c>
      <c r="P32" s="520">
        <f t="shared" si="8"/>
        <v>-0.2691621513413901</v>
      </c>
    </row>
    <row r="33" spans="1:16" x14ac:dyDescent="0.25">
      <c r="A33" s="18">
        <v>2</v>
      </c>
      <c r="B33" s="518" t="s">
        <v>125</v>
      </c>
      <c r="C33" s="201">
        <f>SUBTOTAL(9,C28:C32)</f>
        <v>321210830.55999994</v>
      </c>
      <c r="D33" s="207">
        <f>SUBTOTAL(9,D28:D32)</f>
        <v>327391611.58999997</v>
      </c>
      <c r="E33" s="203">
        <f>SUBTOTAL(9,E28:E32)</f>
        <v>266084151.04999998</v>
      </c>
      <c r="F33" s="90">
        <f>E33/D33</f>
        <v>0.81273967209405251</v>
      </c>
      <c r="G33" s="203">
        <f>SUBTOTAL(9,G28:G32)</f>
        <v>239486773.85999998</v>
      </c>
      <c r="H33" s="90">
        <f t="shared" si="2"/>
        <v>0.73149941960001941</v>
      </c>
      <c r="I33" s="203">
        <f>SUBTOTAL(9,I28:I32)</f>
        <v>88999573.040000007</v>
      </c>
      <c r="J33" s="170">
        <f>I33/D33</f>
        <v>0.27184439029383628</v>
      </c>
      <c r="K33" s="568">
        <f>SUM(K28:K32)</f>
        <v>190357115.01999998</v>
      </c>
      <c r="L33" s="90">
        <v>0.78070072731247642</v>
      </c>
      <c r="M33" s="213">
        <f t="shared" ref="M33:M56" si="10">+G33/K33-1</f>
        <v>0.25809205416271497</v>
      </c>
      <c r="N33" s="568">
        <f>SUBTOTAL(9,N28:N32)</f>
        <v>78965265.229999989</v>
      </c>
      <c r="O33" s="170">
        <v>0.32385571713989514</v>
      </c>
      <c r="P33" s="213">
        <f t="shared" ref="P33:P55" si="11">+I33/N33-1</f>
        <v>0.12707242584158185</v>
      </c>
    </row>
    <row r="34" spans="1:16" x14ac:dyDescent="0.25">
      <c r="A34" s="37" t="s">
        <v>494</v>
      </c>
      <c r="B34" s="38" t="s">
        <v>472</v>
      </c>
      <c r="C34" s="198">
        <v>19998074.850000001</v>
      </c>
      <c r="D34" s="30">
        <v>19983074.850000001</v>
      </c>
      <c r="E34" s="30">
        <v>18092874.370000001</v>
      </c>
      <c r="F34" s="78">
        <f t="shared" si="1"/>
        <v>0.90540992844251889</v>
      </c>
      <c r="G34" s="30">
        <v>17781996.219999999</v>
      </c>
      <c r="H34" s="280">
        <f t="shared" si="2"/>
        <v>0.88985285565299266</v>
      </c>
      <c r="I34" s="30">
        <v>7226770.6900000004</v>
      </c>
      <c r="J34" s="153">
        <f>I34/D34</f>
        <v>0.36164457893725999</v>
      </c>
      <c r="K34" s="30">
        <v>16154565.970000001</v>
      </c>
      <c r="L34" s="48">
        <v>0.97299964330639477</v>
      </c>
      <c r="M34" s="210">
        <f t="shared" si="10"/>
        <v>0.1007411931104949</v>
      </c>
      <c r="N34" s="30">
        <v>6493274.3399999999</v>
      </c>
      <c r="O34" s="153">
        <v>0.39109398720110367</v>
      </c>
      <c r="P34" s="210">
        <f t="shared" si="11"/>
        <v>0.1129624764937931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2248848</v>
      </c>
      <c r="E35" s="32">
        <v>2248848</v>
      </c>
      <c r="F35" s="78">
        <f t="shared" si="1"/>
        <v>1</v>
      </c>
      <c r="G35" s="32">
        <v>2248848</v>
      </c>
      <c r="H35" s="280">
        <f t="shared" si="2"/>
        <v>1</v>
      </c>
      <c r="I35" s="32">
        <v>1500000</v>
      </c>
      <c r="J35" s="153">
        <f t="shared" ref="J35:J45" si="12">I35/D35</f>
        <v>0.66700817485219099</v>
      </c>
      <c r="K35" s="32">
        <v>2248848</v>
      </c>
      <c r="L35" s="48">
        <v>1</v>
      </c>
      <c r="M35" s="210">
        <f t="shared" si="10"/>
        <v>0</v>
      </c>
      <c r="N35" s="32">
        <v>750000</v>
      </c>
      <c r="O35" s="153">
        <v>0.3335040874260955</v>
      </c>
      <c r="P35" s="210">
        <f t="shared" si="11"/>
        <v>1</v>
      </c>
    </row>
    <row r="36" spans="1:16" x14ac:dyDescent="0.25">
      <c r="A36" s="37">
        <v>313</v>
      </c>
      <c r="B36" s="38" t="s">
        <v>763</v>
      </c>
      <c r="C36" s="199">
        <v>9000</v>
      </c>
      <c r="D36" s="32">
        <v>9000</v>
      </c>
      <c r="E36" s="32">
        <v>6000</v>
      </c>
      <c r="F36" s="78">
        <f t="shared" si="1"/>
        <v>0.66666666666666663</v>
      </c>
      <c r="G36" s="32">
        <v>0</v>
      </c>
      <c r="H36" s="280">
        <f t="shared" si="2"/>
        <v>0</v>
      </c>
      <c r="I36" s="32">
        <v>0</v>
      </c>
      <c r="J36" s="153">
        <f t="shared" si="12"/>
        <v>0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5">
      <c r="A37" s="39" t="s">
        <v>74</v>
      </c>
      <c r="B37" s="40" t="s">
        <v>656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0</v>
      </c>
      <c r="J37" s="153">
        <f t="shared" si="12"/>
        <v>0</v>
      </c>
      <c r="K37" s="32">
        <v>8261679.1600000001</v>
      </c>
      <c r="L37" s="280">
        <v>1</v>
      </c>
      <c r="M37" s="212">
        <f t="shared" si="10"/>
        <v>0.29210254758912702</v>
      </c>
      <c r="N37" s="32">
        <v>3000000</v>
      </c>
      <c r="O37" s="178">
        <v>0.36312230745111629</v>
      </c>
      <c r="P37" s="210">
        <f t="shared" si="11"/>
        <v>-1</v>
      </c>
    </row>
    <row r="38" spans="1:16" x14ac:dyDescent="0.25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28900875</v>
      </c>
      <c r="J38" s="153">
        <f t="shared" si="12"/>
        <v>0.68523184721377395</v>
      </c>
      <c r="K38" s="32">
        <v>39307154.049999997</v>
      </c>
      <c r="L38" s="610">
        <v>1</v>
      </c>
      <c r="M38" s="211">
        <f t="shared" si="10"/>
        <v>7.3005261493868101E-2</v>
      </c>
      <c r="N38" s="32">
        <v>26300000</v>
      </c>
      <c r="O38" s="178">
        <v>0.66908939697199987</v>
      </c>
      <c r="P38" s="210">
        <f t="shared" si="11"/>
        <v>9.8892585551330736E-2</v>
      </c>
    </row>
    <row r="39" spans="1:16" x14ac:dyDescent="0.25">
      <c r="A39" s="39">
        <v>324</v>
      </c>
      <c r="B39" s="40" t="s">
        <v>474</v>
      </c>
      <c r="C39" s="199">
        <v>8163831</v>
      </c>
      <c r="D39" s="32">
        <v>8163831</v>
      </c>
      <c r="E39" s="32">
        <v>7463831</v>
      </c>
      <c r="F39" s="78">
        <f t="shared" si="1"/>
        <v>0.91425594184886971</v>
      </c>
      <c r="G39" s="32">
        <v>7463831</v>
      </c>
      <c r="H39" s="280">
        <f t="shared" si="2"/>
        <v>0.91425594184886971</v>
      </c>
      <c r="I39" s="32">
        <v>0</v>
      </c>
      <c r="J39" s="153">
        <f t="shared" si="12"/>
        <v>0</v>
      </c>
      <c r="K39" s="32">
        <v>7493661</v>
      </c>
      <c r="L39" s="280">
        <v>1</v>
      </c>
      <c r="M39" s="211">
        <f t="shared" si="10"/>
        <v>-3.9806978191300191E-3</v>
      </c>
      <c r="N39" s="32">
        <v>29830</v>
      </c>
      <c r="O39" s="178">
        <v>3.9806978191300624E-3</v>
      </c>
      <c r="P39" s="210">
        <f t="shared" si="11"/>
        <v>-1</v>
      </c>
    </row>
    <row r="40" spans="1:16" x14ac:dyDescent="0.25">
      <c r="A40" s="39" t="s">
        <v>473</v>
      </c>
      <c r="B40" s="40" t="s">
        <v>114</v>
      </c>
      <c r="C40" s="199">
        <v>17924191.510000002</v>
      </c>
      <c r="D40" s="32">
        <v>18018918.27</v>
      </c>
      <c r="E40" s="32">
        <v>17286615.140000001</v>
      </c>
      <c r="F40" s="78">
        <f t="shared" si="1"/>
        <v>0.95935920686097886</v>
      </c>
      <c r="G40" s="32">
        <v>17088188.93</v>
      </c>
      <c r="H40" s="280">
        <f t="shared" si="2"/>
        <v>0.94834710241460018</v>
      </c>
      <c r="I40" s="32">
        <v>167611.96</v>
      </c>
      <c r="J40" s="153">
        <f t="shared" si="12"/>
        <v>9.3019990150607409E-3</v>
      </c>
      <c r="K40" s="32">
        <v>13776916.18</v>
      </c>
      <c r="L40" s="280">
        <v>0.96622921317939836</v>
      </c>
      <c r="M40" s="211">
        <f t="shared" si="10"/>
        <v>0.24034934282368559</v>
      </c>
      <c r="N40" s="32">
        <v>92647.4</v>
      </c>
      <c r="O40" s="178">
        <v>6.4977258506567319E-3</v>
      </c>
      <c r="P40" s="210">
        <f t="shared" si="11"/>
        <v>0.80913830285577371</v>
      </c>
    </row>
    <row r="41" spans="1:16" x14ac:dyDescent="0.25">
      <c r="A41" s="39">
        <v>328</v>
      </c>
      <c r="B41" s="40" t="s">
        <v>432</v>
      </c>
      <c r="C41" s="199">
        <v>9502324.5999999996</v>
      </c>
      <c r="D41" s="32">
        <v>9502324.5999999996</v>
      </c>
      <c r="E41" s="32">
        <v>9502324.5999999996</v>
      </c>
      <c r="F41" s="78">
        <f t="shared" si="1"/>
        <v>1</v>
      </c>
      <c r="G41" s="32">
        <v>9502324.5999999996</v>
      </c>
      <c r="H41" s="280">
        <f t="shared" si="2"/>
        <v>1</v>
      </c>
      <c r="I41" s="32">
        <v>0</v>
      </c>
      <c r="J41" s="153">
        <f t="shared" si="12"/>
        <v>0</v>
      </c>
      <c r="K41" s="32">
        <v>9039781.6799999997</v>
      </c>
      <c r="L41" s="280">
        <v>1</v>
      </c>
      <c r="M41" s="212">
        <f t="shared" si="10"/>
        <v>5.1167487929863364E-2</v>
      </c>
      <c r="N41" s="32">
        <v>0</v>
      </c>
      <c r="O41" s="178">
        <v>0</v>
      </c>
      <c r="P41" s="210" t="s">
        <v>129</v>
      </c>
    </row>
    <row r="42" spans="1:16" x14ac:dyDescent="0.25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15900000</v>
      </c>
      <c r="J42" s="153">
        <f t="shared" si="12"/>
        <v>0.47638748688484278</v>
      </c>
      <c r="K42" s="32">
        <v>28919222.559999999</v>
      </c>
      <c r="L42" s="610">
        <v>1</v>
      </c>
      <c r="M42" s="211">
        <f t="shared" si="10"/>
        <v>0.15411786920457238</v>
      </c>
      <c r="N42" s="32">
        <v>20500000</v>
      </c>
      <c r="O42" s="178">
        <v>0.70887106171224823</v>
      </c>
      <c r="P42" s="210">
        <f t="shared" si="11"/>
        <v>-0.224390243902439</v>
      </c>
    </row>
    <row r="43" spans="1:16" x14ac:dyDescent="0.25">
      <c r="A43" s="39" t="s">
        <v>433</v>
      </c>
      <c r="B43" s="40" t="s">
        <v>502</v>
      </c>
      <c r="C43" s="199">
        <v>24741430.09</v>
      </c>
      <c r="D43" s="32">
        <v>26999978.949999999</v>
      </c>
      <c r="E43" s="32">
        <v>13157115.09</v>
      </c>
      <c r="F43" s="78">
        <f t="shared" si="1"/>
        <v>0.48730093880313935</v>
      </c>
      <c r="G43" s="32">
        <v>13157115.09</v>
      </c>
      <c r="H43" s="280">
        <f t="shared" si="2"/>
        <v>0.48730093880313935</v>
      </c>
      <c r="I43" s="32">
        <v>1977259.05</v>
      </c>
      <c r="J43" s="153">
        <f t="shared" si="12"/>
        <v>7.3231873760405283E-2</v>
      </c>
      <c r="K43" s="32">
        <v>10837834.5</v>
      </c>
      <c r="L43" s="280">
        <v>0.87904043402310106</v>
      </c>
      <c r="M43" s="211">
        <f t="shared" si="10"/>
        <v>0.21399852433620392</v>
      </c>
      <c r="N43" s="32">
        <v>1054028.53</v>
      </c>
      <c r="O43" s="178">
        <v>8.5490666653373529E-2</v>
      </c>
      <c r="P43" s="210">
        <f t="shared" si="11"/>
        <v>0.87590657531822225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12619013.119999999</v>
      </c>
      <c r="E44" s="32">
        <v>12592318.890000001</v>
      </c>
      <c r="F44" s="78">
        <f t="shared" si="1"/>
        <v>0.99788460240542176</v>
      </c>
      <c r="G44" s="32">
        <v>12502775.15</v>
      </c>
      <c r="H44" s="280">
        <f t="shared" si="2"/>
        <v>0.99078866398706156</v>
      </c>
      <c r="I44" s="32">
        <v>7020233.6500000004</v>
      </c>
      <c r="J44" s="153">
        <f t="shared" si="12"/>
        <v>0.55632192337398889</v>
      </c>
      <c r="K44" s="32">
        <v>12397135.449999999</v>
      </c>
      <c r="L44" s="280">
        <v>0.99333758286793383</v>
      </c>
      <c r="M44" s="211">
        <f t="shared" si="10"/>
        <v>8.5212991683494277E-3</v>
      </c>
      <c r="N44" s="32">
        <v>16832.93</v>
      </c>
      <c r="O44" s="178">
        <v>1.3487617414702951E-3</v>
      </c>
      <c r="P44" s="210">
        <f t="shared" si="11"/>
        <v>416.05357593716604</v>
      </c>
    </row>
    <row r="45" spans="1:16" x14ac:dyDescent="0.25">
      <c r="A45" s="39" t="s">
        <v>77</v>
      </c>
      <c r="B45" s="40" t="s">
        <v>481</v>
      </c>
      <c r="C45" s="199">
        <v>65286878.990000002</v>
      </c>
      <c r="D45" s="32">
        <v>65286878.990000002</v>
      </c>
      <c r="E45" s="32">
        <v>65286878.990000002</v>
      </c>
      <c r="F45" s="414">
        <f t="shared" si="1"/>
        <v>1</v>
      </c>
      <c r="G45" s="32">
        <v>65286878.990000002</v>
      </c>
      <c r="H45" s="280">
        <f t="shared" si="2"/>
        <v>1</v>
      </c>
      <c r="I45" s="32">
        <v>24000000</v>
      </c>
      <c r="J45" s="153">
        <f t="shared" si="12"/>
        <v>0.36760832147721567</v>
      </c>
      <c r="K45" s="32">
        <v>64496879.130000003</v>
      </c>
      <c r="L45" s="280">
        <v>1</v>
      </c>
      <c r="M45" s="211">
        <f t="shared" si="10"/>
        <v>1.2248652503134005E-2</v>
      </c>
      <c r="N45" s="32">
        <v>51277327.799999997</v>
      </c>
      <c r="O45" s="178">
        <v>0.79503579850189865</v>
      </c>
      <c r="P45" s="210">
        <f t="shared" si="11"/>
        <v>-0.53195688953198528</v>
      </c>
    </row>
    <row r="46" spans="1:16" ht="14.4" thickBot="1" x14ac:dyDescent="0.3">
      <c r="A46" s="7" t="s">
        <v>19</v>
      </c>
      <c r="N46" s="97"/>
      <c r="P46" s="522"/>
    </row>
    <row r="47" spans="1:16" x14ac:dyDescent="0.25">
      <c r="A47" s="754" t="s">
        <v>465</v>
      </c>
      <c r="B47" s="755"/>
      <c r="C47" s="164" t="s">
        <v>767</v>
      </c>
      <c r="D47" s="740" t="s">
        <v>779</v>
      </c>
      <c r="E47" s="741"/>
      <c r="F47" s="741"/>
      <c r="G47" s="741"/>
      <c r="H47" s="741"/>
      <c r="I47" s="741"/>
      <c r="J47" s="742"/>
      <c r="K47" s="749" t="s">
        <v>780</v>
      </c>
      <c r="L47" s="750"/>
      <c r="M47" s="750"/>
      <c r="N47" s="750"/>
      <c r="O47" s="750"/>
      <c r="P47" s="753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545</v>
      </c>
      <c r="L48" s="88" t="s">
        <v>546</v>
      </c>
      <c r="M48" s="88" t="s">
        <v>547</v>
      </c>
      <c r="N48" s="87" t="s">
        <v>39</v>
      </c>
      <c r="O48" s="88" t="s">
        <v>40</v>
      </c>
      <c r="P48" s="611" t="s">
        <v>362</v>
      </c>
    </row>
    <row r="49" spans="1:16" x14ac:dyDescent="0.25">
      <c r="A49" s="680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13" t="s">
        <v>766</v>
      </c>
      <c r="N49" s="564" t="s">
        <v>17</v>
      </c>
      <c r="O49" s="89" t="s">
        <v>18</v>
      </c>
      <c r="P49" s="612" t="s">
        <v>766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17797623.359999999</v>
      </c>
      <c r="E50" s="32">
        <v>16962450.25</v>
      </c>
      <c r="F50" s="414">
        <f>+E50/D50</f>
        <v>0.95307389682843591</v>
      </c>
      <c r="G50" s="30">
        <v>16653544.550000001</v>
      </c>
      <c r="H50" s="48">
        <f>+G50/D50</f>
        <v>0.93571732658578977</v>
      </c>
      <c r="I50" s="30">
        <v>1159030.19</v>
      </c>
      <c r="J50" s="153">
        <f t="shared" ref="J50:J80" si="13">+I50/D50</f>
        <v>6.5122750749120245E-2</v>
      </c>
      <c r="K50" s="30">
        <v>15448455.91</v>
      </c>
      <c r="L50" s="48">
        <v>0.94311861385166607</v>
      </c>
      <c r="M50" s="210">
        <f t="shared" si="10"/>
        <v>7.8007060836412068E-2</v>
      </c>
      <c r="N50" s="30">
        <v>1071226.78</v>
      </c>
      <c r="O50" s="153">
        <v>6.5397727886863197E-2</v>
      </c>
      <c r="P50" s="210">
        <f t="shared" si="11"/>
        <v>8.1965286566118012E-2</v>
      </c>
    </row>
    <row r="51" spans="1:16" x14ac:dyDescent="0.25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5">
      <c r="A52" s="39" t="s">
        <v>497</v>
      </c>
      <c r="B52" s="40" t="s">
        <v>483</v>
      </c>
      <c r="C52" s="199">
        <v>15245118.1</v>
      </c>
      <c r="D52" s="32">
        <v>15862072.17</v>
      </c>
      <c r="E52" s="32">
        <v>13418331.75</v>
      </c>
      <c r="F52" s="130">
        <f t="shared" si="14"/>
        <v>0.84593813508036764</v>
      </c>
      <c r="G52" s="32">
        <v>12772478.880000001</v>
      </c>
      <c r="H52" s="280">
        <f t="shared" si="15"/>
        <v>0.80522133193648182</v>
      </c>
      <c r="I52" s="32">
        <v>5312859.74</v>
      </c>
      <c r="J52" s="178">
        <f t="shared" si="13"/>
        <v>0.33494108985635768</v>
      </c>
      <c r="K52" s="32">
        <v>9851079.8499999996</v>
      </c>
      <c r="L52" s="280">
        <v>0.77057727746916704</v>
      </c>
      <c r="M52" s="211">
        <f t="shared" si="10"/>
        <v>0.29655622271704574</v>
      </c>
      <c r="N52" s="32">
        <v>5355977.0599999996</v>
      </c>
      <c r="O52" s="178">
        <v>0.41895855925704567</v>
      </c>
      <c r="P52" s="211">
        <f t="shared" si="11"/>
        <v>-8.050318273767898E-3</v>
      </c>
    </row>
    <row r="53" spans="1:16" x14ac:dyDescent="0.25">
      <c r="A53" s="39">
        <v>338</v>
      </c>
      <c r="B53" s="40" t="s">
        <v>428</v>
      </c>
      <c r="C53" s="199">
        <v>8127724.7699999996</v>
      </c>
      <c r="D53" s="32">
        <v>8064555.5700000003</v>
      </c>
      <c r="E53" s="32">
        <v>7323174.9400000004</v>
      </c>
      <c r="F53" s="130">
        <f t="shared" si="14"/>
        <v>0.90806925148387319</v>
      </c>
      <c r="G53" s="32">
        <v>7067362.7800000003</v>
      </c>
      <c r="H53" s="280">
        <f t="shared" si="15"/>
        <v>0.87634869877894583</v>
      </c>
      <c r="I53" s="32">
        <v>670698.59</v>
      </c>
      <c r="J53" s="178">
        <f t="shared" si="13"/>
        <v>8.3166218420638885E-2</v>
      </c>
      <c r="K53" s="32">
        <v>4897484.47</v>
      </c>
      <c r="L53" s="280">
        <v>0.73826720036130355</v>
      </c>
      <c r="M53" s="211">
        <f t="shared" si="10"/>
        <v>0.4430597632910922</v>
      </c>
      <c r="N53" s="32">
        <v>428621.71</v>
      </c>
      <c r="O53" s="178">
        <v>6.4612221191132149E-2</v>
      </c>
      <c r="P53" s="211">
        <f t="shared" si="11"/>
        <v>0.56477979148559676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13094609.029999999</v>
      </c>
      <c r="E54" s="32">
        <v>12089902.15</v>
      </c>
      <c r="F54" s="130">
        <f t="shared" si="14"/>
        <v>0.92327324338602268</v>
      </c>
      <c r="G54" s="32">
        <v>12013478.810000001</v>
      </c>
      <c r="H54" s="280">
        <f t="shared" si="15"/>
        <v>0.91743699888075247</v>
      </c>
      <c r="I54" s="32">
        <v>2722670.67</v>
      </c>
      <c r="J54" s="392">
        <f t="shared" si="13"/>
        <v>0.20792302112742042</v>
      </c>
      <c r="K54" s="32">
        <v>11219794.16</v>
      </c>
      <c r="L54" s="412">
        <v>0.97181850379270873</v>
      </c>
      <c r="M54" s="211">
        <f t="shared" si="10"/>
        <v>7.0739680129746629E-2</v>
      </c>
      <c r="N54" s="32">
        <v>5048678.5999999996</v>
      </c>
      <c r="O54" s="392">
        <v>0.4372985112930331</v>
      </c>
      <c r="P54" s="211">
        <f t="shared" si="11"/>
        <v>-0.46071618225014366</v>
      </c>
    </row>
    <row r="55" spans="1:16" x14ac:dyDescent="0.25">
      <c r="A55" s="39">
        <v>342</v>
      </c>
      <c r="B55" s="40" t="s">
        <v>484</v>
      </c>
      <c r="C55" s="199">
        <v>5455050.5800000001</v>
      </c>
      <c r="D55" s="32">
        <v>6445868.8799999999</v>
      </c>
      <c r="E55" s="32">
        <v>6403992.3399999999</v>
      </c>
      <c r="F55" s="130">
        <f t="shared" si="14"/>
        <v>0.99350335218112595</v>
      </c>
      <c r="G55" s="32">
        <v>6349638.4000000004</v>
      </c>
      <c r="H55" s="280">
        <f t="shared" si="15"/>
        <v>0.98507098394468129</v>
      </c>
      <c r="I55" s="32">
        <v>1316722.6000000001</v>
      </c>
      <c r="J55" s="392">
        <f t="shared" si="13"/>
        <v>0.20427387284986165</v>
      </c>
      <c r="K55" s="32">
        <v>4610331.54</v>
      </c>
      <c r="L55" s="130">
        <v>0.9861227576750623</v>
      </c>
      <c r="M55" s="211">
        <f t="shared" si="10"/>
        <v>0.37726285949491611</v>
      </c>
      <c r="N55" s="32">
        <v>6772.86</v>
      </c>
      <c r="O55" s="392">
        <v>1.4486748561573343E-3</v>
      </c>
      <c r="P55" s="211">
        <f t="shared" si="11"/>
        <v>193.41160750406772</v>
      </c>
    </row>
    <row r="56" spans="1:16" x14ac:dyDescent="0.25">
      <c r="A56" s="666">
        <v>343</v>
      </c>
      <c r="B56" s="668" t="s">
        <v>435</v>
      </c>
      <c r="C56" s="661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65">
        <f t="shared" si="10"/>
        <v>-0.14322142208192024</v>
      </c>
      <c r="N56" s="398">
        <v>0</v>
      </c>
      <c r="O56" s="178">
        <v>0</v>
      </c>
      <c r="P56" s="665" t="s">
        <v>129</v>
      </c>
    </row>
    <row r="57" spans="1:16" x14ac:dyDescent="0.25">
      <c r="A57" s="532">
        <v>3</v>
      </c>
      <c r="B57" s="2" t="s">
        <v>124</v>
      </c>
      <c r="C57" s="201">
        <f>SUM(C34:C45,C50:C56)</f>
        <v>314074850.86000001</v>
      </c>
      <c r="D57" s="207">
        <f>SUM(D34:D45,D50:D56)</f>
        <v>317054781.94999999</v>
      </c>
      <c r="E57" s="203">
        <f>SUM(E34:E45,E50:E56)</f>
        <v>294792842.67000002</v>
      </c>
      <c r="F57" s="90">
        <f>+E57/D57</f>
        <v>0.9297851962897985</v>
      </c>
      <c r="G57" s="203">
        <f>SUM(G34:G45,G50:G56)</f>
        <v>292846646.56</v>
      </c>
      <c r="H57" s="90">
        <f>+G57/D57</f>
        <v>0.92364683717712337</v>
      </c>
      <c r="I57" s="203">
        <f>SUM(I34:I45,I50:I56)</f>
        <v>97874732.139999986</v>
      </c>
      <c r="J57" s="170">
        <f t="shared" si="13"/>
        <v>0.30869975068042022</v>
      </c>
      <c r="K57" s="568">
        <f>SUM(K34:K56)</f>
        <v>266780822.94999996</v>
      </c>
      <c r="L57" s="90">
        <v>0.96913840778742233</v>
      </c>
      <c r="M57" s="213">
        <f t="shared" ref="M57:M64" si="16">+G57/K57-1</f>
        <v>9.7705012383462408E-2</v>
      </c>
      <c r="N57" s="568">
        <f>SUBTOTAL(9,N34:N56)</f>
        <v>121425218.00999999</v>
      </c>
      <c r="O57" s="170">
        <v>0.44110307909765761</v>
      </c>
      <c r="P57" s="213">
        <f t="shared" ref="P57:P64" si="17">+I57/N57-1</f>
        <v>-0.19395053396618567</v>
      </c>
    </row>
    <row r="58" spans="1:16" x14ac:dyDescent="0.25">
      <c r="A58" s="37">
        <v>430</v>
      </c>
      <c r="B58" s="38" t="s">
        <v>746</v>
      </c>
      <c r="C58" s="198">
        <v>4583248.97</v>
      </c>
      <c r="D58" s="30">
        <v>5226567.25</v>
      </c>
      <c r="E58" s="30">
        <v>1571934.08</v>
      </c>
      <c r="F58" s="414">
        <f t="shared" si="14"/>
        <v>0.30075841461716579</v>
      </c>
      <c r="G58" s="30">
        <v>1466033.49</v>
      </c>
      <c r="H58" s="414">
        <f>G58/D58</f>
        <v>0.28049643673866437</v>
      </c>
      <c r="I58" s="30">
        <v>1437821.24</v>
      </c>
      <c r="J58" s="153">
        <f t="shared" si="13"/>
        <v>0.27509858215255911</v>
      </c>
      <c r="K58" s="30">
        <v>1982212.19</v>
      </c>
      <c r="L58" s="48">
        <v>0.56759947964430746</v>
      </c>
      <c r="M58" s="210">
        <f t="shared" si="16"/>
        <v>-0.26040537062785396</v>
      </c>
      <c r="N58" s="30">
        <v>1847884.21</v>
      </c>
      <c r="O58" s="153">
        <v>0.52913513564808223</v>
      </c>
      <c r="P58" s="210">
        <f t="shared" si="17"/>
        <v>-0.22190945070091805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9643444.6099999994</v>
      </c>
      <c r="E59" s="32">
        <v>5286582.8899999997</v>
      </c>
      <c r="F59" s="130">
        <f t="shared" si="14"/>
        <v>0.54820482761086753</v>
      </c>
      <c r="G59" s="32">
        <v>2850883.77</v>
      </c>
      <c r="H59" s="414">
        <f t="shared" ref="H59:H64" si="18">G59/D59</f>
        <v>0.29562919530265236</v>
      </c>
      <c r="I59" s="32">
        <v>385303.43</v>
      </c>
      <c r="J59" s="153">
        <f t="shared" si="13"/>
        <v>3.9954958584036498E-2</v>
      </c>
      <c r="K59" s="32">
        <v>1079332.08</v>
      </c>
      <c r="L59" s="48">
        <v>0.12756991261377953</v>
      </c>
      <c r="M59" s="210">
        <f t="shared" si="16"/>
        <v>1.6413407169367189</v>
      </c>
      <c r="N59" s="32">
        <v>871176.28</v>
      </c>
      <c r="O59" s="153">
        <v>0.10296727390035283</v>
      </c>
      <c r="P59" s="210">
        <f t="shared" si="17"/>
        <v>-0.5577204765033319</v>
      </c>
    </row>
    <row r="60" spans="1:16" x14ac:dyDescent="0.25">
      <c r="A60" s="39" t="s">
        <v>81</v>
      </c>
      <c r="B60" s="40" t="s">
        <v>485</v>
      </c>
      <c r="C60" s="199">
        <v>2743104</v>
      </c>
      <c r="D60" s="32">
        <v>5057715.74</v>
      </c>
      <c r="E60" s="32">
        <v>2929482.7</v>
      </c>
      <c r="F60" s="130">
        <f t="shared" si="14"/>
        <v>0.57921062602067075</v>
      </c>
      <c r="G60" s="32">
        <v>2583434.62</v>
      </c>
      <c r="H60" s="414">
        <f t="shared" si="18"/>
        <v>0.51079079031040997</v>
      </c>
      <c r="I60" s="32">
        <v>1657050.56</v>
      </c>
      <c r="J60" s="178">
        <f t="shared" si="13"/>
        <v>0.32762825061417944</v>
      </c>
      <c r="K60" s="32">
        <v>2486084.14</v>
      </c>
      <c r="L60" s="280">
        <v>0.42333278121436529</v>
      </c>
      <c r="M60" s="210">
        <f t="shared" si="16"/>
        <v>3.9158159787785696E-2</v>
      </c>
      <c r="N60" s="32">
        <v>1809438.5</v>
      </c>
      <c r="O60" s="178">
        <v>0.30811291553525189</v>
      </c>
      <c r="P60" s="210">
        <f t="shared" si="17"/>
        <v>-8.4218358347078359E-2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58184468.060000002</v>
      </c>
      <c r="E61" s="32">
        <v>20664164.48</v>
      </c>
      <c r="F61" s="130">
        <f t="shared" si="14"/>
        <v>0.35514915180956969</v>
      </c>
      <c r="G61" s="32">
        <v>15359341.310000001</v>
      </c>
      <c r="H61" s="414">
        <f t="shared" si="18"/>
        <v>0.26397665600657205</v>
      </c>
      <c r="I61" s="32">
        <v>12687409.9</v>
      </c>
      <c r="J61" s="178">
        <f t="shared" si="13"/>
        <v>0.21805492639232699</v>
      </c>
      <c r="K61" s="32">
        <v>14683752.869999999</v>
      </c>
      <c r="L61" s="280">
        <v>0.22902638080585902</v>
      </c>
      <c r="M61" s="210">
        <f t="shared" si="16"/>
        <v>4.6009248860369834E-2</v>
      </c>
      <c r="N61" s="32">
        <v>11676596.26</v>
      </c>
      <c r="O61" s="178">
        <v>0.1821229630623053</v>
      </c>
      <c r="P61" s="210">
        <f t="shared" si="17"/>
        <v>8.6567490858847407E-2</v>
      </c>
    </row>
    <row r="62" spans="1:16" x14ac:dyDescent="0.25">
      <c r="A62" s="39" t="s">
        <v>83</v>
      </c>
      <c r="B62" s="40" t="s">
        <v>486</v>
      </c>
      <c r="C62" s="199">
        <v>153522597.02000001</v>
      </c>
      <c r="D62" s="32">
        <v>153522597.02000001</v>
      </c>
      <c r="E62" s="32">
        <v>126582428.90000001</v>
      </c>
      <c r="F62" s="130">
        <f t="shared" si="14"/>
        <v>0.82451985152068263</v>
      </c>
      <c r="G62" s="32">
        <v>126582428.90000001</v>
      </c>
      <c r="H62" s="414">
        <f t="shared" si="18"/>
        <v>0.82451985152068263</v>
      </c>
      <c r="I62" s="32">
        <v>49023822.5</v>
      </c>
      <c r="J62" s="178">
        <f>+I62/D62</f>
        <v>0.31932642784575527</v>
      </c>
      <c r="K62" s="32">
        <v>127616368</v>
      </c>
      <c r="L62" s="280">
        <v>0.95662009201489961</v>
      </c>
      <c r="M62" s="210">
        <f t="shared" si="16"/>
        <v>-8.1019317208588237E-3</v>
      </c>
      <c r="N62" s="32">
        <v>57543061.609999999</v>
      </c>
      <c r="O62" s="178">
        <v>0.43134630576680599</v>
      </c>
      <c r="P62" s="210">
        <f t="shared" si="17"/>
        <v>-0.14804980603464279</v>
      </c>
    </row>
    <row r="63" spans="1:16" x14ac:dyDescent="0.25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3900000</v>
      </c>
      <c r="J63" s="178">
        <f t="shared" si="13"/>
        <v>0.23118673486082558</v>
      </c>
      <c r="K63" s="32">
        <v>15669752</v>
      </c>
      <c r="L63" s="280">
        <v>0.91320892825922262</v>
      </c>
      <c r="M63" s="210">
        <f t="shared" si="16"/>
        <v>7.6563304894678552E-2</v>
      </c>
      <c r="N63" s="32">
        <v>5400000</v>
      </c>
      <c r="O63" s="178">
        <v>0.31470365405909434</v>
      </c>
      <c r="P63" s="210">
        <f t="shared" si="17"/>
        <v>-0.27777777777777779</v>
      </c>
    </row>
    <row r="64" spans="1:16" x14ac:dyDescent="0.25">
      <c r="A64" s="666" t="s">
        <v>84</v>
      </c>
      <c r="B64" s="668" t="s">
        <v>487</v>
      </c>
      <c r="C64" s="661">
        <v>1548192.01</v>
      </c>
      <c r="D64" s="397">
        <v>1483243.86</v>
      </c>
      <c r="E64" s="398">
        <v>715223.77</v>
      </c>
      <c r="F64" s="130">
        <f t="shared" si="14"/>
        <v>0.48220241410606612</v>
      </c>
      <c r="G64" s="398">
        <v>293156.68</v>
      </c>
      <c r="H64" s="414">
        <f t="shared" si="18"/>
        <v>0.19764563866119761</v>
      </c>
      <c r="I64" s="398">
        <v>260875.15</v>
      </c>
      <c r="J64" s="427">
        <f>+I64/D64</f>
        <v>0.17588149665423189</v>
      </c>
      <c r="K64" s="398">
        <v>452875.12</v>
      </c>
      <c r="L64" s="412">
        <v>0.27777552402020544</v>
      </c>
      <c r="M64" s="443">
        <f t="shared" si="16"/>
        <v>-0.35267656125600366</v>
      </c>
      <c r="N64" s="398">
        <v>388881.62</v>
      </c>
      <c r="O64" s="427">
        <v>0.23852446514908215</v>
      </c>
      <c r="P64" s="443">
        <f t="shared" si="17"/>
        <v>-0.32916564686189076</v>
      </c>
    </row>
    <row r="65" spans="1:16" x14ac:dyDescent="0.25">
      <c r="A65" s="532">
        <v>4</v>
      </c>
      <c r="B65" s="2" t="s">
        <v>123</v>
      </c>
      <c r="C65" s="201">
        <f>SUBTOTAL(9,C58:C64)</f>
        <v>243419137.22999999</v>
      </c>
      <c r="D65" s="207">
        <f>SUBTOTAL(9,D58:D64)</f>
        <v>249987516.54000002</v>
      </c>
      <c r="E65" s="203">
        <f>SUBTOTAL(9,E58:E64)</f>
        <v>174619296.82000002</v>
      </c>
      <c r="F65" s="90">
        <f t="shared" ref="F65:F80" si="19">+E65/D65</f>
        <v>0.69851206666977517</v>
      </c>
      <c r="G65" s="203">
        <f>SUBTOTAL(9,G58:G64)</f>
        <v>166004758.77000001</v>
      </c>
      <c r="H65" s="90">
        <f>+G65/D65</f>
        <v>0.66405219375599467</v>
      </c>
      <c r="I65" s="203">
        <f>SUBTOTAL(9,I58:I64)</f>
        <v>69352282.780000001</v>
      </c>
      <c r="J65" s="170">
        <f t="shared" si="13"/>
        <v>0.27742298391489112</v>
      </c>
      <c r="K65" s="568">
        <f>SUM(K58:K64)</f>
        <v>163970376.40000001</v>
      </c>
      <c r="L65" s="90">
        <v>0.7</v>
      </c>
      <c r="M65" s="213">
        <f t="shared" ref="M65:M78" si="20">+G65/K65-1</f>
        <v>1.2407011648477351E-2</v>
      </c>
      <c r="N65" s="568">
        <f>SUBTOTAL(9,N58:N64)</f>
        <v>79537038.480000004</v>
      </c>
      <c r="O65" s="170">
        <v>0.34</v>
      </c>
      <c r="P65" s="213">
        <f t="shared" ref="P65:P78" si="21">+I65/N65-1</f>
        <v>-0.12805047679215531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30360486.91</v>
      </c>
      <c r="E66" s="30">
        <v>12060296.560000001</v>
      </c>
      <c r="F66" s="414">
        <f t="shared" si="14"/>
        <v>0.39723659886454699</v>
      </c>
      <c r="G66" s="30">
        <v>10570813.970000001</v>
      </c>
      <c r="H66" s="414">
        <f>+G66/D66</f>
        <v>0.34817669431112563</v>
      </c>
      <c r="I66" s="30">
        <v>8532139.2300000004</v>
      </c>
      <c r="J66" s="153">
        <f t="shared" si="13"/>
        <v>0.28102774686362897</v>
      </c>
      <c r="K66" s="30">
        <v>13356356.550000001</v>
      </c>
      <c r="L66" s="48">
        <v>0.46778021775168532</v>
      </c>
      <c r="M66" s="210">
        <f t="shared" si="20"/>
        <v>-0.20855557199092589</v>
      </c>
      <c r="N66" s="30">
        <v>11415976.390000001</v>
      </c>
      <c r="O66" s="153">
        <v>0.39982220462378254</v>
      </c>
      <c r="P66" s="210">
        <f t="shared" si="21"/>
        <v>-0.25261414893308132</v>
      </c>
    </row>
    <row r="67" spans="1:16" x14ac:dyDescent="0.25">
      <c r="A67" s="39" t="s">
        <v>86</v>
      </c>
      <c r="B67" s="40" t="s">
        <v>747</v>
      </c>
      <c r="C67" s="199">
        <v>56361662.600000001</v>
      </c>
      <c r="D67" s="32">
        <v>57962340.649999999</v>
      </c>
      <c r="E67" s="32">
        <v>24206788.969999999</v>
      </c>
      <c r="F67" s="130">
        <f t="shared" si="14"/>
        <v>0.41762959705458341</v>
      </c>
      <c r="G67" s="32">
        <v>20458700.449999999</v>
      </c>
      <c r="H67" s="414">
        <f t="shared" ref="H67:H78" si="22">+G67/D67</f>
        <v>0.35296539478172367</v>
      </c>
      <c r="I67" s="32">
        <v>13838074.4</v>
      </c>
      <c r="J67" s="178">
        <f t="shared" si="13"/>
        <v>0.23874250495782903</v>
      </c>
      <c r="K67" s="32">
        <v>21986876.16</v>
      </c>
      <c r="L67" s="280">
        <v>0.42255901479861724</v>
      </c>
      <c r="M67" s="211">
        <f t="shared" si="20"/>
        <v>-6.950399405897234E-2</v>
      </c>
      <c r="N67" s="32">
        <v>17144881.120000001</v>
      </c>
      <c r="O67" s="178">
        <v>0.32950220041202133</v>
      </c>
      <c r="P67" s="211">
        <f t="shared" si="21"/>
        <v>-0.19287428689969244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3437221.45</v>
      </c>
      <c r="F68" s="130">
        <f t="shared" si="14"/>
        <v>0.47340049631349795</v>
      </c>
      <c r="G68" s="32">
        <v>2908744.82</v>
      </c>
      <c r="H68" s="414">
        <f t="shared" si="22"/>
        <v>0.40061464222426402</v>
      </c>
      <c r="I68" s="32">
        <v>2276643.41</v>
      </c>
      <c r="J68" s="178">
        <f t="shared" si="13"/>
        <v>0.31355678879021726</v>
      </c>
      <c r="K68" s="32">
        <v>2322227.36</v>
      </c>
      <c r="L68" s="280">
        <v>0.35261293109949493</v>
      </c>
      <c r="M68" s="211">
        <f t="shared" si="20"/>
        <v>0.25256676848385773</v>
      </c>
      <c r="N68" s="32">
        <v>2175370.33</v>
      </c>
      <c r="O68" s="178">
        <v>0.33031378473130024</v>
      </c>
      <c r="P68" s="211">
        <f t="shared" si="21"/>
        <v>4.6554408968150218E-2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2309210.9900000002</v>
      </c>
      <c r="E69" s="32">
        <v>1086039.1200000001</v>
      </c>
      <c r="F69" s="130">
        <f t="shared" si="14"/>
        <v>0.47030744470863617</v>
      </c>
      <c r="G69" s="32">
        <v>993420.80000000005</v>
      </c>
      <c r="H69" s="414">
        <f t="shared" si="22"/>
        <v>0.43019923441469504</v>
      </c>
      <c r="I69" s="32">
        <v>610952.14</v>
      </c>
      <c r="J69" s="178">
        <f t="shared" si="13"/>
        <v>0.26457181376916966</v>
      </c>
      <c r="K69" s="32">
        <v>1034902.57</v>
      </c>
      <c r="L69" s="280">
        <v>0.48180357106668592</v>
      </c>
      <c r="M69" s="211">
        <f t="shared" si="20"/>
        <v>-4.0082778033878053E-2</v>
      </c>
      <c r="N69" s="32">
        <v>812384.9</v>
      </c>
      <c r="O69" s="178">
        <v>0.37820946362192587</v>
      </c>
      <c r="P69" s="211">
        <f t="shared" si="21"/>
        <v>-0.24795236839089452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15742343.65</v>
      </c>
      <c r="E70" s="32">
        <v>9441403.4600000009</v>
      </c>
      <c r="F70" s="130">
        <f t="shared" si="14"/>
        <v>0.59974573480994997</v>
      </c>
      <c r="G70" s="32">
        <v>3226495.37</v>
      </c>
      <c r="H70" s="414">
        <f t="shared" si="22"/>
        <v>0.20495648181330359</v>
      </c>
      <c r="I70" s="32">
        <v>1089446.95</v>
      </c>
      <c r="J70" s="178">
        <f t="shared" si="13"/>
        <v>6.920487661949877E-2</v>
      </c>
      <c r="K70" s="32">
        <v>3147467.2</v>
      </c>
      <c r="L70" s="280">
        <v>0.32375262778525954</v>
      </c>
      <c r="M70" s="211">
        <f t="shared" si="20"/>
        <v>2.5108496762094923E-2</v>
      </c>
      <c r="N70" s="32">
        <v>1406489.45</v>
      </c>
      <c r="O70" s="178">
        <v>0.14467336002413125</v>
      </c>
      <c r="P70" s="211">
        <f t="shared" si="21"/>
        <v>-0.22541406193981761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39624679.060000002</v>
      </c>
      <c r="E71" s="32">
        <v>22053242.41</v>
      </c>
      <c r="F71" s="78">
        <f t="shared" si="14"/>
        <v>0.55655321211830655</v>
      </c>
      <c r="G71" s="32">
        <v>18201759.18</v>
      </c>
      <c r="H71" s="414">
        <f t="shared" si="22"/>
        <v>0.45935410990808917</v>
      </c>
      <c r="I71" s="32">
        <v>7466949.1600000001</v>
      </c>
      <c r="J71" s="178">
        <f t="shared" si="13"/>
        <v>0.18844188362241338</v>
      </c>
      <c r="K71" s="32">
        <v>15886086.48</v>
      </c>
      <c r="L71" s="280">
        <v>0.43508637913674508</v>
      </c>
      <c r="M71" s="211">
        <f t="shared" si="20"/>
        <v>0.14576734823364745</v>
      </c>
      <c r="N71" s="32">
        <v>7557633.6699999999</v>
      </c>
      <c r="O71" s="178">
        <v>0.20698763490064104</v>
      </c>
      <c r="P71" s="211">
        <f t="shared" si="21"/>
        <v>-1.199906134111417E-2</v>
      </c>
    </row>
    <row r="72" spans="1:16" x14ac:dyDescent="0.25">
      <c r="A72" s="39" t="s">
        <v>91</v>
      </c>
      <c r="B72" s="40" t="s">
        <v>488</v>
      </c>
      <c r="C72" s="199">
        <v>42228054.409999996</v>
      </c>
      <c r="D72" s="32">
        <v>47163839.310000002</v>
      </c>
      <c r="E72" s="32">
        <v>38470202.729999997</v>
      </c>
      <c r="F72" s="414">
        <f t="shared" si="14"/>
        <v>0.81567156730269152</v>
      </c>
      <c r="G72" s="32">
        <v>38252315.609999999</v>
      </c>
      <c r="H72" s="414">
        <f t="shared" si="22"/>
        <v>0.81105177546242468</v>
      </c>
      <c r="I72" s="32">
        <v>13367027.66</v>
      </c>
      <c r="J72" s="178">
        <f t="shared" si="13"/>
        <v>0.28341686884608291</v>
      </c>
      <c r="K72" s="32">
        <v>26782124.75</v>
      </c>
      <c r="L72" s="280">
        <v>0.7367604944960563</v>
      </c>
      <c r="M72" s="211">
        <f t="shared" si="20"/>
        <v>0.42827785200276169</v>
      </c>
      <c r="N72" s="32">
        <v>11000000</v>
      </c>
      <c r="O72" s="178">
        <v>0.30260352810344593</v>
      </c>
      <c r="P72" s="211">
        <f t="shared" si="21"/>
        <v>0.21518433272727266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23328535.640000001</v>
      </c>
      <c r="E73" s="32">
        <v>2428.0500000000002</v>
      </c>
      <c r="F73" s="130">
        <f t="shared" si="14"/>
        <v>1.040806863092072E-4</v>
      </c>
      <c r="G73" s="32">
        <v>2428.0500000000002</v>
      </c>
      <c r="H73" s="414">
        <f t="shared" si="22"/>
        <v>1.040806863092072E-4</v>
      </c>
      <c r="I73" s="32">
        <v>2428.0500000000002</v>
      </c>
      <c r="J73" s="178">
        <f t="shared" si="13"/>
        <v>1.040806863092072E-4</v>
      </c>
      <c r="K73" s="32">
        <v>9208474.9600000009</v>
      </c>
      <c r="L73" s="280">
        <v>0.60665989372770768</v>
      </c>
      <c r="M73" s="211">
        <f t="shared" si="20"/>
        <v>-0.99973632441739302</v>
      </c>
      <c r="N73" s="32">
        <v>9208474.9600000009</v>
      </c>
      <c r="O73" s="178">
        <v>0.60665989372770768</v>
      </c>
      <c r="P73" s="211">
        <f t="shared" si="21"/>
        <v>-0.99973632441739302</v>
      </c>
    </row>
    <row r="74" spans="1:16" x14ac:dyDescent="0.25">
      <c r="A74" s="39">
        <v>931</v>
      </c>
      <c r="B74" s="40" t="s">
        <v>436</v>
      </c>
      <c r="C74" s="199">
        <v>5805408.6299999999</v>
      </c>
      <c r="D74" s="32">
        <v>5139664.4800000004</v>
      </c>
      <c r="E74" s="32">
        <v>2064386.6</v>
      </c>
      <c r="F74" s="130">
        <f t="shared" si="14"/>
        <v>0.40165785296553053</v>
      </c>
      <c r="G74" s="32">
        <v>1985239.1</v>
      </c>
      <c r="H74" s="414">
        <f t="shared" si="22"/>
        <v>0.38625850144988449</v>
      </c>
      <c r="I74" s="32">
        <v>1398015.96</v>
      </c>
      <c r="J74" s="178">
        <f t="shared" si="13"/>
        <v>0.27200529634572562</v>
      </c>
      <c r="K74" s="32">
        <v>2154156.2799999998</v>
      </c>
      <c r="L74" s="280">
        <v>0.44286143907680059</v>
      </c>
      <c r="M74" s="211">
        <f t="shared" si="20"/>
        <v>-7.841454288543992E-2</v>
      </c>
      <c r="N74" s="32">
        <v>1652890.27</v>
      </c>
      <c r="O74" s="178">
        <v>0.33980884785584897</v>
      </c>
      <c r="P74" s="211">
        <f t="shared" si="21"/>
        <v>-0.15419917137028105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28426191.640000001</v>
      </c>
      <c r="E75" s="32">
        <v>26765728.109999999</v>
      </c>
      <c r="F75" s="130">
        <f t="shared" si="14"/>
        <v>0.9415868452929349</v>
      </c>
      <c r="G75" s="32">
        <v>26619324.84</v>
      </c>
      <c r="H75" s="414">
        <f t="shared" si="22"/>
        <v>0.93643655038695151</v>
      </c>
      <c r="I75" s="32">
        <v>7023926.2199999997</v>
      </c>
      <c r="J75" s="178">
        <f t="shared" si="13"/>
        <v>0.2470934660876718</v>
      </c>
      <c r="K75" s="32">
        <v>24743734.079999998</v>
      </c>
      <c r="L75" s="280">
        <v>0.89051080234178237</v>
      </c>
      <c r="M75" s="211">
        <f t="shared" si="20"/>
        <v>7.5800635180444109E-2</v>
      </c>
      <c r="N75" s="32">
        <v>7955284.3899999997</v>
      </c>
      <c r="O75" s="178">
        <v>0.28630548089837687</v>
      </c>
      <c r="P75" s="211">
        <f t="shared" si="21"/>
        <v>-0.11707415151251432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67791575.939999998</v>
      </c>
      <c r="E76" s="32">
        <v>60374184.200000003</v>
      </c>
      <c r="F76" s="130">
        <f t="shared" si="14"/>
        <v>0.89058534726254379</v>
      </c>
      <c r="G76" s="32">
        <v>59277580.479999997</v>
      </c>
      <c r="H76" s="414">
        <f t="shared" si="22"/>
        <v>0.87440924123765107</v>
      </c>
      <c r="I76" s="32">
        <v>15796458.09</v>
      </c>
      <c r="J76" s="178">
        <f t="shared" si="13"/>
        <v>0.23301505933393413</v>
      </c>
      <c r="K76" s="32">
        <v>56909780.149999999</v>
      </c>
      <c r="L76" s="280">
        <v>0.85386862116767792</v>
      </c>
      <c r="M76" s="211">
        <f t="shared" si="20"/>
        <v>4.1606211160174267E-2</v>
      </c>
      <c r="N76" s="32">
        <v>14969353.710000001</v>
      </c>
      <c r="O76" s="178">
        <v>0.22459867844224954</v>
      </c>
      <c r="P76" s="211">
        <f t="shared" si="21"/>
        <v>5.5253178996463204E-2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261194.43</v>
      </c>
      <c r="F77" s="130">
        <f t="shared" si="14"/>
        <v>0.32594990310208716</v>
      </c>
      <c r="G77" s="32">
        <v>261194.43</v>
      </c>
      <c r="H77" s="414">
        <f t="shared" si="22"/>
        <v>0.32594990310208716</v>
      </c>
      <c r="I77" s="32">
        <v>261194.43</v>
      </c>
      <c r="J77" s="178">
        <f t="shared" si="13"/>
        <v>0.32594990310208716</v>
      </c>
      <c r="K77" s="32">
        <v>332207.76</v>
      </c>
      <c r="L77" s="280">
        <v>0.41631405176357078</v>
      </c>
      <c r="M77" s="211">
        <f t="shared" si="20"/>
        <v>-0.2137618037579857</v>
      </c>
      <c r="N77" s="32">
        <v>332207.76</v>
      </c>
      <c r="O77" s="178">
        <v>0.41631405176357078</v>
      </c>
      <c r="P77" s="211">
        <f t="shared" si="21"/>
        <v>-0.2137618037579857</v>
      </c>
    </row>
    <row r="78" spans="1:16" x14ac:dyDescent="0.25">
      <c r="A78" s="666" t="s">
        <v>499</v>
      </c>
      <c r="B78" s="42" t="s">
        <v>119</v>
      </c>
      <c r="C78" s="200">
        <v>97687346.239999995</v>
      </c>
      <c r="D78" s="206">
        <v>97687346.239999995</v>
      </c>
      <c r="E78" s="34">
        <v>89498375.260000005</v>
      </c>
      <c r="F78" s="130">
        <f t="shared" si="14"/>
        <v>0.91617163025514914</v>
      </c>
      <c r="G78" s="34">
        <v>89498375.260000005</v>
      </c>
      <c r="H78" s="414">
        <f t="shared" si="22"/>
        <v>0.91617163025514914</v>
      </c>
      <c r="I78" s="34">
        <v>23451866.84</v>
      </c>
      <c r="J78" s="392">
        <f t="shared" si="13"/>
        <v>0.24007067181846706</v>
      </c>
      <c r="K78" s="34">
        <v>84274401.209999993</v>
      </c>
      <c r="L78" s="390">
        <v>0.94587005248899569</v>
      </c>
      <c r="M78" s="520">
        <f t="shared" si="20"/>
        <v>6.1987673302864588E-2</v>
      </c>
      <c r="N78" s="34">
        <v>29447490.739999998</v>
      </c>
      <c r="O78" s="392">
        <v>0.33050961160205694</v>
      </c>
      <c r="P78" s="520">
        <f t="shared" si="21"/>
        <v>-0.20360389796662171</v>
      </c>
    </row>
    <row r="79" spans="1:16" ht="13.8" thickBot="1" x14ac:dyDescent="0.3">
      <c r="A79" s="18">
        <v>9</v>
      </c>
      <c r="B79" s="2" t="s">
        <v>535</v>
      </c>
      <c r="C79" s="519">
        <f>SUBTOTAL(9,C66:C78)</f>
        <v>439825043.09000003</v>
      </c>
      <c r="D79" s="207">
        <f>SUBTOTAL(9,D66:D78)</f>
        <v>423598252.77000004</v>
      </c>
      <c r="E79" s="203">
        <f>SUBTOTAL(9,E66:E78)</f>
        <v>289721491.34999996</v>
      </c>
      <c r="F79" s="90">
        <f t="shared" si="19"/>
        <v>0.68395346169501137</v>
      </c>
      <c r="G79" s="203">
        <f>SUBTOTAL(9,G66:G78)</f>
        <v>272256392.36000001</v>
      </c>
      <c r="H79" s="535">
        <f>+G79/D79</f>
        <v>0.64272312404420207</v>
      </c>
      <c r="I79" s="203">
        <f>SUBTOTAL(9,I66:I78)</f>
        <v>95115122.540000007</v>
      </c>
      <c r="J79" s="170">
        <f t="shared" si="13"/>
        <v>0.2245408755065012</v>
      </c>
      <c r="K79" s="619">
        <f>SUM(K66:K78)</f>
        <v>262138795.50999999</v>
      </c>
      <c r="L79" s="90">
        <v>0.69666207971108662</v>
      </c>
      <c r="M79" s="43">
        <f>+G79/K79-1</f>
        <v>3.8596335312809815E-2</v>
      </c>
      <c r="N79" s="619">
        <f>SUM(N66:N78)</f>
        <v>115078437.69</v>
      </c>
      <c r="O79" s="170">
        <v>0.30583334136041596</v>
      </c>
      <c r="P79" s="43">
        <f>+I79/N79-1</f>
        <v>-0.17347572273945411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2167207736.5999999</v>
      </c>
      <c r="E80" s="209">
        <f>SUM(E79,E65,E57,E33,E27,E6)</f>
        <v>1578286066.5299997</v>
      </c>
      <c r="F80" s="181">
        <f t="shared" si="19"/>
        <v>0.72825785912248386</v>
      </c>
      <c r="G80" s="209">
        <f>SUM(G79,G65,G57,G33,G27,G6)</f>
        <v>1518054661.3599999</v>
      </c>
      <c r="H80" s="181">
        <f>+G80/D80</f>
        <v>0.7004656894320539</v>
      </c>
      <c r="I80" s="209">
        <f>SUM(I79,I65,I57,I33,I27,I6)</f>
        <v>518781128.23999995</v>
      </c>
      <c r="J80" s="173">
        <f t="shared" si="13"/>
        <v>0.2393776653150399</v>
      </c>
      <c r="K80" s="620">
        <f>K6+K27+K33+K57+K65+K79</f>
        <v>1441461481.1200001</v>
      </c>
      <c r="L80" s="181">
        <v>0.71929028847603205</v>
      </c>
      <c r="M80" s="621">
        <f>+G80/K80-1</f>
        <v>5.3135780069882843E-2</v>
      </c>
      <c r="N80" s="620">
        <f>N6+N27+N33+N57+N65+N79</f>
        <v>594238020.08999991</v>
      </c>
      <c r="O80" s="173">
        <v>0.29652518814575191</v>
      </c>
      <c r="P80" s="621">
        <f>+I80/N80-1</f>
        <v>-0.12698092228863389</v>
      </c>
    </row>
    <row r="81" spans="1:19" ht="14.4" thickBot="1" x14ac:dyDescent="0.3">
      <c r="A81" s="7" t="s">
        <v>19</v>
      </c>
      <c r="N81" s="97"/>
      <c r="P81" s="522"/>
    </row>
    <row r="82" spans="1:19" ht="12.75" customHeight="1" x14ac:dyDescent="0.25">
      <c r="A82" s="754" t="s">
        <v>758</v>
      </c>
      <c r="B82" s="755"/>
      <c r="C82" s="164" t="s">
        <v>767</v>
      </c>
      <c r="D82" s="740" t="s">
        <v>779</v>
      </c>
      <c r="E82" s="741"/>
      <c r="F82" s="741"/>
      <c r="G82" s="741"/>
      <c r="H82" s="741"/>
      <c r="I82" s="741"/>
      <c r="J82" s="742"/>
      <c r="K82" s="749" t="s">
        <v>780</v>
      </c>
      <c r="L82" s="750"/>
      <c r="M82" s="750"/>
      <c r="N82" s="750"/>
      <c r="O82" s="750"/>
      <c r="P82" s="753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766</v>
      </c>
      <c r="N84" s="564" t="s">
        <v>17</v>
      </c>
      <c r="O84" s="89" t="s">
        <v>18</v>
      </c>
      <c r="P84" s="612" t="s">
        <v>766</v>
      </c>
    </row>
    <row r="85" spans="1:19" ht="14.1" customHeight="1" x14ac:dyDescent="0.25">
      <c r="A85" s="17" t="s">
        <v>548</v>
      </c>
      <c r="B85" s="13" t="s">
        <v>549</v>
      </c>
      <c r="C85" s="530">
        <v>24060000</v>
      </c>
      <c r="D85" s="516">
        <v>24060000</v>
      </c>
      <c r="E85" s="180">
        <v>5195550.55</v>
      </c>
      <c r="F85" s="78">
        <f>+E85/D85</f>
        <v>0.21594141936824604</v>
      </c>
      <c r="G85" s="180">
        <v>5195550.55</v>
      </c>
      <c r="H85" s="78">
        <f>+G85/D85</f>
        <v>0.21594141936824604</v>
      </c>
      <c r="I85" s="180">
        <v>5195550.55</v>
      </c>
      <c r="J85" s="172">
        <f>+I85/D85</f>
        <v>0.21594141936824604</v>
      </c>
      <c r="K85" s="180">
        <v>6675443.3899999997</v>
      </c>
      <c r="L85" s="78">
        <v>0.18210000000000001</v>
      </c>
      <c r="M85" s="245">
        <f t="shared" ref="M85:M150" si="23">+G85/K85-1</f>
        <v>-0.22169206651005691</v>
      </c>
      <c r="N85" s="180">
        <v>6675443.3899999997</v>
      </c>
      <c r="O85" s="78">
        <v>0.18210000000000001</v>
      </c>
      <c r="P85" s="245">
        <f>+I85/N85-1</f>
        <v>-0.22169206651005691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5195550.55</v>
      </c>
      <c r="F86" s="90">
        <f>+E86/D86</f>
        <v>0.21594141936824604</v>
      </c>
      <c r="G86" s="203">
        <f>SUBTOTAL(9,G85:G85)</f>
        <v>5195550.55</v>
      </c>
      <c r="H86" s="90">
        <f t="shared" ref="H86:H130" si="24">+G86/D86</f>
        <v>0.21594141936824604</v>
      </c>
      <c r="I86" s="203">
        <f>SUBTOTAL(9,I85:I85)</f>
        <v>5195550.55</v>
      </c>
      <c r="J86" s="170">
        <f>+I86/D86</f>
        <v>0.21594141936824604</v>
      </c>
      <c r="K86" s="568">
        <f>SUM(K85)</f>
        <v>6675443.3899999997</v>
      </c>
      <c r="L86" s="90">
        <v>0.18210000000000001</v>
      </c>
      <c r="M86" s="213">
        <f t="shared" si="23"/>
        <v>-0.22169206651005691</v>
      </c>
      <c r="N86" s="568">
        <f>SUBTOTAL(9,N85:N85)</f>
        <v>6675443.3899999997</v>
      </c>
      <c r="O86" s="90">
        <v>0.18210000000000001</v>
      </c>
      <c r="P86" s="213">
        <f t="shared" ref="P86:P121" si="25">+I86/N86-1</f>
        <v>-0.22169206651005691</v>
      </c>
    </row>
    <row r="87" spans="1:19" ht="14.1" customHeight="1" x14ac:dyDescent="0.25">
      <c r="A87" s="37" t="s">
        <v>550</v>
      </c>
      <c r="B87" s="38" t="s">
        <v>551</v>
      </c>
      <c r="C87" s="198">
        <v>8245978.9400000004</v>
      </c>
      <c r="D87" s="204">
        <v>19522658.879999999</v>
      </c>
      <c r="E87" s="30">
        <v>3296322.18</v>
      </c>
      <c r="F87" s="48">
        <f>+E87/D87</f>
        <v>0.16884596510452374</v>
      </c>
      <c r="G87" s="30">
        <v>2958854.59</v>
      </c>
      <c r="H87" s="48">
        <f>G87/D87</f>
        <v>0.15156002100877766</v>
      </c>
      <c r="I87" s="136">
        <v>2554172.83</v>
      </c>
      <c r="J87" s="153">
        <f>I87/D87</f>
        <v>0.13083119700547677</v>
      </c>
      <c r="K87" s="30">
        <v>3675219.52</v>
      </c>
      <c r="L87" s="48">
        <v>0.44700000000000001</v>
      </c>
      <c r="M87" s="210">
        <f t="shared" si="23"/>
        <v>-0.19491758957571059</v>
      </c>
      <c r="N87" s="30">
        <v>3344460.94</v>
      </c>
      <c r="O87" s="48">
        <v>0.40679999999999999</v>
      </c>
      <c r="P87" s="210">
        <f>+I87/N87-1</f>
        <v>-0.2362976049587231</v>
      </c>
    </row>
    <row r="88" spans="1:19" ht="14.1" customHeight="1" x14ac:dyDescent="0.25">
      <c r="A88" s="39" t="s">
        <v>552</v>
      </c>
      <c r="B88" s="40" t="s">
        <v>553</v>
      </c>
      <c r="C88" s="199">
        <v>168671029.94999999</v>
      </c>
      <c r="D88" s="205">
        <v>169016175.22</v>
      </c>
      <c r="E88" s="32">
        <v>61567391.509999998</v>
      </c>
      <c r="F88" s="280">
        <f>+E88/D88</f>
        <v>0.36426922707167386</v>
      </c>
      <c r="G88" s="32">
        <v>60834513.079999998</v>
      </c>
      <c r="H88" s="48">
        <f t="shared" ref="H88:H120" si="26">G88/D88</f>
        <v>0.35993308333249596</v>
      </c>
      <c r="I88" s="133">
        <v>55564530.909999996</v>
      </c>
      <c r="J88" s="178">
        <f t="shared" ref="J88:J130" si="27">I88/D88</f>
        <v>0.32875274119577252</v>
      </c>
      <c r="K88" s="32">
        <v>79161444.75</v>
      </c>
      <c r="L88" s="280">
        <v>0.4597</v>
      </c>
      <c r="M88" s="443">
        <f t="shared" si="23"/>
        <v>-0.23151335511723337</v>
      </c>
      <c r="N88" s="32">
        <v>73089268.409999996</v>
      </c>
      <c r="O88" s="280">
        <v>0.42449999999999999</v>
      </c>
      <c r="P88" s="443">
        <f>+I88/N88-1</f>
        <v>-0.23977169126517461</v>
      </c>
      <c r="Q88" s="53" t="s">
        <v>148</v>
      </c>
    </row>
    <row r="89" spans="1:19" ht="14.1" customHeight="1" x14ac:dyDescent="0.25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292053.32</v>
      </c>
      <c r="F89" s="280">
        <f>+E89/D89</f>
        <v>0.49310024598002078</v>
      </c>
      <c r="G89" s="32">
        <v>283342.32</v>
      </c>
      <c r="H89" s="48">
        <f t="shared" si="26"/>
        <v>0.47839267051834838</v>
      </c>
      <c r="I89" s="133">
        <v>143136.35</v>
      </c>
      <c r="J89" s="178">
        <f t="shared" si="27"/>
        <v>0.24167014911414927</v>
      </c>
      <c r="K89" s="32">
        <v>365229.2</v>
      </c>
      <c r="L89" s="280">
        <v>0.58350000000000002</v>
      </c>
      <c r="M89" s="245">
        <f t="shared" si="23"/>
        <v>-0.22420682683640847</v>
      </c>
      <c r="N89" s="32">
        <v>176628.56</v>
      </c>
      <c r="O89" s="280">
        <v>0.28220000000000001</v>
      </c>
      <c r="P89" s="245">
        <f>+I89/N89-1</f>
        <v>-0.18961944772691341</v>
      </c>
      <c r="Q89" s="53"/>
    </row>
    <row r="90" spans="1:19" ht="14.1" customHeight="1" x14ac:dyDescent="0.25">
      <c r="A90" s="39" t="s">
        <v>556</v>
      </c>
      <c r="B90" s="40" t="s">
        <v>557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558</v>
      </c>
      <c r="C91" s="199">
        <v>14562809.07</v>
      </c>
      <c r="D91" s="205">
        <v>14666964.640000001</v>
      </c>
      <c r="E91" s="32">
        <v>12233187.300000001</v>
      </c>
      <c r="F91" s="280">
        <f t="shared" si="28"/>
        <v>0.83406400712506257</v>
      </c>
      <c r="G91" s="32">
        <v>12007063.039999999</v>
      </c>
      <c r="H91" s="48">
        <f t="shared" si="26"/>
        <v>0.81864675716570068</v>
      </c>
      <c r="I91" s="133">
        <v>2382890.23</v>
      </c>
      <c r="J91" s="178">
        <f t="shared" si="27"/>
        <v>0.16246648768084845</v>
      </c>
      <c r="K91" s="32">
        <v>12046436.390000001</v>
      </c>
      <c r="L91" s="280">
        <v>0.79859999999999998</v>
      </c>
      <c r="M91" s="210">
        <f t="shared" si="23"/>
        <v>-3.2684645255492972E-3</v>
      </c>
      <c r="N91" s="32">
        <v>1339787.1200000001</v>
      </c>
      <c r="O91" s="280">
        <v>8.8800000000000004E-2</v>
      </c>
      <c r="P91" s="210">
        <f t="shared" ref="P91:P94" si="29">+I91/N91-1</f>
        <v>0.77855884298992195</v>
      </c>
      <c r="R91" s="276"/>
    </row>
    <row r="92" spans="1:19" ht="14.1" customHeight="1" x14ac:dyDescent="0.25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101297.65</v>
      </c>
      <c r="F92" s="280">
        <f t="shared" si="28"/>
        <v>0.31113343256047898</v>
      </c>
      <c r="G92" s="32">
        <v>101297.65</v>
      </c>
      <c r="H92" s="48">
        <f t="shared" si="26"/>
        <v>0.31113343256047898</v>
      </c>
      <c r="I92" s="133">
        <v>101297.65</v>
      </c>
      <c r="J92" s="178">
        <f t="shared" si="27"/>
        <v>0.31113343256047898</v>
      </c>
      <c r="K92" s="32">
        <v>174654.42</v>
      </c>
      <c r="L92" s="280">
        <v>0.39250000000000002</v>
      </c>
      <c r="M92" s="210">
        <f t="shared" si="23"/>
        <v>-0.42001095649340003</v>
      </c>
      <c r="N92" s="32">
        <v>174654.42</v>
      </c>
      <c r="O92" s="280">
        <v>0.39250000000000002</v>
      </c>
      <c r="P92" s="210">
        <f t="shared" si="29"/>
        <v>-0.42001095649340003</v>
      </c>
      <c r="R92" s="275"/>
    </row>
    <row r="93" spans="1:19" ht="14.1" customHeight="1" x14ac:dyDescent="0.25">
      <c r="A93" s="39">
        <v>1361</v>
      </c>
      <c r="B93" s="40" t="s">
        <v>560</v>
      </c>
      <c r="C93" s="199">
        <v>40845954.75</v>
      </c>
      <c r="D93" s="205">
        <v>41702050.460000001</v>
      </c>
      <c r="E93" s="32">
        <v>15799382.359999999</v>
      </c>
      <c r="F93" s="280">
        <f t="shared" si="28"/>
        <v>0.37886344162272156</v>
      </c>
      <c r="G93" s="32">
        <v>15391858.619999999</v>
      </c>
      <c r="H93" s="48">
        <f t="shared" si="26"/>
        <v>0.3690911705831742</v>
      </c>
      <c r="I93" s="133">
        <v>13338469.289999999</v>
      </c>
      <c r="J93" s="178">
        <f t="shared" si="27"/>
        <v>0.31985164141494826</v>
      </c>
      <c r="K93" s="32">
        <v>18790732.370000001</v>
      </c>
      <c r="L93" s="280">
        <v>0.43880000000000002</v>
      </c>
      <c r="M93" s="211">
        <f t="shared" si="23"/>
        <v>-0.18088032350598593</v>
      </c>
      <c r="N93" s="32">
        <v>17136600.57</v>
      </c>
      <c r="O93" s="280">
        <v>0.40010000000000001</v>
      </c>
      <c r="P93" s="211">
        <f t="shared" si="29"/>
        <v>-0.22163854870079414</v>
      </c>
      <c r="R93" s="275"/>
    </row>
    <row r="94" spans="1:19" ht="14.1" customHeight="1" x14ac:dyDescent="0.25">
      <c r="A94" s="39" t="s">
        <v>561</v>
      </c>
      <c r="B94" s="40" t="s">
        <v>562</v>
      </c>
      <c r="C94" s="199">
        <v>27221948.489999998</v>
      </c>
      <c r="D94" s="205">
        <v>29964184.039999999</v>
      </c>
      <c r="E94" s="32">
        <v>12141338.890000001</v>
      </c>
      <c r="F94" s="280">
        <f t="shared" si="28"/>
        <v>0.40519504465037992</v>
      </c>
      <c r="G94" s="32">
        <v>11144367.77</v>
      </c>
      <c r="H94" s="48">
        <f t="shared" si="26"/>
        <v>0.37192295158523531</v>
      </c>
      <c r="I94" s="133">
        <v>6076578.9100000001</v>
      </c>
      <c r="J94" s="178">
        <f t="shared" si="27"/>
        <v>0.20279473994313379</v>
      </c>
      <c r="K94" s="32">
        <v>12925232.550000001</v>
      </c>
      <c r="L94" s="280">
        <v>0.61329999999999996</v>
      </c>
      <c r="M94" s="211">
        <f t="shared" si="23"/>
        <v>-0.13778203008037959</v>
      </c>
      <c r="N94" s="32">
        <v>7599205.4699999997</v>
      </c>
      <c r="O94" s="280">
        <v>0.36059999999999998</v>
      </c>
      <c r="P94" s="211">
        <f t="shared" si="29"/>
        <v>-0.20036654700428824</v>
      </c>
      <c r="R94" s="275"/>
      <c r="S94" s="275"/>
    </row>
    <row r="95" spans="1:19" ht="14.1" customHeight="1" x14ac:dyDescent="0.25">
      <c r="A95" s="39" t="s">
        <v>563</v>
      </c>
      <c r="B95" s="40" t="s">
        <v>564</v>
      </c>
      <c r="C95" s="199">
        <v>10111588.699999999</v>
      </c>
      <c r="D95" s="205">
        <v>10362571.67</v>
      </c>
      <c r="E95" s="32">
        <v>3736929.49</v>
      </c>
      <c r="F95" s="280">
        <f t="shared" si="28"/>
        <v>0.36061796328208173</v>
      </c>
      <c r="G95" s="32">
        <v>3645231.48</v>
      </c>
      <c r="H95" s="48">
        <f t="shared" si="26"/>
        <v>0.35176900059982891</v>
      </c>
      <c r="I95" s="133">
        <v>3179414.69</v>
      </c>
      <c r="J95" s="178">
        <f t="shared" si="27"/>
        <v>0.30681714841157764</v>
      </c>
      <c r="K95" s="32">
        <v>4348190.67</v>
      </c>
      <c r="L95" s="280">
        <v>0.40849999999999997</v>
      </c>
      <c r="M95" s="211">
        <f t="shared" si="23"/>
        <v>-0.16166705725441433</v>
      </c>
      <c r="N95" s="32">
        <v>4055522.9</v>
      </c>
      <c r="O95" s="280">
        <v>0.38100000000000001</v>
      </c>
      <c r="P95" s="211">
        <f>+I95/N95-1</f>
        <v>-0.21602842139049439</v>
      </c>
      <c r="R95" s="275"/>
      <c r="S95" s="275"/>
    </row>
    <row r="96" spans="1:19" ht="14.1" customHeight="1" x14ac:dyDescent="0.25">
      <c r="A96" s="39" t="s">
        <v>565</v>
      </c>
      <c r="B96" s="40" t="s">
        <v>566</v>
      </c>
      <c r="C96" s="199">
        <v>768399.65</v>
      </c>
      <c r="D96" s="205">
        <v>779808.2</v>
      </c>
      <c r="E96" s="32">
        <v>202162.73</v>
      </c>
      <c r="F96" s="280">
        <f t="shared" si="28"/>
        <v>0.25924673528695907</v>
      </c>
      <c r="G96" s="32">
        <v>202162.73</v>
      </c>
      <c r="H96" s="48">
        <f t="shared" si="26"/>
        <v>0.25924673528695907</v>
      </c>
      <c r="I96" s="133">
        <v>202162.73</v>
      </c>
      <c r="J96" s="178">
        <f t="shared" si="27"/>
        <v>0.25924673528695907</v>
      </c>
      <c r="K96" s="32">
        <v>272103.93</v>
      </c>
      <c r="L96" s="280">
        <v>0.45169999999999999</v>
      </c>
      <c r="M96" s="211">
        <f>+G96/K96-1</f>
        <v>-0.25703855140938237</v>
      </c>
      <c r="N96" s="32">
        <v>272103.93</v>
      </c>
      <c r="O96" s="280">
        <v>0.45169999999999999</v>
      </c>
      <c r="P96" s="211">
        <f t="shared" ref="P96:P102" si="30">+I96/N96-1</f>
        <v>-0.25703855140938237</v>
      </c>
      <c r="R96" s="275"/>
      <c r="S96" s="275"/>
    </row>
    <row r="97" spans="1:19" ht="14.1" customHeight="1" x14ac:dyDescent="0.25">
      <c r="A97" s="39" t="s">
        <v>567</v>
      </c>
      <c r="B97" s="40" t="s">
        <v>568</v>
      </c>
      <c r="C97" s="199">
        <v>6253007.9500000002</v>
      </c>
      <c r="D97" s="205">
        <v>6253007.9500000002</v>
      </c>
      <c r="E97" s="32">
        <v>6000877.9699999997</v>
      </c>
      <c r="F97" s="280">
        <f t="shared" si="28"/>
        <v>0.95967860875660638</v>
      </c>
      <c r="G97" s="32">
        <v>5956409.3499999996</v>
      </c>
      <c r="H97" s="48">
        <f t="shared" si="26"/>
        <v>0.95256705214967774</v>
      </c>
      <c r="I97" s="133">
        <v>2639449.42</v>
      </c>
      <c r="J97" s="178">
        <f t="shared" si="27"/>
        <v>0.42210875807378428</v>
      </c>
      <c r="K97" s="32">
        <v>5865960.1100000003</v>
      </c>
      <c r="L97" s="280">
        <v>0.93810000000000004</v>
      </c>
      <c r="M97" s="211">
        <f t="shared" si="23"/>
        <v>1.5419341131523545E-2</v>
      </c>
      <c r="N97" s="32">
        <v>2699998.3</v>
      </c>
      <c r="O97" s="280">
        <v>0.43180000000000002</v>
      </c>
      <c r="P97" s="211">
        <f t="shared" si="30"/>
        <v>-2.2425525230886256E-2</v>
      </c>
      <c r="R97" s="275"/>
      <c r="S97" s="275"/>
    </row>
    <row r="98" spans="1:19" ht="14.1" customHeight="1" x14ac:dyDescent="0.25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725606.14</v>
      </c>
      <c r="F98" s="280">
        <f t="shared" si="28"/>
        <v>0.86683503942650419</v>
      </c>
      <c r="G98" s="32">
        <v>195286.15</v>
      </c>
      <c r="H98" s="48">
        <f t="shared" si="26"/>
        <v>0.23329581739027208</v>
      </c>
      <c r="I98" s="133">
        <v>42864.11</v>
      </c>
      <c r="J98" s="178">
        <f t="shared" si="27"/>
        <v>5.1206998443855518E-2</v>
      </c>
      <c r="K98" s="32">
        <v>499607.66</v>
      </c>
      <c r="L98" s="280">
        <v>0.29420000000000002</v>
      </c>
      <c r="M98" s="211">
        <f t="shared" si="23"/>
        <v>-0.60912098505455259</v>
      </c>
      <c r="N98" s="32">
        <v>373219.59</v>
      </c>
      <c r="O98" s="280">
        <v>0.2198</v>
      </c>
      <c r="P98" s="211">
        <f t="shared" si="30"/>
        <v>-0.88515042846491521</v>
      </c>
      <c r="R98" s="275"/>
      <c r="S98" s="275"/>
    </row>
    <row r="99" spans="1:19" ht="14.1" customHeight="1" x14ac:dyDescent="0.25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103150</v>
      </c>
      <c r="F99" s="280">
        <f t="shared" si="28"/>
        <v>0.29929687142064226</v>
      </c>
      <c r="G99" s="32">
        <v>25408.79</v>
      </c>
      <c r="H99" s="48">
        <f t="shared" si="26"/>
        <v>7.3725364552439179E-2</v>
      </c>
      <c r="I99" s="133">
        <v>7258.79</v>
      </c>
      <c r="J99" s="178">
        <f t="shared" si="27"/>
        <v>2.1061882087246183E-2</v>
      </c>
      <c r="K99" s="32">
        <v>192331.77</v>
      </c>
      <c r="L99" s="280">
        <v>0.4672</v>
      </c>
      <c r="M99" s="211">
        <f t="shared" si="23"/>
        <v>-0.86789083259619559</v>
      </c>
      <c r="N99" s="32">
        <v>93039.17</v>
      </c>
      <c r="O99" s="280">
        <v>0.22600000000000001</v>
      </c>
      <c r="P99" s="211">
        <f t="shared" si="30"/>
        <v>-0.92198135473478537</v>
      </c>
      <c r="R99" s="275"/>
      <c r="S99" s="275"/>
    </row>
    <row r="100" spans="1:19" ht="14.1" customHeight="1" x14ac:dyDescent="0.25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6802716.75</v>
      </c>
      <c r="F100" s="280">
        <f t="shared" si="28"/>
        <v>0.84947694142121732</v>
      </c>
      <c r="G100" s="32">
        <v>6802716.75</v>
      </c>
      <c r="H100" s="48">
        <f t="shared" si="26"/>
        <v>0.84947694142121732</v>
      </c>
      <c r="I100" s="133">
        <v>826844.7</v>
      </c>
      <c r="J100" s="178">
        <f t="shared" si="27"/>
        <v>0.10325073534574904</v>
      </c>
      <c r="K100" s="32">
        <v>6750981.71</v>
      </c>
      <c r="L100" s="280">
        <v>0.85960000000000003</v>
      </c>
      <c r="M100" s="211">
        <f t="shared" si="23"/>
        <v>7.6633358261608553E-3</v>
      </c>
      <c r="N100" s="32">
        <v>920191.71</v>
      </c>
      <c r="O100" s="280">
        <v>0.1172</v>
      </c>
      <c r="P100" s="211">
        <f t="shared" si="30"/>
        <v>-0.10144300256736716</v>
      </c>
      <c r="R100" s="275"/>
      <c r="S100" s="275"/>
    </row>
    <row r="101" spans="1:19" ht="14.1" customHeight="1" x14ac:dyDescent="0.25">
      <c r="A101" s="39">
        <v>1521</v>
      </c>
      <c r="B101" s="40" t="s">
        <v>575</v>
      </c>
      <c r="C101" s="199">
        <v>18338488.539999999</v>
      </c>
      <c r="D101" s="205">
        <v>18338488.539999999</v>
      </c>
      <c r="E101" s="32">
        <v>16155197.810000001</v>
      </c>
      <c r="F101" s="280">
        <f>+E101/D101</f>
        <v>0.88094489220102334</v>
      </c>
      <c r="G101" s="32">
        <v>16155197.810000001</v>
      </c>
      <c r="H101" s="48">
        <f t="shared" si="26"/>
        <v>0.88094489220102334</v>
      </c>
      <c r="I101" s="133">
        <v>3554887.06</v>
      </c>
      <c r="J101" s="178">
        <f t="shared" si="27"/>
        <v>0.19384842170858646</v>
      </c>
      <c r="K101" s="32">
        <v>8841268</v>
      </c>
      <c r="L101" s="280">
        <v>0.69320000000000004</v>
      </c>
      <c r="M101" s="211">
        <f t="shared" si="23"/>
        <v>0.82724896587231611</v>
      </c>
      <c r="N101" s="32">
        <v>7270000</v>
      </c>
      <c r="O101" s="280">
        <v>0.56999999999999995</v>
      </c>
      <c r="P101" s="211">
        <f t="shared" si="30"/>
        <v>-0.51101966162310863</v>
      </c>
      <c r="R101" s="275"/>
      <c r="S101" s="275"/>
    </row>
    <row r="102" spans="1:19" ht="14.1" customHeight="1" x14ac:dyDescent="0.25">
      <c r="A102" s="39" t="s">
        <v>576</v>
      </c>
      <c r="B102" s="40" t="s">
        <v>577</v>
      </c>
      <c r="C102" s="199">
        <v>10647962.52</v>
      </c>
      <c r="D102" s="205">
        <v>10647962.52</v>
      </c>
      <c r="E102" s="32">
        <v>10566785.91</v>
      </c>
      <c r="F102" s="280">
        <f>+E102/D102</f>
        <v>0.99237632459284808</v>
      </c>
      <c r="G102" s="32">
        <v>10484926.9</v>
      </c>
      <c r="H102" s="48">
        <f t="shared" si="26"/>
        <v>0.98468856180759745</v>
      </c>
      <c r="I102" s="133">
        <v>4306975.55</v>
      </c>
      <c r="J102" s="178">
        <f t="shared" si="27"/>
        <v>0.40448823349164081</v>
      </c>
      <c r="K102" s="32">
        <v>10488071.41</v>
      </c>
      <c r="L102" s="280">
        <v>0.9849</v>
      </c>
      <c r="M102" s="211">
        <f t="shared" si="23"/>
        <v>-2.9981775267107214E-4</v>
      </c>
      <c r="N102" s="32">
        <v>2295877.7400000002</v>
      </c>
      <c r="O102" s="280">
        <v>0.21560000000000001</v>
      </c>
      <c r="P102" s="211">
        <f t="shared" si="30"/>
        <v>0.87596032443783334</v>
      </c>
      <c r="R102" s="275"/>
      <c r="S102" s="275"/>
    </row>
    <row r="103" spans="1:19" ht="14.1" customHeight="1" x14ac:dyDescent="0.25">
      <c r="A103" s="39" t="s">
        <v>578</v>
      </c>
      <c r="B103" s="40" t="s">
        <v>579</v>
      </c>
      <c r="C103" s="199">
        <v>8492360.5399999991</v>
      </c>
      <c r="D103" s="205">
        <v>8528918.5</v>
      </c>
      <c r="E103" s="32">
        <v>7398794.9400000004</v>
      </c>
      <c r="F103" s="280">
        <f>+E103/D103</f>
        <v>0.86749509213858711</v>
      </c>
      <c r="G103" s="32">
        <v>7326839.5300000003</v>
      </c>
      <c r="H103" s="48">
        <f t="shared" si="26"/>
        <v>0.85905845272176073</v>
      </c>
      <c r="I103" s="133">
        <v>489881.05</v>
      </c>
      <c r="J103" s="178">
        <f t="shared" si="27"/>
        <v>5.7437651678814844E-2</v>
      </c>
      <c r="K103" s="32">
        <v>7219305.3399999999</v>
      </c>
      <c r="L103" s="280">
        <v>0.88780000000000003</v>
      </c>
      <c r="M103" s="211">
        <f t="shared" si="23"/>
        <v>1.4895365265157334E-2</v>
      </c>
      <c r="N103" s="32">
        <v>1740164.66</v>
      </c>
      <c r="O103" s="280">
        <v>0.214</v>
      </c>
      <c r="P103" s="211">
        <f t="shared" ref="P103:P113" si="31">+I103/N103-1</f>
        <v>-0.71848580696955422</v>
      </c>
      <c r="R103" s="275"/>
    </row>
    <row r="104" spans="1:19" ht="14.1" customHeight="1" x14ac:dyDescent="0.25">
      <c r="A104" s="39" t="s">
        <v>580</v>
      </c>
      <c r="B104" s="40" t="s">
        <v>581</v>
      </c>
      <c r="C104" s="199">
        <v>7787183.1299999999</v>
      </c>
      <c r="D104" s="205">
        <v>7787183.1299999999</v>
      </c>
      <c r="E104" s="32">
        <v>6726955.9699999997</v>
      </c>
      <c r="F104" s="280">
        <f t="shared" ref="F104:F107" si="32">+E104/D104</f>
        <v>0.86384972045726116</v>
      </c>
      <c r="G104" s="32">
        <v>6555810.2400000002</v>
      </c>
      <c r="H104" s="48">
        <f t="shared" si="26"/>
        <v>0.84187184641181034</v>
      </c>
      <c r="I104" s="133">
        <v>1180860.42</v>
      </c>
      <c r="J104" s="178">
        <f t="shared" si="27"/>
        <v>0.15164153716261711</v>
      </c>
      <c r="K104" s="32">
        <v>4537023.47</v>
      </c>
      <c r="L104" s="280">
        <v>0.68079999999999996</v>
      </c>
      <c r="M104" s="211">
        <f t="shared" si="23"/>
        <v>0.44495841455279073</v>
      </c>
      <c r="N104" s="32">
        <v>1050979.1100000001</v>
      </c>
      <c r="O104" s="280">
        <v>0.15770000000000001</v>
      </c>
      <c r="P104" s="211">
        <f t="shared" si="31"/>
        <v>0.12358124796600367</v>
      </c>
      <c r="R104" s="275"/>
    </row>
    <row r="105" spans="1:19" ht="14.1" customHeight="1" x14ac:dyDescent="0.25">
      <c r="A105" s="39" t="s">
        <v>582</v>
      </c>
      <c r="B105" s="40" t="s">
        <v>583</v>
      </c>
      <c r="C105" s="199">
        <v>13014565.800000001</v>
      </c>
      <c r="D105" s="205">
        <v>12984528.470000001</v>
      </c>
      <c r="E105" s="32">
        <v>9029680.5600000005</v>
      </c>
      <c r="F105" s="280">
        <f t="shared" si="32"/>
        <v>0.69541844209919157</v>
      </c>
      <c r="G105" s="32">
        <v>8879072.4600000009</v>
      </c>
      <c r="H105" s="48">
        <f t="shared" si="26"/>
        <v>0.68381939941173697</v>
      </c>
      <c r="I105" s="133">
        <v>2719551.6</v>
      </c>
      <c r="J105" s="178">
        <f t="shared" si="27"/>
        <v>0.20944554176790989</v>
      </c>
      <c r="K105" s="32">
        <v>8512566.2599999998</v>
      </c>
      <c r="L105" s="280">
        <v>0.73670000000000002</v>
      </c>
      <c r="M105" s="211">
        <f t="shared" si="23"/>
        <v>4.3054725074175293E-2</v>
      </c>
      <c r="N105" s="32">
        <v>2853187.22</v>
      </c>
      <c r="O105" s="280">
        <v>0.24690000000000001</v>
      </c>
      <c r="P105" s="211">
        <f t="shared" si="31"/>
        <v>-4.6837311993848108E-2</v>
      </c>
      <c r="R105" s="275"/>
    </row>
    <row r="106" spans="1:19" ht="14.1" customHeight="1" x14ac:dyDescent="0.25">
      <c r="A106" s="39" t="s">
        <v>584</v>
      </c>
      <c r="B106" s="40" t="s">
        <v>585</v>
      </c>
      <c r="C106" s="199">
        <v>0</v>
      </c>
      <c r="D106" s="205">
        <v>430736.66</v>
      </c>
      <c r="E106" s="32">
        <v>117772.58</v>
      </c>
      <c r="F106" s="280">
        <f t="shared" si="32"/>
        <v>0.27342130572308382</v>
      </c>
      <c r="G106" s="32">
        <v>27999.87</v>
      </c>
      <c r="H106" s="48">
        <f t="shared" si="26"/>
        <v>6.5004613259526139E-2</v>
      </c>
      <c r="I106" s="133">
        <v>15023.27</v>
      </c>
      <c r="J106" s="178">
        <f t="shared" si="27"/>
        <v>3.4878085371233554E-2</v>
      </c>
      <c r="K106" s="32">
        <v>418561.17</v>
      </c>
      <c r="L106" s="280">
        <v>0.4708</v>
      </c>
      <c r="M106" s="211">
        <f t="shared" si="23"/>
        <v>-0.93310447311679678</v>
      </c>
      <c r="N106" s="32">
        <v>116537.62</v>
      </c>
      <c r="O106" s="280">
        <v>0.13109999999999999</v>
      </c>
      <c r="P106" s="211">
        <f t="shared" si="31"/>
        <v>-0.87108652124524255</v>
      </c>
      <c r="R106" s="275"/>
    </row>
    <row r="107" spans="1:19" ht="14.1" customHeight="1" x14ac:dyDescent="0.25">
      <c r="A107" s="39">
        <v>1536</v>
      </c>
      <c r="B107" s="40" t="s">
        <v>770</v>
      </c>
      <c r="C107" s="199">
        <v>7068560</v>
      </c>
      <c r="D107" s="205">
        <v>6997844</v>
      </c>
      <c r="E107" s="32">
        <v>2667844</v>
      </c>
      <c r="F107" s="280">
        <f t="shared" si="32"/>
        <v>0.38123799273033238</v>
      </c>
      <c r="G107" s="32">
        <v>2667844</v>
      </c>
      <c r="H107" s="48">
        <f t="shared" si="26"/>
        <v>0.38123799273033238</v>
      </c>
      <c r="I107" s="133">
        <v>650000</v>
      </c>
      <c r="J107" s="178">
        <f t="shared" si="27"/>
        <v>9.2885751668656799E-2</v>
      </c>
      <c r="K107" s="32">
        <v>0</v>
      </c>
      <c r="L107" s="280" t="s">
        <v>129</v>
      </c>
      <c r="M107" s="211" t="s">
        <v>129</v>
      </c>
      <c r="N107" s="32">
        <v>0</v>
      </c>
      <c r="O107" s="280" t="s">
        <v>129</v>
      </c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586</v>
      </c>
      <c r="C108" s="199">
        <v>18215182.399999999</v>
      </c>
      <c r="D108" s="205">
        <v>18415182.399999999</v>
      </c>
      <c r="E108" s="32">
        <v>18124807.469999999</v>
      </c>
      <c r="F108" s="280">
        <f>+E108/D108</f>
        <v>0.98423176465523365</v>
      </c>
      <c r="G108" s="32">
        <v>18124807.469999999</v>
      </c>
      <c r="H108" s="48">
        <f t="shared" si="26"/>
        <v>0.98423176465523365</v>
      </c>
      <c r="I108" s="133">
        <v>4600649.43</v>
      </c>
      <c r="J108" s="178">
        <f t="shared" si="27"/>
        <v>0.24982915347067103</v>
      </c>
      <c r="K108" s="32">
        <v>19349633.260000002</v>
      </c>
      <c r="L108" s="280">
        <v>0.87529999999999997</v>
      </c>
      <c r="M108" s="211">
        <f t="shared" si="23"/>
        <v>-6.329969015650494E-2</v>
      </c>
      <c r="N108" s="32">
        <v>6158767.1799999997</v>
      </c>
      <c r="O108" s="280">
        <v>0.27860000000000001</v>
      </c>
      <c r="P108" s="211">
        <f t="shared" si="31"/>
        <v>-0.25299182522434627</v>
      </c>
      <c r="R108" s="275"/>
    </row>
    <row r="109" spans="1:19" ht="14.1" customHeight="1" x14ac:dyDescent="0.25">
      <c r="A109" s="39" t="s">
        <v>587</v>
      </c>
      <c r="B109" s="40" t="s">
        <v>588</v>
      </c>
      <c r="C109" s="199">
        <v>8305266.9900000002</v>
      </c>
      <c r="D109" s="205">
        <v>8326562.9900000002</v>
      </c>
      <c r="E109" s="32">
        <v>6341788.7300000004</v>
      </c>
      <c r="F109" s="280">
        <f>+E109/D109</f>
        <v>0.76163342997781136</v>
      </c>
      <c r="G109" s="32">
        <v>6341788.7300000004</v>
      </c>
      <c r="H109" s="48">
        <f t="shared" si="26"/>
        <v>0.76163342997781136</v>
      </c>
      <c r="I109" s="133">
        <v>1166025.6599999999</v>
      </c>
      <c r="J109" s="178">
        <f t="shared" si="27"/>
        <v>0.14003685090719525</v>
      </c>
      <c r="K109" s="32">
        <v>6140658.3200000003</v>
      </c>
      <c r="L109" s="280">
        <v>0.99580000000000002</v>
      </c>
      <c r="M109" s="211">
        <f t="shared" si="23"/>
        <v>3.2753883951647689E-2</v>
      </c>
      <c r="N109" s="32">
        <v>879427.06</v>
      </c>
      <c r="O109" s="280">
        <v>0.1426</v>
      </c>
      <c r="P109" s="211">
        <f t="shared" si="31"/>
        <v>0.32589240544861098</v>
      </c>
    </row>
    <row r="110" spans="1:19" ht="14.1" customHeight="1" x14ac:dyDescent="0.25">
      <c r="A110" s="39" t="s">
        <v>589</v>
      </c>
      <c r="B110" s="40" t="s">
        <v>590</v>
      </c>
      <c r="C110" s="199">
        <v>98538647.590000004</v>
      </c>
      <c r="D110" s="205">
        <v>94721202.489999995</v>
      </c>
      <c r="E110" s="32">
        <v>87650000</v>
      </c>
      <c r="F110" s="280">
        <f>+E110/D110</f>
        <v>0.92534720522845426</v>
      </c>
      <c r="G110" s="32">
        <v>87650000</v>
      </c>
      <c r="H110" s="48">
        <f t="shared" si="26"/>
        <v>0.92534720522845426</v>
      </c>
      <c r="I110" s="133">
        <v>10726785.029999999</v>
      </c>
      <c r="J110" s="178">
        <f t="shared" si="27"/>
        <v>0.11324587049169334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11714128.859999999</v>
      </c>
      <c r="O110" s="280">
        <v>0.13739999999999999</v>
      </c>
      <c r="P110" s="211">
        <f t="shared" si="31"/>
        <v>-8.4286577499711801E-2</v>
      </c>
    </row>
    <row r="111" spans="1:19" ht="14.1" customHeight="1" x14ac:dyDescent="0.25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ref="F111:F112" si="33">+E111/D111</f>
        <v>0.99132646664210755</v>
      </c>
      <c r="G111" s="32">
        <v>4767846.51</v>
      </c>
      <c r="H111" s="48">
        <f t="shared" si="26"/>
        <v>0.99132646664210755</v>
      </c>
      <c r="I111" s="133">
        <v>130588.79</v>
      </c>
      <c r="J111" s="178">
        <f t="shared" si="27"/>
        <v>2.7151906736563168E-2</v>
      </c>
      <c r="K111" s="32">
        <v>4199919.66</v>
      </c>
      <c r="L111" s="280">
        <v>0.93799999999999994</v>
      </c>
      <c r="M111" s="211">
        <f t="shared" si="23"/>
        <v>0.13522326519931571</v>
      </c>
      <c r="N111" s="32">
        <v>0</v>
      </c>
      <c r="O111" s="280">
        <v>0</v>
      </c>
      <c r="P111" s="211" t="s">
        <v>129</v>
      </c>
    </row>
    <row r="112" spans="1:19" ht="14.1" customHeight="1" x14ac:dyDescent="0.25">
      <c r="A112" s="39" t="s">
        <v>593</v>
      </c>
      <c r="B112" s="40" t="s">
        <v>594</v>
      </c>
      <c r="C112" s="199">
        <v>452333.1</v>
      </c>
      <c r="D112" s="205">
        <v>797822.68</v>
      </c>
      <c r="E112" s="32">
        <v>531456.93000000005</v>
      </c>
      <c r="F112" s="280">
        <f t="shared" si="33"/>
        <v>0.66613414649982128</v>
      </c>
      <c r="G112" s="32">
        <v>531456.93000000005</v>
      </c>
      <c r="H112" s="48">
        <f t="shared" si="26"/>
        <v>0.66613414649982128</v>
      </c>
      <c r="I112" s="133">
        <v>531456.93000000005</v>
      </c>
      <c r="J112" s="178">
        <f t="shared" si="27"/>
        <v>0.66613414649982128</v>
      </c>
      <c r="K112" s="32">
        <v>3900088.5</v>
      </c>
      <c r="L112" s="280">
        <v>6.93E-2</v>
      </c>
      <c r="M112" s="211">
        <f t="shared" si="23"/>
        <v>-0.86373208454115846</v>
      </c>
      <c r="N112" s="32">
        <v>3900088.5</v>
      </c>
      <c r="O112" s="280">
        <v>6.93E-2</v>
      </c>
      <c r="P112" s="211">
        <f t="shared" si="31"/>
        <v>-0.86373208454115846</v>
      </c>
    </row>
    <row r="113" spans="1:16" ht="14.1" customHeight="1" x14ac:dyDescent="0.25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173802254.97</v>
      </c>
      <c r="F113" s="280">
        <f t="shared" ref="F113:F119" si="34">+E113/D113</f>
        <v>0.99579992316845523</v>
      </c>
      <c r="G113" s="32">
        <v>173774130.75</v>
      </c>
      <c r="H113" s="48">
        <f t="shared" si="26"/>
        <v>0.99563878546561002</v>
      </c>
      <c r="I113" s="133">
        <v>29453649.850000001</v>
      </c>
      <c r="J113" s="178">
        <f t="shared" si="27"/>
        <v>0.16875467043119333</v>
      </c>
      <c r="K113" s="32">
        <v>174592933.40000001</v>
      </c>
      <c r="L113" s="280">
        <v>0.9869</v>
      </c>
      <c r="M113" s="211">
        <f t="shared" si="23"/>
        <v>-4.6897811615553842E-3</v>
      </c>
      <c r="N113" s="32">
        <v>28063724.890000001</v>
      </c>
      <c r="O113" s="280">
        <v>0.15859999999999999</v>
      </c>
      <c r="P113" s="211">
        <f t="shared" si="31"/>
        <v>4.9527458149195125E-2</v>
      </c>
    </row>
    <row r="114" spans="1:16" ht="14.1" customHeight="1" x14ac:dyDescent="0.25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598</v>
      </c>
      <c r="B115" s="40" t="s">
        <v>599</v>
      </c>
      <c r="C115" s="199">
        <v>29617801.809999999</v>
      </c>
      <c r="D115" s="205">
        <v>29549630.02</v>
      </c>
      <c r="E115" s="32">
        <v>24189520.84</v>
      </c>
      <c r="F115" s="280">
        <f t="shared" si="34"/>
        <v>0.81860655526407167</v>
      </c>
      <c r="G115" s="32">
        <v>24189022.27</v>
      </c>
      <c r="H115" s="48">
        <f t="shared" si="26"/>
        <v>0.81858968297160428</v>
      </c>
      <c r="I115" s="133">
        <v>3425299.61</v>
      </c>
      <c r="J115" s="178">
        <f t="shared" si="27"/>
        <v>0.11591683576686622</v>
      </c>
      <c r="K115" s="32">
        <v>22009251.609999999</v>
      </c>
      <c r="L115" s="280">
        <v>0.7177</v>
      </c>
      <c r="M115" s="211">
        <f t="shared" si="23"/>
        <v>9.9038835968852768E-2</v>
      </c>
      <c r="N115" s="32">
        <v>3633060.99</v>
      </c>
      <c r="O115" s="280">
        <v>0.11849999999999999</v>
      </c>
      <c r="P115" s="211">
        <f t="shared" ref="P115:P120" si="35">+I115/N115-1</f>
        <v>-5.7186317700656186E-2</v>
      </c>
    </row>
    <row r="116" spans="1:16" ht="14.1" customHeight="1" x14ac:dyDescent="0.25">
      <c r="A116" s="39" t="s">
        <v>600</v>
      </c>
      <c r="B116" s="40" t="s">
        <v>601</v>
      </c>
      <c r="C116" s="199">
        <v>1946253.38</v>
      </c>
      <c r="D116" s="205">
        <v>2306840.9</v>
      </c>
      <c r="E116" s="32">
        <v>2226972.7999999998</v>
      </c>
      <c r="F116" s="280">
        <f t="shared" si="34"/>
        <v>0.96537771633925851</v>
      </c>
      <c r="G116" s="32">
        <v>1521532.92</v>
      </c>
      <c r="H116" s="48">
        <f t="shared" si="26"/>
        <v>0.65957427753253373</v>
      </c>
      <c r="I116" s="133">
        <v>521226.4</v>
      </c>
      <c r="J116" s="178">
        <f t="shared" si="27"/>
        <v>0.22594813539156516</v>
      </c>
      <c r="K116" s="32">
        <v>784958.1</v>
      </c>
      <c r="L116" s="280">
        <v>0.44119999999999998</v>
      </c>
      <c r="M116" s="211">
        <f t="shared" si="23"/>
        <v>0.93836195842809955</v>
      </c>
      <c r="N116" s="32">
        <v>285465.62</v>
      </c>
      <c r="O116" s="280">
        <v>0.16039999999999999</v>
      </c>
      <c r="P116" s="211">
        <f t="shared" si="35"/>
        <v>0.82588151946283417</v>
      </c>
    </row>
    <row r="117" spans="1:16" ht="14.1" customHeight="1" x14ac:dyDescent="0.25">
      <c r="A117" s="39" t="s">
        <v>602</v>
      </c>
      <c r="B117" s="40" t="s">
        <v>603</v>
      </c>
      <c r="C117" s="199">
        <v>48802097.030000001</v>
      </c>
      <c r="D117" s="205">
        <v>48802097.030000001</v>
      </c>
      <c r="E117" s="32">
        <v>48748731.82</v>
      </c>
      <c r="F117" s="280">
        <f t="shared" si="34"/>
        <v>0.99890649760465833</v>
      </c>
      <c r="G117" s="32">
        <v>48748731.82</v>
      </c>
      <c r="H117" s="48">
        <f t="shared" si="26"/>
        <v>0.99890649760465833</v>
      </c>
      <c r="I117" s="133">
        <v>10500000</v>
      </c>
      <c r="J117" s="178">
        <f t="shared" si="27"/>
        <v>0.21515468881481381</v>
      </c>
      <c r="K117" s="32">
        <v>47823873</v>
      </c>
      <c r="L117" s="280">
        <v>0.99909999999999999</v>
      </c>
      <c r="M117" s="211">
        <f t="shared" si="23"/>
        <v>1.9338852376092674E-2</v>
      </c>
      <c r="N117" s="32">
        <v>10300000</v>
      </c>
      <c r="O117" s="280">
        <v>0.2152</v>
      </c>
      <c r="P117" s="211">
        <f t="shared" si="35"/>
        <v>1.9417475728155331E-2</v>
      </c>
    </row>
    <row r="118" spans="1:16" ht="14.1" customHeight="1" x14ac:dyDescent="0.25">
      <c r="A118" s="41">
        <v>1721</v>
      </c>
      <c r="B118" s="42" t="s">
        <v>604</v>
      </c>
      <c r="C118" s="199">
        <v>1270749.54</v>
      </c>
      <c r="D118" s="205">
        <v>1323249.54</v>
      </c>
      <c r="E118" s="32">
        <v>837973.3</v>
      </c>
      <c r="F118" s="280">
        <f t="shared" si="34"/>
        <v>0.63326929250245578</v>
      </c>
      <c r="G118" s="32">
        <v>426072.31</v>
      </c>
      <c r="H118" s="48">
        <f t="shared" si="26"/>
        <v>0.32198938833562712</v>
      </c>
      <c r="I118" s="133">
        <v>69556.11</v>
      </c>
      <c r="J118" s="178">
        <f t="shared" si="27"/>
        <v>5.2564620577914577E-2</v>
      </c>
      <c r="K118" s="32">
        <v>389715.38</v>
      </c>
      <c r="L118" s="390">
        <v>0.48</v>
      </c>
      <c r="M118" s="211">
        <f t="shared" si="23"/>
        <v>9.3290980715208027E-2</v>
      </c>
      <c r="N118" s="32">
        <v>111438.76</v>
      </c>
      <c r="O118" s="390">
        <v>0.13730000000000001</v>
      </c>
      <c r="P118" s="211">
        <f t="shared" si="35"/>
        <v>-0.37583557103470999</v>
      </c>
    </row>
    <row r="119" spans="1:16" ht="14.1" customHeight="1" x14ac:dyDescent="0.25">
      <c r="A119" s="41" t="s">
        <v>605</v>
      </c>
      <c r="B119" s="42" t="s">
        <v>606</v>
      </c>
      <c r="C119" s="200">
        <v>2576457.23</v>
      </c>
      <c r="D119" s="206">
        <v>2944655.81</v>
      </c>
      <c r="E119" s="34">
        <v>2345413.85</v>
      </c>
      <c r="F119" s="280">
        <f t="shared" si="34"/>
        <v>0.79649847090278436</v>
      </c>
      <c r="G119" s="34">
        <v>2099957.94</v>
      </c>
      <c r="H119" s="48">
        <f t="shared" si="26"/>
        <v>0.71314207007439689</v>
      </c>
      <c r="I119" s="137">
        <v>206641.53</v>
      </c>
      <c r="J119" s="178">
        <f t="shared" si="27"/>
        <v>7.0175104777355959E-2</v>
      </c>
      <c r="K119" s="34">
        <v>760991.99</v>
      </c>
      <c r="L119" s="390">
        <v>0.59970000000000001</v>
      </c>
      <c r="M119" s="211">
        <f t="shared" si="23"/>
        <v>1.7595007143242074</v>
      </c>
      <c r="N119" s="34">
        <v>213539.71</v>
      </c>
      <c r="O119" s="390">
        <v>0.16830000000000001</v>
      </c>
      <c r="P119" s="211">
        <f t="shared" si="35"/>
        <v>-3.2303968194018817E-2</v>
      </c>
    </row>
    <row r="120" spans="1:16" ht="14.1" customHeight="1" x14ac:dyDescent="0.25">
      <c r="A120" s="666" t="s">
        <v>607</v>
      </c>
      <c r="B120" s="662" t="s">
        <v>608</v>
      </c>
      <c r="C120" s="661">
        <v>3772412.45</v>
      </c>
      <c r="D120" s="397">
        <v>3779582.45</v>
      </c>
      <c r="E120" s="398">
        <v>2640518.81</v>
      </c>
      <c r="F120" s="412">
        <f>+E120/D120</f>
        <v>0.69862712215736955</v>
      </c>
      <c r="G120" s="398">
        <v>2442988.48</v>
      </c>
      <c r="H120" s="48">
        <f t="shared" si="26"/>
        <v>0.64636464803142468</v>
      </c>
      <c r="I120" s="237">
        <v>935738.29</v>
      </c>
      <c r="J120" s="427">
        <f t="shared" si="27"/>
        <v>0.24757716027599821</v>
      </c>
      <c r="K120" s="398">
        <v>1260608.19</v>
      </c>
      <c r="L120" s="412">
        <v>0.69310000000000005</v>
      </c>
      <c r="M120" s="211">
        <f t="shared" si="23"/>
        <v>0.9379443187656904</v>
      </c>
      <c r="N120" s="398">
        <v>695548.28</v>
      </c>
      <c r="O120" s="412">
        <v>0.38240000000000002</v>
      </c>
      <c r="P120" s="211">
        <f t="shared" si="35"/>
        <v>0.34532471275753851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825115573.74999988</v>
      </c>
      <c r="E121" s="203">
        <f>SUM(E87:E120)</f>
        <v>547872734.08999991</v>
      </c>
      <c r="F121" s="90">
        <f t="shared" ref="F121" si="36">+E121/D121</f>
        <v>0.66399514385605185</v>
      </c>
      <c r="G121" s="203">
        <f>SUM(G87:G120)</f>
        <v>542264539.26000011</v>
      </c>
      <c r="H121" s="90">
        <f t="shared" si="24"/>
        <v>0.65719828410886327</v>
      </c>
      <c r="I121" s="203">
        <f>SUM(I87:I120)</f>
        <v>162243867.19000003</v>
      </c>
      <c r="J121" s="170">
        <f t="shared" ref="J121" si="37">+I121/D121</f>
        <v>0.1966316869437226</v>
      </c>
      <c r="K121" s="568">
        <f>SUM(K87:K120)</f>
        <v>551538927.85000014</v>
      </c>
      <c r="L121" s="90">
        <v>0.6583007056070036</v>
      </c>
      <c r="M121" s="213">
        <f t="shared" si="23"/>
        <v>-1.6815474160914223E-2</v>
      </c>
      <c r="N121" s="568">
        <f>SUM(N87:N120)</f>
        <v>192556617.29000002</v>
      </c>
      <c r="O121" s="90">
        <v>0.22982993698276039</v>
      </c>
      <c r="P121" s="213">
        <f t="shared" si="25"/>
        <v>-0.15742253123582584</v>
      </c>
    </row>
    <row r="122" spans="1:16" ht="14.1" customHeight="1" x14ac:dyDescent="0.25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159056.17000000001</v>
      </c>
      <c r="F122" s="48">
        <f>+E122/D122</f>
        <v>0.28385706037645503</v>
      </c>
      <c r="G122" s="30">
        <v>159056.17000000001</v>
      </c>
      <c r="H122" s="48">
        <f t="shared" si="24"/>
        <v>0.28385706037645503</v>
      </c>
      <c r="I122" s="30">
        <v>159056.17000000001</v>
      </c>
      <c r="J122" s="153">
        <f t="shared" si="27"/>
        <v>0.28385706037645503</v>
      </c>
      <c r="K122" s="30">
        <v>172743.47</v>
      </c>
      <c r="L122" s="48">
        <v>0.29070000000000001</v>
      </c>
      <c r="M122" s="210">
        <f t="shared" si="23"/>
        <v>-7.9234833015685013E-2</v>
      </c>
      <c r="N122" s="30">
        <v>172743.47</v>
      </c>
      <c r="O122" s="48">
        <v>0.29070000000000001</v>
      </c>
      <c r="P122" s="210">
        <f t="shared" ref="P122:P148" si="38">+I122/N122-1</f>
        <v>-7.9234833015685013E-2</v>
      </c>
    </row>
    <row r="123" spans="1:16" ht="14.1" customHeight="1" x14ac:dyDescent="0.25">
      <c r="A123" s="39" t="s">
        <v>610</v>
      </c>
      <c r="B123" s="40" t="s">
        <v>611</v>
      </c>
      <c r="C123" s="199">
        <v>9112012.6300000008</v>
      </c>
      <c r="D123" s="205">
        <v>8885296.8399999999</v>
      </c>
      <c r="E123" s="32">
        <v>3988558.08</v>
      </c>
      <c r="F123" s="280">
        <f>+E123/D123</f>
        <v>0.4488941846089185</v>
      </c>
      <c r="G123" s="32">
        <v>3254466.61</v>
      </c>
      <c r="H123" s="280">
        <f t="shared" si="24"/>
        <v>0.36627550757212518</v>
      </c>
      <c r="I123" s="32">
        <v>2375500.9300000002</v>
      </c>
      <c r="J123" s="178">
        <f t="shared" si="27"/>
        <v>0.26735189299539486</v>
      </c>
      <c r="K123" s="32">
        <v>3590438.84</v>
      </c>
      <c r="L123" s="280">
        <v>0.443</v>
      </c>
      <c r="M123" s="211">
        <f t="shared" si="23"/>
        <v>-9.3574140925904215E-2</v>
      </c>
      <c r="N123" s="32">
        <v>2636725.35</v>
      </c>
      <c r="O123" s="280">
        <v>0.32529999999999998</v>
      </c>
      <c r="P123" s="211">
        <f t="shared" si="38"/>
        <v>-9.9071532042576904E-2</v>
      </c>
    </row>
    <row r="124" spans="1:16" ht="14.1" customHeight="1" x14ac:dyDescent="0.25">
      <c r="A124" s="39" t="s">
        <v>612</v>
      </c>
      <c r="B124" s="40" t="s">
        <v>613</v>
      </c>
      <c r="C124" s="199">
        <v>9392699.8300000001</v>
      </c>
      <c r="D124" s="205">
        <v>9322787.6600000001</v>
      </c>
      <c r="E124" s="32">
        <v>3147394.5</v>
      </c>
      <c r="F124" s="280">
        <f t="shared" ref="F124:F138" si="39">+E124/D124</f>
        <v>0.33760229394734492</v>
      </c>
      <c r="G124" s="32">
        <v>3086567.33</v>
      </c>
      <c r="H124" s="280">
        <f t="shared" si="24"/>
        <v>0.33107772509322603</v>
      </c>
      <c r="I124" s="32">
        <v>3017556.86</v>
      </c>
      <c r="J124" s="178">
        <f t="shared" si="27"/>
        <v>0.32367538230512477</v>
      </c>
      <c r="K124" s="32">
        <v>4151098.96</v>
      </c>
      <c r="L124" s="280">
        <v>0.45150000000000001</v>
      </c>
      <c r="M124" s="211">
        <f t="shared" si="23"/>
        <v>-0.25644573648034641</v>
      </c>
      <c r="N124" s="32">
        <v>4124243.16</v>
      </c>
      <c r="O124" s="280">
        <v>0.4486</v>
      </c>
      <c r="P124" s="211">
        <f t="shared" si="38"/>
        <v>-0.26833682134299774</v>
      </c>
    </row>
    <row r="125" spans="1:16" ht="14.1" customHeight="1" x14ac:dyDescent="0.25">
      <c r="A125" s="39" t="s">
        <v>614</v>
      </c>
      <c r="B125" s="40" t="s">
        <v>615</v>
      </c>
      <c r="C125" s="199">
        <v>8507680.8399999999</v>
      </c>
      <c r="D125" s="205">
        <v>8580897.2300000004</v>
      </c>
      <c r="E125" s="32">
        <v>3215215.16</v>
      </c>
      <c r="F125" s="280">
        <f t="shared" si="39"/>
        <v>0.37469451897864064</v>
      </c>
      <c r="G125" s="32">
        <v>2591145.21</v>
      </c>
      <c r="H125" s="280">
        <f t="shared" si="24"/>
        <v>0.30196669888330546</v>
      </c>
      <c r="I125" s="32">
        <v>1276592.69</v>
      </c>
      <c r="J125" s="178">
        <f>I125/D125</f>
        <v>0.14877146943758465</v>
      </c>
      <c r="K125" s="32">
        <v>1685068.86</v>
      </c>
      <c r="L125" s="280">
        <v>0.3337</v>
      </c>
      <c r="M125" s="211">
        <f t="shared" si="23"/>
        <v>0.53770879725354348</v>
      </c>
      <c r="N125" s="32">
        <v>992275.98</v>
      </c>
      <c r="O125" s="280">
        <v>0.19650000000000001</v>
      </c>
      <c r="P125" s="211">
        <f t="shared" si="38"/>
        <v>0.2865298724655212</v>
      </c>
    </row>
    <row r="126" spans="1:16" ht="14.1" customHeight="1" x14ac:dyDescent="0.25">
      <c r="A126" s="39" t="s">
        <v>616</v>
      </c>
      <c r="B126" s="40" t="s">
        <v>618</v>
      </c>
      <c r="C126" s="199">
        <v>8498539.1999999993</v>
      </c>
      <c r="D126" s="205">
        <v>9068165.5500000007</v>
      </c>
      <c r="E126" s="32">
        <v>4455611.47</v>
      </c>
      <c r="F126" s="280">
        <f t="shared" si="39"/>
        <v>0.49134650723265627</v>
      </c>
      <c r="G126" s="32">
        <v>2966758.91</v>
      </c>
      <c r="H126" s="280">
        <f t="shared" si="24"/>
        <v>0.32716197048255252</v>
      </c>
      <c r="I126" s="32">
        <v>2114890.3199999998</v>
      </c>
      <c r="J126" s="178">
        <f t="shared" si="27"/>
        <v>0.2332214060648683</v>
      </c>
      <c r="K126" s="32">
        <v>4517356.87</v>
      </c>
      <c r="L126" s="280">
        <v>0.56579999999999997</v>
      </c>
      <c r="M126" s="211">
        <f t="shared" si="23"/>
        <v>-0.34325336798108663</v>
      </c>
      <c r="N126" s="32">
        <v>2594933.29</v>
      </c>
      <c r="O126" s="280">
        <v>0.32500000000000001</v>
      </c>
      <c r="P126" s="211">
        <f t="shared" si="38"/>
        <v>-0.18499241265658906</v>
      </c>
    </row>
    <row r="127" spans="1:16" ht="14.1" customHeight="1" x14ac:dyDescent="0.25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269542.12</v>
      </c>
      <c r="F127" s="280">
        <f t="shared" si="39"/>
        <v>0.19758255387773052</v>
      </c>
      <c r="G127" s="32">
        <v>116542.12</v>
      </c>
      <c r="H127" s="280">
        <f t="shared" si="24"/>
        <v>8.5428910716903672E-2</v>
      </c>
      <c r="I127" s="32">
        <v>42230.27</v>
      </c>
      <c r="J127" s="178">
        <f t="shared" si="27"/>
        <v>3.0956069491276935E-2</v>
      </c>
      <c r="K127" s="32">
        <v>170584.89</v>
      </c>
      <c r="L127" s="280">
        <v>0.11550000000000001</v>
      </c>
      <c r="M127" s="211">
        <f t="shared" si="23"/>
        <v>-0.3168086575546053</v>
      </c>
      <c r="N127" s="32">
        <v>49629.01</v>
      </c>
      <c r="O127" s="280">
        <v>3.3599999999999998E-2</v>
      </c>
      <c r="P127" s="211">
        <f t="shared" si="38"/>
        <v>-0.14908095083903561</v>
      </c>
    </row>
    <row r="128" spans="1:16" ht="14.1" customHeight="1" x14ac:dyDescent="0.25">
      <c r="A128" s="39" t="s">
        <v>620</v>
      </c>
      <c r="B128" s="40" t="s">
        <v>621</v>
      </c>
      <c r="C128" s="199">
        <v>32027467.34</v>
      </c>
      <c r="D128" s="205">
        <v>31897318.66</v>
      </c>
      <c r="E128" s="32">
        <v>27755963.969999999</v>
      </c>
      <c r="F128" s="280">
        <f t="shared" si="39"/>
        <v>0.87016605583235562</v>
      </c>
      <c r="G128" s="32">
        <v>22336868.940000001</v>
      </c>
      <c r="H128" s="280">
        <f t="shared" si="24"/>
        <v>0.70027418850133538</v>
      </c>
      <c r="I128" s="32">
        <v>4626712.42</v>
      </c>
      <c r="J128" s="178">
        <f t="shared" si="27"/>
        <v>0.14505019902509886</v>
      </c>
      <c r="K128" s="32">
        <v>24493682.390000001</v>
      </c>
      <c r="L128" s="280">
        <v>0.83479999999999999</v>
      </c>
      <c r="M128" s="211">
        <f t="shared" si="23"/>
        <v>-8.8055908281090445E-2</v>
      </c>
      <c r="N128" s="32">
        <v>6944842.7699999996</v>
      </c>
      <c r="O128" s="280">
        <v>0.23669999999999999</v>
      </c>
      <c r="P128" s="211">
        <f t="shared" si="38"/>
        <v>-0.33379162448626609</v>
      </c>
    </row>
    <row r="129" spans="1:16" ht="14.1" customHeight="1" x14ac:dyDescent="0.25">
      <c r="A129" s="39" t="s">
        <v>622</v>
      </c>
      <c r="B129" s="40" t="s">
        <v>625</v>
      </c>
      <c r="C129" s="199">
        <v>36671618.640000001</v>
      </c>
      <c r="D129" s="205">
        <v>36871235.530000001</v>
      </c>
      <c r="E129" s="32">
        <v>29991242.800000001</v>
      </c>
      <c r="F129" s="280">
        <f t="shared" si="39"/>
        <v>0.81340487696968689</v>
      </c>
      <c r="G129" s="32">
        <v>29763242.800000001</v>
      </c>
      <c r="H129" s="280">
        <f t="shared" si="24"/>
        <v>0.80722119484668109</v>
      </c>
      <c r="I129" s="32">
        <v>6232952.7300000004</v>
      </c>
      <c r="J129" s="178">
        <f t="shared" si="27"/>
        <v>0.16904648407913009</v>
      </c>
      <c r="K129" s="32">
        <v>22795767.469999999</v>
      </c>
      <c r="L129" s="280">
        <v>0.84619999999999995</v>
      </c>
      <c r="M129" s="211">
        <f t="shared" si="23"/>
        <v>0.30564776286516504</v>
      </c>
      <c r="N129" s="32">
        <v>6182833.1100000003</v>
      </c>
      <c r="O129" s="280">
        <v>0.22950000000000001</v>
      </c>
      <c r="P129" s="211">
        <f t="shared" si="38"/>
        <v>8.1062547069137292E-3</v>
      </c>
    </row>
    <row r="130" spans="1:16" ht="14.1" customHeight="1" x14ac:dyDescent="0.25">
      <c r="A130" s="39" t="s">
        <v>623</v>
      </c>
      <c r="B130" s="40" t="s">
        <v>624</v>
      </c>
      <c r="C130" s="199">
        <v>140935753.61000001</v>
      </c>
      <c r="D130" s="205">
        <v>145859031.77000001</v>
      </c>
      <c r="E130" s="32">
        <v>139935753.61000001</v>
      </c>
      <c r="F130" s="280">
        <f t="shared" si="39"/>
        <v>0.95939039161222317</v>
      </c>
      <c r="G130" s="32">
        <v>136435753.61000001</v>
      </c>
      <c r="H130" s="280">
        <f t="shared" si="24"/>
        <v>0.93539462009552321</v>
      </c>
      <c r="I130" s="32">
        <v>59314950</v>
      </c>
      <c r="J130" s="178">
        <f t="shared" si="27"/>
        <v>0.40665942506413771</v>
      </c>
      <c r="K130" s="32">
        <v>96498421.620000005</v>
      </c>
      <c r="L130" s="280">
        <v>0.97960000000000003</v>
      </c>
      <c r="M130" s="211">
        <f t="shared" si="23"/>
        <v>0.4138651318802784</v>
      </c>
      <c r="N130" s="32">
        <v>44433762.609999999</v>
      </c>
      <c r="O130" s="280">
        <v>0.4511</v>
      </c>
      <c r="P130" s="211">
        <f t="shared" si="38"/>
        <v>0.33490720830044962</v>
      </c>
    </row>
    <row r="131" spans="1:16" ht="14.4" thickBot="1" x14ac:dyDescent="0.3">
      <c r="A131" s="7" t="s">
        <v>19</v>
      </c>
      <c r="L131" s="686"/>
      <c r="N131" s="97"/>
      <c r="O131" s="686"/>
      <c r="P131" s="522"/>
    </row>
    <row r="132" spans="1:16" ht="12.75" customHeight="1" x14ac:dyDescent="0.25">
      <c r="A132" s="754" t="s">
        <v>758</v>
      </c>
      <c r="B132" s="755"/>
      <c r="C132" s="164" t="s">
        <v>767</v>
      </c>
      <c r="D132" s="740" t="s">
        <v>779</v>
      </c>
      <c r="E132" s="741"/>
      <c r="F132" s="741"/>
      <c r="G132" s="741"/>
      <c r="H132" s="741"/>
      <c r="I132" s="741"/>
      <c r="J132" s="742"/>
      <c r="K132" s="749" t="s">
        <v>780</v>
      </c>
      <c r="L132" s="756"/>
      <c r="M132" s="756"/>
      <c r="N132" s="756"/>
      <c r="O132" s="756"/>
      <c r="P132" s="757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93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1" t="s">
        <v>362</v>
      </c>
    </row>
    <row r="134" spans="1:16" ht="14.1" customHeight="1" x14ac:dyDescent="0.25">
      <c r="A134" s="680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13" t="s">
        <v>766</v>
      </c>
      <c r="N134" s="564" t="s">
        <v>17</v>
      </c>
      <c r="O134" s="89" t="s">
        <v>18</v>
      </c>
      <c r="P134" s="612" t="s">
        <v>766</v>
      </c>
    </row>
    <row r="135" spans="1:16" ht="14.1" customHeight="1" x14ac:dyDescent="0.25">
      <c r="A135" s="37" t="s">
        <v>626</v>
      </c>
      <c r="B135" s="38" t="s">
        <v>627</v>
      </c>
      <c r="C135" s="198">
        <v>7411204.5599999996</v>
      </c>
      <c r="D135" s="204">
        <v>7840544.3200000003</v>
      </c>
      <c r="E135" s="30">
        <v>5107187.0999999996</v>
      </c>
      <c r="F135" s="48">
        <f t="shared" si="39"/>
        <v>0.65138170151941688</v>
      </c>
      <c r="G135" s="136">
        <v>3954347.61</v>
      </c>
      <c r="H135" s="48">
        <f t="shared" ref="H135:H138" si="40">+G135/D135</f>
        <v>0.50434605667786081</v>
      </c>
      <c r="I135" s="136">
        <v>1268929.3400000001</v>
      </c>
      <c r="J135" s="153">
        <f t="shared" ref="J135:J138" si="41">+I135/D135</f>
        <v>0.16184199568429963</v>
      </c>
      <c r="K135" s="30">
        <v>3151524.76</v>
      </c>
      <c r="L135" s="48">
        <v>0.52569999999999995</v>
      </c>
      <c r="M135" s="210">
        <f t="shared" si="23"/>
        <v>0.25474108919899474</v>
      </c>
      <c r="N135" s="30">
        <v>940790.86</v>
      </c>
      <c r="O135" s="48">
        <v>0.15690000000000001</v>
      </c>
      <c r="P135" s="210">
        <f t="shared" si="38"/>
        <v>0.34879003820253951</v>
      </c>
    </row>
    <row r="136" spans="1:16" ht="14.1" customHeight="1" x14ac:dyDescent="0.25">
      <c r="A136" s="39" t="s">
        <v>628</v>
      </c>
      <c r="B136" s="40" t="s">
        <v>629</v>
      </c>
      <c r="C136" s="199">
        <v>11963437.41</v>
      </c>
      <c r="D136" s="205">
        <v>11963177.41</v>
      </c>
      <c r="E136" s="32">
        <v>6412012.1900000004</v>
      </c>
      <c r="F136" s="280">
        <f t="shared" si="39"/>
        <v>0.53597902716382106</v>
      </c>
      <c r="G136" s="133">
        <v>5550880.5300000003</v>
      </c>
      <c r="H136" s="280">
        <f t="shared" si="40"/>
        <v>0.46399717564666626</v>
      </c>
      <c r="I136" s="133">
        <v>797405.19</v>
      </c>
      <c r="J136" s="178">
        <f t="shared" si="41"/>
        <v>6.6654966542036759E-2</v>
      </c>
      <c r="K136" s="32">
        <v>4075832.49</v>
      </c>
      <c r="L136" s="280">
        <v>0.6401</v>
      </c>
      <c r="M136" s="211">
        <f t="shared" si="23"/>
        <v>0.36190104564380654</v>
      </c>
      <c r="N136" s="32">
        <v>1186677.52</v>
      </c>
      <c r="O136" s="280">
        <v>0.18640000000000001</v>
      </c>
      <c r="P136" s="211">
        <f t="shared" si="38"/>
        <v>-0.32803548010246297</v>
      </c>
    </row>
    <row r="137" spans="1:16" ht="14.1" customHeight="1" x14ac:dyDescent="0.25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146538</v>
      </c>
      <c r="F137" s="280">
        <f t="shared" si="39"/>
        <v>0.24206113225499523</v>
      </c>
      <c r="G137" s="133">
        <v>21538</v>
      </c>
      <c r="H137" s="280">
        <f t="shared" si="40"/>
        <v>3.5577888783169469E-2</v>
      </c>
      <c r="I137" s="133">
        <v>0</v>
      </c>
      <c r="J137" s="178">
        <f t="shared" si="41"/>
        <v>0</v>
      </c>
      <c r="K137" s="32">
        <v>0</v>
      </c>
      <c r="L137" s="280">
        <v>0</v>
      </c>
      <c r="M137" s="211" t="s">
        <v>129</v>
      </c>
      <c r="N137" s="32">
        <v>0</v>
      </c>
      <c r="O137" s="280">
        <v>0</v>
      </c>
      <c r="P137" s="211" t="s">
        <v>129</v>
      </c>
    </row>
    <row r="138" spans="1:16" ht="14.1" customHeight="1" x14ac:dyDescent="0.25">
      <c r="A138" s="39" t="s">
        <v>632</v>
      </c>
      <c r="B138" s="40" t="s">
        <v>633</v>
      </c>
      <c r="C138" s="199">
        <v>3840200</v>
      </c>
      <c r="D138" s="205">
        <v>4112839.06</v>
      </c>
      <c r="E138" s="32">
        <v>3393818.88</v>
      </c>
      <c r="F138" s="280">
        <f t="shared" si="39"/>
        <v>0.82517667977992792</v>
      </c>
      <c r="G138" s="133">
        <v>3393818.88</v>
      </c>
      <c r="H138" s="280">
        <f t="shared" si="40"/>
        <v>0.82517667977992792</v>
      </c>
      <c r="I138" s="133">
        <v>627495.78</v>
      </c>
      <c r="J138" s="178">
        <f t="shared" si="41"/>
        <v>0.1525699816710066</v>
      </c>
      <c r="K138" s="32">
        <v>2891921.54</v>
      </c>
      <c r="L138" s="280">
        <v>0.81840000000000002</v>
      </c>
      <c r="M138" s="211">
        <f t="shared" si="23"/>
        <v>0.17355150651839613</v>
      </c>
      <c r="N138" s="32">
        <v>871942.98</v>
      </c>
      <c r="O138" s="280">
        <v>0.24679999999999999</v>
      </c>
      <c r="P138" s="211">
        <f t="shared" si="38"/>
        <v>-0.28034768970787516</v>
      </c>
    </row>
    <row r="139" spans="1:16" ht="14.1" customHeight="1" x14ac:dyDescent="0.25">
      <c r="A139" s="39" t="s">
        <v>634</v>
      </c>
      <c r="B139" s="40" t="s">
        <v>635</v>
      </c>
      <c r="C139" s="199">
        <v>7354400.5099999998</v>
      </c>
      <c r="D139" s="205">
        <v>7351802.0599999996</v>
      </c>
      <c r="E139" s="32">
        <v>6112414.3099999996</v>
      </c>
      <c r="F139" s="280">
        <f>+E139/D139</f>
        <v>0.83141714917172294</v>
      </c>
      <c r="G139" s="133">
        <v>2722138.78</v>
      </c>
      <c r="H139" s="280">
        <f>+G139/D139</f>
        <v>0.37026823597587444</v>
      </c>
      <c r="I139" s="133">
        <v>973039.9</v>
      </c>
      <c r="J139" s="178">
        <f>+I139/D139</f>
        <v>0.13235393064975964</v>
      </c>
      <c r="K139" s="32">
        <v>2319952.29</v>
      </c>
      <c r="L139" s="280">
        <v>0.4501</v>
      </c>
      <c r="M139" s="211">
        <f t="shared" si="23"/>
        <v>0.17335981077438434</v>
      </c>
      <c r="N139" s="32">
        <v>694326.4</v>
      </c>
      <c r="O139" s="280">
        <v>0.13469999999999999</v>
      </c>
      <c r="P139" s="211">
        <f t="shared" si="38"/>
        <v>0.40141567424197033</v>
      </c>
    </row>
    <row r="140" spans="1:16" ht="14.1" customHeight="1" x14ac:dyDescent="0.25">
      <c r="A140" s="39" t="s">
        <v>636</v>
      </c>
      <c r="B140" s="40" t="s">
        <v>637</v>
      </c>
      <c r="C140" s="199">
        <v>6846944.8200000003</v>
      </c>
      <c r="D140" s="205">
        <v>6796842.3399999999</v>
      </c>
      <c r="E140" s="32">
        <v>5174426.93</v>
      </c>
      <c r="F140" s="280">
        <f t="shared" ref="F140:F147" si="42">+E140/D140</f>
        <v>0.7612986547514945</v>
      </c>
      <c r="G140" s="133">
        <v>4169478.19</v>
      </c>
      <c r="H140" s="280">
        <f t="shared" ref="H140:H147" si="43">+G140/D140</f>
        <v>0.61344341702061611</v>
      </c>
      <c r="I140" s="133">
        <v>1106761</v>
      </c>
      <c r="J140" s="178">
        <f>+I140/D140</f>
        <v>0.16283458474336188</v>
      </c>
      <c r="K140" s="32">
        <v>3351831.13</v>
      </c>
      <c r="L140" s="390">
        <v>0.58069999999999999</v>
      </c>
      <c r="M140" s="211">
        <f t="shared" si="23"/>
        <v>0.24394040996928146</v>
      </c>
      <c r="N140" s="32">
        <v>1122751</v>
      </c>
      <c r="O140" s="390">
        <v>0.19450000000000001</v>
      </c>
      <c r="P140" s="211">
        <f t="shared" si="38"/>
        <v>-1.4241804282516757E-2</v>
      </c>
    </row>
    <row r="141" spans="1:16" ht="14.1" customHeight="1" x14ac:dyDescent="0.25">
      <c r="A141" s="39" t="s">
        <v>638</v>
      </c>
      <c r="B141" s="40" t="s">
        <v>639</v>
      </c>
      <c r="C141" s="199">
        <v>6662283.29</v>
      </c>
      <c r="D141" s="205">
        <v>6592601.6699999999</v>
      </c>
      <c r="E141" s="32">
        <v>3497569.38</v>
      </c>
      <c r="F141" s="280">
        <f t="shared" si="42"/>
        <v>0.53052945636255922</v>
      </c>
      <c r="G141" s="133">
        <v>3143195.7</v>
      </c>
      <c r="H141" s="280">
        <f t="shared" si="43"/>
        <v>0.47677621936469888</v>
      </c>
      <c r="I141" s="133">
        <v>1333778.1100000001</v>
      </c>
      <c r="J141" s="178">
        <f t="shared" ref="J141:J147" si="44">+I141/D141</f>
        <v>0.20231437856611775</v>
      </c>
      <c r="K141" s="32">
        <v>2974856.97</v>
      </c>
      <c r="L141" s="390">
        <v>0.77100000000000002</v>
      </c>
      <c r="M141" s="211">
        <f t="shared" si="23"/>
        <v>5.658716761767546E-2</v>
      </c>
      <c r="N141" s="32">
        <v>1556882.75</v>
      </c>
      <c r="O141" s="390">
        <v>0.40350000000000003</v>
      </c>
      <c r="P141" s="211">
        <f t="shared" si="38"/>
        <v>-0.14330214654892914</v>
      </c>
    </row>
    <row r="142" spans="1:16" ht="14.1" customHeight="1" x14ac:dyDescent="0.25">
      <c r="A142" s="39" t="s">
        <v>640</v>
      </c>
      <c r="B142" s="40" t="s">
        <v>641</v>
      </c>
      <c r="C142" s="199">
        <v>1046944.94</v>
      </c>
      <c r="D142" s="205">
        <v>1092999.3400000001</v>
      </c>
      <c r="E142" s="32">
        <v>472312.78</v>
      </c>
      <c r="F142" s="280">
        <f t="shared" si="42"/>
        <v>0.43212540274726974</v>
      </c>
      <c r="G142" s="133">
        <v>166207.34</v>
      </c>
      <c r="H142" s="280">
        <f>+G142/D142</f>
        <v>0.15206536172290824</v>
      </c>
      <c r="I142" s="133">
        <v>87446.18</v>
      </c>
      <c r="J142" s="178">
        <f t="shared" si="44"/>
        <v>8.0005702473708709E-2</v>
      </c>
      <c r="K142" s="32">
        <v>362535.06</v>
      </c>
      <c r="L142" s="390">
        <v>0.45050000000000001</v>
      </c>
      <c r="M142" s="211">
        <f t="shared" si="23"/>
        <v>-0.54154133396091408</v>
      </c>
      <c r="N142" s="32">
        <v>90175.02</v>
      </c>
      <c r="O142" s="390">
        <v>0.11210000000000001</v>
      </c>
      <c r="P142" s="211">
        <f t="shared" si="38"/>
        <v>-3.0261595727952284E-2</v>
      </c>
    </row>
    <row r="143" spans="1:16" ht="14.1" customHeight="1" x14ac:dyDescent="0.25">
      <c r="A143" s="39" t="s">
        <v>642</v>
      </c>
      <c r="B143" s="40" t="s">
        <v>643</v>
      </c>
      <c r="C143" s="199">
        <v>3071168.61</v>
      </c>
      <c r="D143" s="205">
        <v>3081728.61</v>
      </c>
      <c r="E143" s="32">
        <v>1810876.57</v>
      </c>
      <c r="F143" s="280">
        <f>+E143/D143</f>
        <v>0.58761714581998836</v>
      </c>
      <c r="G143" s="133">
        <v>743143.83</v>
      </c>
      <c r="H143" s="280">
        <f t="shared" si="43"/>
        <v>0.24114512471622218</v>
      </c>
      <c r="I143" s="133">
        <v>190117.4</v>
      </c>
      <c r="J143" s="178">
        <f t="shared" si="44"/>
        <v>6.169180484715038E-2</v>
      </c>
      <c r="K143" s="32">
        <v>551090.82999999996</v>
      </c>
      <c r="L143" s="390">
        <v>0.29120000000000001</v>
      </c>
      <c r="M143" s="211">
        <f t="shared" si="23"/>
        <v>0.34849609092570089</v>
      </c>
      <c r="N143" s="32">
        <v>73176.92</v>
      </c>
      <c r="O143" s="390">
        <v>3.8699999999999998E-2</v>
      </c>
      <c r="P143" s="211">
        <f t="shared" si="38"/>
        <v>1.5980514074656327</v>
      </c>
    </row>
    <row r="144" spans="1:16" ht="14.1" customHeight="1" x14ac:dyDescent="0.25">
      <c r="A144" s="39" t="s">
        <v>644</v>
      </c>
      <c r="B144" s="40" t="s">
        <v>645</v>
      </c>
      <c r="C144" s="199">
        <v>3957522.84</v>
      </c>
      <c r="D144" s="205">
        <v>4061140.44</v>
      </c>
      <c r="E144" s="32">
        <v>2350641.64</v>
      </c>
      <c r="F144" s="280">
        <f t="shared" si="42"/>
        <v>0.57881318677075844</v>
      </c>
      <c r="G144" s="133">
        <v>1557506.36</v>
      </c>
      <c r="H144" s="280">
        <f t="shared" si="43"/>
        <v>0.38351452824911419</v>
      </c>
      <c r="I144" s="133">
        <v>499413.76000000001</v>
      </c>
      <c r="J144" s="178">
        <f t="shared" si="44"/>
        <v>0.12297377236232687</v>
      </c>
      <c r="K144" s="32">
        <v>1011828</v>
      </c>
      <c r="L144" s="390">
        <v>0.36209999999999998</v>
      </c>
      <c r="M144" s="211">
        <f t="shared" si="23"/>
        <v>0.5392995252157482</v>
      </c>
      <c r="N144" s="32">
        <v>241352.98</v>
      </c>
      <c r="O144" s="390">
        <v>8.6400000000000005E-2</v>
      </c>
      <c r="P144" s="211">
        <f t="shared" si="38"/>
        <v>1.0692255798954711</v>
      </c>
    </row>
    <row r="145" spans="1:18" ht="14.1" customHeight="1" x14ac:dyDescent="0.25">
      <c r="A145" s="39" t="s">
        <v>646</v>
      </c>
      <c r="B145" s="40" t="s">
        <v>647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>
        <v>0</v>
      </c>
      <c r="M145" s="211" t="s">
        <v>129</v>
      </c>
      <c r="N145" s="32">
        <v>0</v>
      </c>
      <c r="O145" s="390">
        <v>0</v>
      </c>
      <c r="P145" s="211" t="s">
        <v>129</v>
      </c>
    </row>
    <row r="146" spans="1:18" ht="14.1" customHeight="1" x14ac:dyDescent="0.25">
      <c r="A146" s="39" t="s">
        <v>648</v>
      </c>
      <c r="B146" s="40" t="s">
        <v>649</v>
      </c>
      <c r="C146" s="199">
        <v>543815.78</v>
      </c>
      <c r="D146" s="205">
        <v>638250.91</v>
      </c>
      <c r="E146" s="32">
        <v>259022.98</v>
      </c>
      <c r="F146" s="280">
        <f t="shared" si="42"/>
        <v>0.40583252752432425</v>
      </c>
      <c r="G146" s="133">
        <v>259022.98</v>
      </c>
      <c r="H146" s="280">
        <f t="shared" si="43"/>
        <v>0.40583252752432425</v>
      </c>
      <c r="I146" s="133">
        <v>142196.53</v>
      </c>
      <c r="J146" s="178">
        <f t="shared" si="44"/>
        <v>0.22279095536268015</v>
      </c>
      <c r="K146" s="32">
        <v>398990.49</v>
      </c>
      <c r="L146" s="390">
        <v>0.68569999999999998</v>
      </c>
      <c r="M146" s="211">
        <f t="shared" si="23"/>
        <v>-0.3508041256822938</v>
      </c>
      <c r="N146" s="32">
        <v>306880.83</v>
      </c>
      <c r="O146" s="390">
        <v>0.52739999999999998</v>
      </c>
      <c r="P146" s="211">
        <f t="shared" si="38"/>
        <v>-0.53663925504893872</v>
      </c>
    </row>
    <row r="147" spans="1:18" ht="14.1" customHeight="1" x14ac:dyDescent="0.25">
      <c r="A147" s="39" t="s">
        <v>650</v>
      </c>
      <c r="B147" s="40" t="s">
        <v>651</v>
      </c>
      <c r="C147" s="199">
        <v>10158466.529999999</v>
      </c>
      <c r="D147" s="205">
        <v>10170466.529999999</v>
      </c>
      <c r="E147" s="32">
        <v>7859017.6799999997</v>
      </c>
      <c r="F147" s="280">
        <f t="shared" si="42"/>
        <v>0.77272931942877154</v>
      </c>
      <c r="G147" s="133">
        <v>2579320.92</v>
      </c>
      <c r="H147" s="280">
        <f t="shared" si="43"/>
        <v>0.25360890893173216</v>
      </c>
      <c r="I147" s="133">
        <v>105150.15</v>
      </c>
      <c r="J147" s="178">
        <f t="shared" si="44"/>
        <v>1.033877351543676E-2</v>
      </c>
      <c r="K147" s="32">
        <v>2314875.86</v>
      </c>
      <c r="L147" s="390">
        <v>0.31490000000000001</v>
      </c>
      <c r="M147" s="211">
        <f t="shared" si="23"/>
        <v>0.11423725330998957</v>
      </c>
      <c r="N147" s="32">
        <v>43807.59</v>
      </c>
      <c r="O147" s="390">
        <v>6.0000000000000001E-3</v>
      </c>
      <c r="P147" s="211">
        <f t="shared" si="38"/>
        <v>1.4002724185466491</v>
      </c>
    </row>
    <row r="148" spans="1:18" ht="14.1" customHeight="1" x14ac:dyDescent="0.25">
      <c r="A148" s="253">
        <v>2341</v>
      </c>
      <c r="B148" s="40" t="s">
        <v>431</v>
      </c>
      <c r="C148" s="199">
        <v>10668077.699999999</v>
      </c>
      <c r="D148" s="205">
        <v>10674570.699999999</v>
      </c>
      <c r="E148" s="32">
        <v>10569974.73</v>
      </c>
      <c r="F148" s="280">
        <f>+E148/D148</f>
        <v>0.99020138861415763</v>
      </c>
      <c r="G148" s="133">
        <v>10515773.039999999</v>
      </c>
      <c r="H148" s="280">
        <f>+G148/D148</f>
        <v>0.98512374272812675</v>
      </c>
      <c r="I148" s="133">
        <v>2707397.31</v>
      </c>
      <c r="J148" s="178">
        <f>+I148/D148</f>
        <v>0.25363055677733254</v>
      </c>
      <c r="K148" s="32">
        <v>8876712.2300000004</v>
      </c>
      <c r="L148" s="390">
        <v>0.98480000000000001</v>
      </c>
      <c r="M148" s="211">
        <f t="shared" si="23"/>
        <v>0.18464728466251046</v>
      </c>
      <c r="N148" s="32">
        <v>3704511.63</v>
      </c>
      <c r="O148" s="390">
        <v>0.41099999999999998</v>
      </c>
      <c r="P148" s="211">
        <f t="shared" si="38"/>
        <v>-0.2691621513413901</v>
      </c>
    </row>
    <row r="149" spans="1:18" ht="14.1" customHeight="1" x14ac:dyDescent="0.25">
      <c r="A149" s="18">
        <v>2</v>
      </c>
      <c r="B149" s="518" t="s">
        <v>125</v>
      </c>
      <c r="C149" s="201">
        <f>SUM(C122:C130,C135:C148)</f>
        <v>321210830.55999994</v>
      </c>
      <c r="D149" s="207">
        <f>SUM(D122:D130,D135:D148)</f>
        <v>327391611.58999997</v>
      </c>
      <c r="E149" s="203">
        <f>SUM(E122:E130,E135:E148)</f>
        <v>266084151.04999995</v>
      </c>
      <c r="F149" s="232">
        <f>E149/D149</f>
        <v>0.8127396720940524</v>
      </c>
      <c r="G149" s="203">
        <f>SUM(G122:G130,G135:G148)</f>
        <v>239486773.86000001</v>
      </c>
      <c r="H149" s="232">
        <f>G149/D149</f>
        <v>0.73149941960001952</v>
      </c>
      <c r="I149" s="203">
        <f>SUM(I122:I130,I135:I148)</f>
        <v>88999573.040000036</v>
      </c>
      <c r="J149" s="277">
        <f>I149/D149</f>
        <v>0.27184439029383639</v>
      </c>
      <c r="K149" s="568">
        <f>SUM(K122:K148)</f>
        <v>190357115.02000001</v>
      </c>
      <c r="L149" s="90">
        <v>0.78070072731247642</v>
      </c>
      <c r="M149" s="213">
        <f t="shared" si="23"/>
        <v>0.25809205416271497</v>
      </c>
      <c r="N149" s="568">
        <f>SUM(N122:N148)</f>
        <v>78965265.230000004</v>
      </c>
      <c r="O149" s="90">
        <v>0.32385571713989514</v>
      </c>
      <c r="P149" s="213">
        <f t="shared" ref="P149" si="45">+I149/N149-1</f>
        <v>0.12707242584158207</v>
      </c>
      <c r="R149"/>
    </row>
    <row r="150" spans="1:18" ht="14.1" customHeight="1" x14ac:dyDescent="0.25">
      <c r="A150" s="37">
        <v>3111</v>
      </c>
      <c r="B150" s="38" t="s">
        <v>653</v>
      </c>
      <c r="C150" s="198">
        <v>19998074.850000001</v>
      </c>
      <c r="D150" s="539">
        <v>19983074.850000001</v>
      </c>
      <c r="E150" s="56">
        <v>18092874.370000001</v>
      </c>
      <c r="F150" s="48">
        <f t="shared" ref="F150:F159" si="46">+E150/D150</f>
        <v>0.90540992844251889</v>
      </c>
      <c r="G150" s="56">
        <v>17781996.219999999</v>
      </c>
      <c r="H150" s="48">
        <f t="shared" ref="H150:H159" si="47">+G150/D150</f>
        <v>0.88985285565299266</v>
      </c>
      <c r="I150" s="56">
        <v>7226770.6900000004</v>
      </c>
      <c r="J150" s="153">
        <f t="shared" ref="J150:J159" si="48">+I150/D150</f>
        <v>0.36164457893725999</v>
      </c>
      <c r="K150" s="180">
        <v>16154565.970000001</v>
      </c>
      <c r="L150" s="48">
        <v>0.97299999999999998</v>
      </c>
      <c r="M150" s="210">
        <f t="shared" si="23"/>
        <v>0.1007411931104949</v>
      </c>
      <c r="N150" s="180">
        <v>6493274.3399999999</v>
      </c>
      <c r="O150" s="48">
        <v>0.3911</v>
      </c>
      <c r="P150" s="210">
        <f>+I150/N150-1</f>
        <v>0.1129624764937931</v>
      </c>
    </row>
    <row r="151" spans="1:18" ht="14.1" customHeight="1" x14ac:dyDescent="0.25">
      <c r="A151" s="37" t="s">
        <v>652</v>
      </c>
      <c r="B151" s="38" t="s">
        <v>654</v>
      </c>
      <c r="C151" s="200">
        <v>2248848</v>
      </c>
      <c r="D151" s="540">
        <v>2248848</v>
      </c>
      <c r="E151" s="137">
        <v>2248848</v>
      </c>
      <c r="F151" s="48">
        <f t="shared" si="46"/>
        <v>1</v>
      </c>
      <c r="G151" s="137">
        <v>2248848</v>
      </c>
      <c r="H151" s="48">
        <f t="shared" si="47"/>
        <v>1</v>
      </c>
      <c r="I151" s="137">
        <v>1500000</v>
      </c>
      <c r="J151" s="153">
        <f t="shared" si="48"/>
        <v>0.66700817485219099</v>
      </c>
      <c r="K151" s="34">
        <v>2248848</v>
      </c>
      <c r="L151" s="48">
        <v>1</v>
      </c>
      <c r="M151" s="210">
        <f t="shared" ref="M151:M212" si="49">+G151/K151-1</f>
        <v>0</v>
      </c>
      <c r="N151" s="34">
        <v>750000</v>
      </c>
      <c r="O151" s="48">
        <v>0.33350000000000002</v>
      </c>
      <c r="P151" s="210">
        <f t="shared" ref="P151:P172" si="50">+I151/N151-1</f>
        <v>1</v>
      </c>
    </row>
    <row r="152" spans="1:18" ht="14.1" customHeight="1" x14ac:dyDescent="0.25">
      <c r="A152" s="37">
        <v>3131</v>
      </c>
      <c r="B152" s="38" t="s">
        <v>763</v>
      </c>
      <c r="C152" s="200">
        <v>9000</v>
      </c>
      <c r="D152" s="540">
        <v>9000</v>
      </c>
      <c r="E152" s="137">
        <v>6000</v>
      </c>
      <c r="F152" s="48">
        <f t="shared" si="46"/>
        <v>0.66666666666666663</v>
      </c>
      <c r="G152" s="137">
        <v>0</v>
      </c>
      <c r="H152" s="48">
        <f t="shared" si="47"/>
        <v>0</v>
      </c>
      <c r="I152" s="137">
        <v>0</v>
      </c>
      <c r="J152" s="153">
        <f t="shared" si="48"/>
        <v>0</v>
      </c>
      <c r="K152" s="34">
        <v>0</v>
      </c>
      <c r="L152" s="48" t="s">
        <v>129</v>
      </c>
      <c r="M152" s="224" t="s">
        <v>129</v>
      </c>
      <c r="N152" s="34">
        <v>0</v>
      </c>
      <c r="O152" s="48" t="s">
        <v>129</v>
      </c>
      <c r="P152" s="210" t="s">
        <v>129</v>
      </c>
    </row>
    <row r="153" spans="1:18" ht="14.1" customHeight="1" x14ac:dyDescent="0.25">
      <c r="A153" s="39" t="s">
        <v>655</v>
      </c>
      <c r="B153" s="40" t="s">
        <v>656</v>
      </c>
      <c r="C153" s="200">
        <v>10674936.689999999</v>
      </c>
      <c r="D153" s="540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0</v>
      </c>
      <c r="J153" s="178">
        <f t="shared" si="48"/>
        <v>0</v>
      </c>
      <c r="K153" s="34">
        <v>8261679.1600000001</v>
      </c>
      <c r="L153" s="280">
        <v>1</v>
      </c>
      <c r="M153" s="212">
        <f t="shared" si="49"/>
        <v>0.29210254758912702</v>
      </c>
      <c r="N153" s="34">
        <v>3000000</v>
      </c>
      <c r="O153" s="280">
        <v>0.36309999999999998</v>
      </c>
      <c r="P153" s="210">
        <f t="shared" si="50"/>
        <v>-1</v>
      </c>
    </row>
    <row r="154" spans="1:18" ht="14.1" customHeight="1" x14ac:dyDescent="0.25">
      <c r="A154" s="253">
        <v>3232</v>
      </c>
      <c r="B154" s="40" t="s">
        <v>480</v>
      </c>
      <c r="C154" s="200">
        <v>40599839.609999999</v>
      </c>
      <c r="D154" s="540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28900875</v>
      </c>
      <c r="J154" s="178">
        <f t="shared" si="48"/>
        <v>0.71184702396906829</v>
      </c>
      <c r="K154" s="34">
        <v>37980210.549999997</v>
      </c>
      <c r="L154" s="610">
        <v>1</v>
      </c>
      <c r="M154" s="211">
        <f t="shared" si="49"/>
        <v>6.8973526530384133E-2</v>
      </c>
      <c r="N154" s="34">
        <v>26300000</v>
      </c>
      <c r="O154" s="610">
        <v>0.6925</v>
      </c>
      <c r="P154" s="210">
        <f t="shared" si="50"/>
        <v>9.8892585551330736E-2</v>
      </c>
    </row>
    <row r="155" spans="1:18" ht="14.1" customHeight="1" x14ac:dyDescent="0.25">
      <c r="A155" s="253" t="s">
        <v>657</v>
      </c>
      <c r="B155" s="40" t="s">
        <v>658</v>
      </c>
      <c r="C155" s="200">
        <v>1576943.5</v>
      </c>
      <c r="D155" s="540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10">
        <v>1</v>
      </c>
      <c r="M155" s="211">
        <f t="shared" si="49"/>
        <v>0.18840289733511639</v>
      </c>
      <c r="N155" s="34">
        <v>0</v>
      </c>
      <c r="O155" s="610">
        <v>0</v>
      </c>
      <c r="P155" s="210" t="s">
        <v>129</v>
      </c>
    </row>
    <row r="156" spans="1:18" ht="14.1" customHeight="1" x14ac:dyDescent="0.25">
      <c r="A156" s="39" t="s">
        <v>659</v>
      </c>
      <c r="B156" s="40" t="s">
        <v>660</v>
      </c>
      <c r="C156" s="200">
        <v>8163831</v>
      </c>
      <c r="D156" s="540">
        <v>8163831</v>
      </c>
      <c r="E156" s="137">
        <v>7463831</v>
      </c>
      <c r="F156" s="280">
        <f t="shared" si="46"/>
        <v>0.91425594184886971</v>
      </c>
      <c r="G156" s="137">
        <v>7463831</v>
      </c>
      <c r="H156" s="280">
        <f t="shared" si="47"/>
        <v>0.91425594184886971</v>
      </c>
      <c r="I156" s="137">
        <v>0</v>
      </c>
      <c r="J156" s="178">
        <f t="shared" si="48"/>
        <v>0</v>
      </c>
      <c r="K156" s="34">
        <v>7493661</v>
      </c>
      <c r="L156" s="280">
        <v>1</v>
      </c>
      <c r="M156" s="211">
        <f t="shared" si="49"/>
        <v>-3.9806978191300191E-3</v>
      </c>
      <c r="N156" s="34">
        <v>29830</v>
      </c>
      <c r="O156" s="280">
        <v>4.0000000000000001E-3</v>
      </c>
      <c r="P156" s="210">
        <f t="shared" si="50"/>
        <v>-1</v>
      </c>
    </row>
    <row r="157" spans="1:18" ht="14.1" customHeight="1" x14ac:dyDescent="0.25">
      <c r="A157" s="39" t="s">
        <v>661</v>
      </c>
      <c r="B157" s="40" t="s">
        <v>114</v>
      </c>
      <c r="C157" s="200">
        <v>9096798.4100000001</v>
      </c>
      <c r="D157" s="540">
        <v>9191525.1699999999</v>
      </c>
      <c r="E157" s="137">
        <v>8541914.25</v>
      </c>
      <c r="F157" s="280">
        <f t="shared" si="46"/>
        <v>0.9293250132067038</v>
      </c>
      <c r="G157" s="137">
        <v>8343488.04</v>
      </c>
      <c r="H157" s="280">
        <f t="shared" si="47"/>
        <v>0.90773706057315839</v>
      </c>
      <c r="I157" s="137">
        <v>167611.96</v>
      </c>
      <c r="J157" s="178">
        <f t="shared" si="48"/>
        <v>1.8235489420957544E-2</v>
      </c>
      <c r="K157" s="34">
        <v>6308545.0800000001</v>
      </c>
      <c r="L157" s="280">
        <v>0.94720000000000004</v>
      </c>
      <c r="M157" s="211">
        <f t="shared" si="49"/>
        <v>0.32256929833970527</v>
      </c>
      <c r="N157" s="34">
        <v>92647.4</v>
      </c>
      <c r="O157" s="280">
        <v>1.3899999999999999E-2</v>
      </c>
      <c r="P157" s="210">
        <f t="shared" si="50"/>
        <v>0.80913830285577371</v>
      </c>
    </row>
    <row r="158" spans="1:18" ht="14.1" customHeight="1" x14ac:dyDescent="0.25">
      <c r="A158" s="39" t="s">
        <v>662</v>
      </c>
      <c r="B158" s="40" t="s">
        <v>663</v>
      </c>
      <c r="C158" s="200">
        <v>8827393.0999999996</v>
      </c>
      <c r="D158" s="540">
        <v>8827393.0999999996</v>
      </c>
      <c r="E158" s="137">
        <v>8744700.8900000006</v>
      </c>
      <c r="F158" s="280">
        <f t="shared" si="46"/>
        <v>0.99063231816423825</v>
      </c>
      <c r="G158" s="137">
        <v>8744700.8900000006</v>
      </c>
      <c r="H158" s="280">
        <f t="shared" si="47"/>
        <v>0.99063231816423825</v>
      </c>
      <c r="I158" s="137">
        <v>0</v>
      </c>
      <c r="J158" s="178">
        <f t="shared" si="48"/>
        <v>0</v>
      </c>
      <c r="K158" s="34">
        <v>7468371.0999999996</v>
      </c>
      <c r="L158" s="280">
        <v>0.9829</v>
      </c>
      <c r="M158" s="211">
        <f t="shared" si="49"/>
        <v>0.17089801416000894</v>
      </c>
      <c r="N158" s="34">
        <v>0</v>
      </c>
      <c r="O158" s="280">
        <v>0</v>
      </c>
      <c r="P158" s="210" t="s">
        <v>129</v>
      </c>
    </row>
    <row r="159" spans="1:18" ht="14.1" customHeight="1" x14ac:dyDescent="0.25">
      <c r="A159" s="39">
        <v>3281</v>
      </c>
      <c r="B159" s="40" t="s">
        <v>666</v>
      </c>
      <c r="C159" s="200">
        <v>5255775.0999999996</v>
      </c>
      <c r="D159" s="540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4793232.18</v>
      </c>
      <c r="L159" s="280">
        <v>1</v>
      </c>
      <c r="M159" s="211">
        <f t="shared" si="49"/>
        <v>9.6499168542259151E-2</v>
      </c>
      <c r="N159" s="34">
        <v>0</v>
      </c>
      <c r="O159" s="280">
        <v>0</v>
      </c>
      <c r="P159" s="210" t="s">
        <v>129</v>
      </c>
    </row>
    <row r="160" spans="1:18" ht="14.1" customHeight="1" x14ac:dyDescent="0.25">
      <c r="A160" s="39" t="s">
        <v>664</v>
      </c>
      <c r="B160" s="40" t="s">
        <v>667</v>
      </c>
      <c r="C160" s="200">
        <v>2919606</v>
      </c>
      <c r="D160" s="540">
        <v>2919606</v>
      </c>
      <c r="E160" s="137">
        <v>2919606</v>
      </c>
      <c r="F160" s="280">
        <f t="shared" ref="F160:F161" si="51">+E160/D160</f>
        <v>1</v>
      </c>
      <c r="G160" s="137">
        <v>2919606</v>
      </c>
      <c r="H160" s="280">
        <f t="shared" ref="H160:H161" si="52">+G160/D160</f>
        <v>1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5">
      <c r="A161" s="39" t="s">
        <v>665</v>
      </c>
      <c r="B161" s="40" t="s">
        <v>668</v>
      </c>
      <c r="C161" s="200">
        <v>1326943.5</v>
      </c>
      <c r="D161" s="540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0</v>
      </c>
      <c r="O161" s="280">
        <v>0</v>
      </c>
      <c r="P161" s="210" t="s">
        <v>129</v>
      </c>
    </row>
    <row r="162" spans="1:18" ht="14.1" customHeight="1" x14ac:dyDescent="0.25">
      <c r="A162" s="39">
        <v>3291</v>
      </c>
      <c r="B162" s="40" t="s">
        <v>495</v>
      </c>
      <c r="C162" s="200">
        <v>33376191.52</v>
      </c>
      <c r="D162" s="540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15900000</v>
      </c>
      <c r="J162" s="178">
        <f>+I162/D162</f>
        <v>0.47638748688484278</v>
      </c>
      <c r="K162" s="34">
        <v>28919222.559999999</v>
      </c>
      <c r="L162" s="610">
        <v>1</v>
      </c>
      <c r="M162" s="211">
        <f t="shared" si="49"/>
        <v>0.15411786920457238</v>
      </c>
      <c r="N162" s="34">
        <v>20500000</v>
      </c>
      <c r="O162" s="610">
        <v>0.70889999999999997</v>
      </c>
      <c r="P162" s="210">
        <f t="shared" si="50"/>
        <v>-0.224390243902439</v>
      </c>
    </row>
    <row r="163" spans="1:18" ht="14.1" customHeight="1" x14ac:dyDescent="0.25">
      <c r="A163" s="253" t="s">
        <v>669</v>
      </c>
      <c r="B163" s="40" t="s">
        <v>670</v>
      </c>
      <c r="C163" s="200">
        <v>24741430.09</v>
      </c>
      <c r="D163" s="540">
        <v>26999978.949999999</v>
      </c>
      <c r="E163" s="137">
        <v>13157115.09</v>
      </c>
      <c r="F163" s="280">
        <f>+E163/D163</f>
        <v>0.48730093880313935</v>
      </c>
      <c r="G163" s="137">
        <v>13157115.09</v>
      </c>
      <c r="H163" s="280">
        <f>+G163/D163</f>
        <v>0.48730093880313935</v>
      </c>
      <c r="I163" s="137">
        <v>1977259.05</v>
      </c>
      <c r="J163" s="178">
        <f>+I163/D163</f>
        <v>7.3231873760405283E-2</v>
      </c>
      <c r="K163" s="34">
        <v>10837834.5</v>
      </c>
      <c r="L163" s="280">
        <v>0.879</v>
      </c>
      <c r="M163" s="211">
        <f t="shared" si="49"/>
        <v>0.21399852433620392</v>
      </c>
      <c r="N163" s="34">
        <v>1054028.53</v>
      </c>
      <c r="O163" s="280">
        <v>8.5500000000000007E-2</v>
      </c>
      <c r="P163" s="210">
        <f t="shared" si="50"/>
        <v>0.87590657531822225</v>
      </c>
    </row>
    <row r="164" spans="1:18" ht="14.1" customHeight="1" x14ac:dyDescent="0.25">
      <c r="A164" s="39" t="s">
        <v>671</v>
      </c>
      <c r="B164" s="40" t="s">
        <v>672</v>
      </c>
      <c r="C164" s="200">
        <v>12623127.310000001</v>
      </c>
      <c r="D164" s="540">
        <v>12619013.119999999</v>
      </c>
      <c r="E164" s="137">
        <v>12592318.890000001</v>
      </c>
      <c r="F164" s="280">
        <f>+E164/D164</f>
        <v>0.99788460240542176</v>
      </c>
      <c r="G164" s="137">
        <v>12502775.15</v>
      </c>
      <c r="H164" s="280">
        <f>+G164/D164</f>
        <v>0.99078866398706156</v>
      </c>
      <c r="I164" s="137">
        <v>7020233.6500000004</v>
      </c>
      <c r="J164" s="178">
        <f>+I164/D164</f>
        <v>0.55632192337398889</v>
      </c>
      <c r="K164" s="34">
        <v>12397135.449999999</v>
      </c>
      <c r="L164" s="280">
        <v>0.99329999999999996</v>
      </c>
      <c r="M164" s="211">
        <f t="shared" si="49"/>
        <v>8.5212991683494277E-3</v>
      </c>
      <c r="N164" s="34">
        <v>16832.93</v>
      </c>
      <c r="O164" s="280">
        <v>1.2999999999999999E-3</v>
      </c>
      <c r="P164" s="210">
        <f t="shared" si="50"/>
        <v>416.05357593716604</v>
      </c>
    </row>
    <row r="165" spans="1:18" ht="14.1" customHeight="1" x14ac:dyDescent="0.25">
      <c r="A165" s="39" t="s">
        <v>673</v>
      </c>
      <c r="B165" s="40" t="s">
        <v>674</v>
      </c>
      <c r="C165" s="200">
        <v>48067327.659999996</v>
      </c>
      <c r="D165" s="540">
        <v>48067327.659999996</v>
      </c>
      <c r="E165" s="137">
        <v>48067327.659999996</v>
      </c>
      <c r="F165" s="280">
        <f>+E165/D165</f>
        <v>1</v>
      </c>
      <c r="G165" s="137">
        <v>48067327.659999996</v>
      </c>
      <c r="H165" s="280">
        <f>+G165/D165</f>
        <v>1</v>
      </c>
      <c r="I165" s="137">
        <v>24000000</v>
      </c>
      <c r="J165" s="178">
        <f>+I165/D165</f>
        <v>0.4992996525573854</v>
      </c>
      <c r="K165" s="34">
        <v>47277327.799999997</v>
      </c>
      <c r="L165" s="280">
        <v>1</v>
      </c>
      <c r="M165" s="211">
        <f t="shared" si="49"/>
        <v>1.6709909310906434E-2</v>
      </c>
      <c r="N165" s="34">
        <v>47277327.799999997</v>
      </c>
      <c r="O165" s="280">
        <v>1</v>
      </c>
      <c r="P165" s="210">
        <f t="shared" si="50"/>
        <v>-0.49235709552941354</v>
      </c>
      <c r="R165" s="275"/>
    </row>
    <row r="166" spans="1:18" ht="14.1" customHeight="1" x14ac:dyDescent="0.25">
      <c r="A166" s="39" t="s">
        <v>675</v>
      </c>
      <c r="B166" s="40" t="s">
        <v>676</v>
      </c>
      <c r="C166" s="200">
        <v>17219551.329999998</v>
      </c>
      <c r="D166" s="540">
        <v>17219551.329999998</v>
      </c>
      <c r="E166" s="137">
        <v>17219551.329999998</v>
      </c>
      <c r="F166" s="280">
        <f>+E166/D166</f>
        <v>1</v>
      </c>
      <c r="G166" s="137">
        <v>17219551.329999998</v>
      </c>
      <c r="H166" s="280">
        <f>+G166/D166</f>
        <v>1</v>
      </c>
      <c r="I166" s="137">
        <v>0</v>
      </c>
      <c r="J166" s="178">
        <f>+I166/D166</f>
        <v>0</v>
      </c>
      <c r="K166" s="34">
        <v>17219551.329999998</v>
      </c>
      <c r="L166" s="280">
        <v>1</v>
      </c>
      <c r="M166" s="211">
        <f t="shared" si="49"/>
        <v>0</v>
      </c>
      <c r="N166" s="34">
        <v>4000000</v>
      </c>
      <c r="O166" s="280">
        <v>0.23230000000000001</v>
      </c>
      <c r="P166" s="210">
        <f t="shared" si="50"/>
        <v>-1</v>
      </c>
      <c r="R166" s="275"/>
    </row>
    <row r="167" spans="1:18" ht="14.1" customHeight="1" x14ac:dyDescent="0.25">
      <c r="A167" s="39" t="s">
        <v>677</v>
      </c>
      <c r="B167" s="40" t="s">
        <v>102</v>
      </c>
      <c r="C167" s="200">
        <v>17748245.370000001</v>
      </c>
      <c r="D167" s="540">
        <v>17797623.359999999</v>
      </c>
      <c r="E167" s="137">
        <v>16962450.25</v>
      </c>
      <c r="F167" s="280">
        <f t="shared" ref="F167:F173" si="54">+E167/D167</f>
        <v>0.95307389682843591</v>
      </c>
      <c r="G167" s="137">
        <v>16653544.550000001</v>
      </c>
      <c r="H167" s="280">
        <f t="shared" ref="H167:H173" si="55">+G167/D167</f>
        <v>0.93571732658578977</v>
      </c>
      <c r="I167" s="137">
        <v>1159030.19</v>
      </c>
      <c r="J167" s="178">
        <f t="shared" ref="J167:J173" si="56">+I167/D167</f>
        <v>6.5122750749120245E-2</v>
      </c>
      <c r="K167" s="34">
        <v>15448455.91</v>
      </c>
      <c r="L167" s="610">
        <v>0.94310000000000005</v>
      </c>
      <c r="M167" s="211">
        <f t="shared" si="49"/>
        <v>7.8007060836412068E-2</v>
      </c>
      <c r="N167" s="34">
        <v>1071226.78</v>
      </c>
      <c r="O167" s="610">
        <v>6.54E-2</v>
      </c>
      <c r="P167" s="210">
        <f t="shared" si="50"/>
        <v>8.1965286566118012E-2</v>
      </c>
      <c r="R167" s="275"/>
    </row>
    <row r="168" spans="1:18" ht="14.1" customHeight="1" x14ac:dyDescent="0.25">
      <c r="A168" s="253">
        <v>3361</v>
      </c>
      <c r="B168" s="40" t="s">
        <v>678</v>
      </c>
      <c r="C168" s="200">
        <v>211322.62</v>
      </c>
      <c r="D168" s="540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5">
      <c r="A169" s="253">
        <v>3371</v>
      </c>
      <c r="B169" s="40" t="s">
        <v>679</v>
      </c>
      <c r="C169" s="200">
        <v>15245118.1</v>
      </c>
      <c r="D169" s="540">
        <v>15862072.17</v>
      </c>
      <c r="E169" s="137">
        <v>13418331.75</v>
      </c>
      <c r="F169" s="280">
        <f t="shared" si="54"/>
        <v>0.84593813508036764</v>
      </c>
      <c r="G169" s="137">
        <v>12772478.880000001</v>
      </c>
      <c r="H169" s="280">
        <f t="shared" si="55"/>
        <v>0.80522133193648182</v>
      </c>
      <c r="I169" s="137">
        <v>5312859.74</v>
      </c>
      <c r="J169" s="178">
        <f t="shared" si="56"/>
        <v>0.33494108985635768</v>
      </c>
      <c r="K169" s="34">
        <v>9851079.8499999996</v>
      </c>
      <c r="L169" s="280">
        <v>0.77059999999999995</v>
      </c>
      <c r="M169" s="211">
        <f t="shared" si="49"/>
        <v>0.29655622271704574</v>
      </c>
      <c r="N169" s="34">
        <v>5355977.0599999996</v>
      </c>
      <c r="O169" s="280">
        <v>0.41899999999999998</v>
      </c>
      <c r="P169" s="210">
        <f t="shared" si="50"/>
        <v>-8.050318273767898E-3</v>
      </c>
    </row>
    <row r="170" spans="1:18" ht="14.1" customHeight="1" x14ac:dyDescent="0.25">
      <c r="A170" s="253">
        <v>3381</v>
      </c>
      <c r="B170" s="40" t="s">
        <v>680</v>
      </c>
      <c r="C170" s="200">
        <v>8127724.7699999996</v>
      </c>
      <c r="D170" s="540">
        <v>8064555.5700000003</v>
      </c>
      <c r="E170" s="137">
        <v>7323174.9400000004</v>
      </c>
      <c r="F170" s="280">
        <f t="shared" si="54"/>
        <v>0.90806925148387319</v>
      </c>
      <c r="G170" s="137">
        <v>7067362.7800000003</v>
      </c>
      <c r="H170" s="280">
        <f t="shared" si="55"/>
        <v>0.87634869877894583</v>
      </c>
      <c r="I170" s="137">
        <v>670698.59</v>
      </c>
      <c r="J170" s="178">
        <f t="shared" si="56"/>
        <v>8.3166218420638885E-2</v>
      </c>
      <c r="K170" s="34">
        <v>4897484.47</v>
      </c>
      <c r="L170" s="280">
        <v>0.73829999999999996</v>
      </c>
      <c r="M170" s="211">
        <f t="shared" si="49"/>
        <v>0.4430597632910922</v>
      </c>
      <c r="N170" s="34">
        <v>428621.71</v>
      </c>
      <c r="O170" s="280">
        <v>6.4600000000000005E-2</v>
      </c>
      <c r="P170" s="210">
        <f t="shared" si="50"/>
        <v>0.56477979148559676</v>
      </c>
    </row>
    <row r="171" spans="1:18" ht="14.1" customHeight="1" x14ac:dyDescent="0.25">
      <c r="A171" s="253" t="s">
        <v>681</v>
      </c>
      <c r="B171" s="40" t="s">
        <v>682</v>
      </c>
      <c r="C171" s="200">
        <v>14042820.529999999</v>
      </c>
      <c r="D171" s="540">
        <v>13094609.029999999</v>
      </c>
      <c r="E171" s="137">
        <v>12089902.15</v>
      </c>
      <c r="F171" s="390">
        <f t="shared" si="54"/>
        <v>0.92327324338602268</v>
      </c>
      <c r="G171" s="137">
        <v>12013478.810000001</v>
      </c>
      <c r="H171" s="390">
        <f t="shared" si="55"/>
        <v>0.91743699888075247</v>
      </c>
      <c r="I171" s="137">
        <v>2722670.67</v>
      </c>
      <c r="J171" s="392">
        <f t="shared" si="56"/>
        <v>0.20792302112742042</v>
      </c>
      <c r="K171" s="34">
        <v>11219794.16</v>
      </c>
      <c r="L171" s="390">
        <v>0.9718</v>
      </c>
      <c r="M171" s="211">
        <f t="shared" si="49"/>
        <v>7.0739680129746629E-2</v>
      </c>
      <c r="N171" s="34">
        <v>5048678.5999999996</v>
      </c>
      <c r="O171" s="390">
        <v>0.43730000000000002</v>
      </c>
      <c r="P171" s="210">
        <f t="shared" si="50"/>
        <v>-0.46071618225014366</v>
      </c>
    </row>
    <row r="172" spans="1:18" ht="14.1" customHeight="1" x14ac:dyDescent="0.25">
      <c r="A172" s="253">
        <v>3421</v>
      </c>
      <c r="B172" s="40" t="s">
        <v>484</v>
      </c>
      <c r="C172" s="200">
        <v>5455050.5800000001</v>
      </c>
      <c r="D172" s="540">
        <v>6445868.8799999999</v>
      </c>
      <c r="E172" s="137">
        <v>6403992.3399999999</v>
      </c>
      <c r="F172" s="390">
        <f t="shared" si="54"/>
        <v>0.99350335218112595</v>
      </c>
      <c r="G172" s="137">
        <v>6349638.4000000004</v>
      </c>
      <c r="H172" s="390">
        <f t="shared" si="55"/>
        <v>0.98507098394468129</v>
      </c>
      <c r="I172" s="137">
        <v>1316722.6000000001</v>
      </c>
      <c r="J172" s="392">
        <f t="shared" si="56"/>
        <v>0.20427387284986165</v>
      </c>
      <c r="K172" s="34">
        <v>4610331.54</v>
      </c>
      <c r="L172" s="390">
        <v>0.98609999999999998</v>
      </c>
      <c r="M172" s="211">
        <f t="shared" si="49"/>
        <v>0.37726285949491611</v>
      </c>
      <c r="N172" s="34">
        <v>6772.86</v>
      </c>
      <c r="O172" s="390">
        <v>1.4E-3</v>
      </c>
      <c r="P172" s="210">
        <f t="shared" si="50"/>
        <v>193.41160750406772</v>
      </c>
    </row>
    <row r="173" spans="1:18" ht="14.1" customHeight="1" x14ac:dyDescent="0.25">
      <c r="A173" s="531">
        <v>3431</v>
      </c>
      <c r="B173" s="533" t="s">
        <v>435</v>
      </c>
      <c r="C173" s="200">
        <v>6518951.2199999997</v>
      </c>
      <c r="D173" s="540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5">
      <c r="A174" s="532">
        <v>3</v>
      </c>
      <c r="B174" s="2" t="s">
        <v>124</v>
      </c>
      <c r="C174" s="201">
        <f>SUM(C150:C173)</f>
        <v>314074850.86000001</v>
      </c>
      <c r="D174" s="207">
        <f>SUM(D150:D173)</f>
        <v>317054781.94999999</v>
      </c>
      <c r="E174" s="203">
        <f>SUM(E150:E173)</f>
        <v>294792842.67000002</v>
      </c>
      <c r="F174" s="90">
        <f t="shared" ref="F174:F211" si="57">+E174/D174</f>
        <v>0.9297851962897985</v>
      </c>
      <c r="G174" s="203">
        <f>SUM(G150:G173)</f>
        <v>292846646.56</v>
      </c>
      <c r="H174" s="90">
        <f t="shared" ref="H174:H211" si="58">+G174/D174</f>
        <v>0.92364683717712337</v>
      </c>
      <c r="I174" s="203">
        <f>SUM(I150:I173)</f>
        <v>97874732.139999986</v>
      </c>
      <c r="J174" s="170">
        <f t="shared" ref="J174:J211" si="59">+I174/D174</f>
        <v>0.30869975068042022</v>
      </c>
      <c r="K174" s="568">
        <f>SUM(K150:K173)</f>
        <v>266780822.94999993</v>
      </c>
      <c r="L174" s="90">
        <v>0.96913840778742233</v>
      </c>
      <c r="M174" s="213">
        <f t="shared" si="49"/>
        <v>9.7705012383462631E-2</v>
      </c>
      <c r="N174" s="568">
        <f>SUM(N150:N173)</f>
        <v>121425218.00999999</v>
      </c>
      <c r="O174" s="90">
        <v>0.44110307909765761</v>
      </c>
      <c r="P174" s="213">
        <f t="shared" ref="P174:P211" si="60">+I174/N174-1</f>
        <v>-0.19395053396618567</v>
      </c>
    </row>
    <row r="175" spans="1:18" ht="14.1" customHeight="1" x14ac:dyDescent="0.25">
      <c r="A175" s="37">
        <v>4301</v>
      </c>
      <c r="B175" s="534" t="s">
        <v>683</v>
      </c>
      <c r="C175" s="198">
        <v>4583248.97</v>
      </c>
      <c r="D175" s="516">
        <v>5226567.25</v>
      </c>
      <c r="E175" s="180">
        <v>1571934.08</v>
      </c>
      <c r="F175" s="78">
        <f>+E175/D175</f>
        <v>0.30075841461716579</v>
      </c>
      <c r="G175" s="180">
        <v>1466033.49</v>
      </c>
      <c r="H175" s="78">
        <f>+G175/D175</f>
        <v>0.28049643673866437</v>
      </c>
      <c r="I175" s="180">
        <v>1437821.24</v>
      </c>
      <c r="J175" s="153">
        <f>+I175/D175</f>
        <v>0.27509858215255911</v>
      </c>
      <c r="K175" s="180">
        <v>1982212.19</v>
      </c>
      <c r="L175" s="48">
        <v>0.56759999999999999</v>
      </c>
      <c r="M175" s="210">
        <f t="shared" si="49"/>
        <v>-0.26040537062785396</v>
      </c>
      <c r="N175" s="180">
        <v>1847884.21</v>
      </c>
      <c r="O175" s="48">
        <v>0.52910000000000001</v>
      </c>
      <c r="P175" s="210">
        <f>+I175/N175-1</f>
        <v>-0.22190945070091805</v>
      </c>
    </row>
    <row r="176" spans="1:18" ht="14.1" customHeight="1" x14ac:dyDescent="0.25">
      <c r="A176" s="37" t="s">
        <v>684</v>
      </c>
      <c r="B176" s="38" t="s">
        <v>686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0</v>
      </c>
      <c r="J176" s="153">
        <f>+I176/D176</f>
        <v>0</v>
      </c>
      <c r="K176" s="34">
        <v>752000</v>
      </c>
      <c r="L176" s="48">
        <v>0.33950000000000002</v>
      </c>
      <c r="M176" s="210">
        <f t="shared" si="49"/>
        <v>1.8791090425531913</v>
      </c>
      <c r="N176" s="34">
        <v>752000</v>
      </c>
      <c r="O176" s="48">
        <v>0.33950000000000002</v>
      </c>
      <c r="P176" s="210">
        <f>+I176/N176-1</f>
        <v>-1</v>
      </c>
    </row>
    <row r="177" spans="1:19" ht="14.1" customHeight="1" x14ac:dyDescent="0.25">
      <c r="A177" s="37" t="s">
        <v>685</v>
      </c>
      <c r="B177" s="38" t="s">
        <v>687</v>
      </c>
      <c r="C177" s="200">
        <v>7512544.6100000003</v>
      </c>
      <c r="D177" s="206">
        <v>7478354.6100000003</v>
      </c>
      <c r="E177" s="34">
        <v>3121492.89</v>
      </c>
      <c r="F177" s="48">
        <f>+E177/D177</f>
        <v>0.4174037007854593</v>
      </c>
      <c r="G177" s="34">
        <v>685793.77</v>
      </c>
      <c r="H177" s="48">
        <f>+G177/D177</f>
        <v>9.1703831359235322E-2</v>
      </c>
      <c r="I177" s="34">
        <v>385303.43</v>
      </c>
      <c r="J177" s="153">
        <f>+I177/D177</f>
        <v>5.1522487244022246E-2</v>
      </c>
      <c r="K177" s="34">
        <v>327332.08</v>
      </c>
      <c r="L177" s="48">
        <v>5.2400000000000002E-2</v>
      </c>
      <c r="M177" s="210">
        <f t="shared" si="49"/>
        <v>1.0951010056820585</v>
      </c>
      <c r="N177" s="34">
        <v>119176.28</v>
      </c>
      <c r="O177" s="48">
        <v>1.9099999999999999E-2</v>
      </c>
      <c r="P177" s="210">
        <f>+I177/N177-1</f>
        <v>2.2330546816866579</v>
      </c>
    </row>
    <row r="178" spans="1:19" ht="14.1" customHeight="1" x14ac:dyDescent="0.25">
      <c r="A178" s="41" t="s">
        <v>688</v>
      </c>
      <c r="B178" s="42" t="s">
        <v>689</v>
      </c>
      <c r="C178" s="200">
        <v>2743104</v>
      </c>
      <c r="D178" s="206">
        <v>5057715.74</v>
      </c>
      <c r="E178" s="34">
        <v>2929482.7</v>
      </c>
      <c r="F178" s="390">
        <f>+E178/D178</f>
        <v>0.57921062602067075</v>
      </c>
      <c r="G178" s="34">
        <v>2583434.62</v>
      </c>
      <c r="H178" s="390">
        <f>+G178/D178</f>
        <v>0.51079079031040997</v>
      </c>
      <c r="I178" s="34">
        <v>1657050.56</v>
      </c>
      <c r="J178" s="392">
        <f>+I178/D178</f>
        <v>0.32762825061417944</v>
      </c>
      <c r="K178" s="34">
        <v>2486084.14</v>
      </c>
      <c r="L178" s="390">
        <v>0.42330000000000001</v>
      </c>
      <c r="M178" s="520">
        <f t="shared" si="49"/>
        <v>3.9158159787785696E-2</v>
      </c>
      <c r="N178" s="34">
        <v>1809438.5</v>
      </c>
      <c r="O178" s="390">
        <v>0.30809999999999998</v>
      </c>
      <c r="P178" s="520">
        <f>+I178/N178-1</f>
        <v>-8.4218358347078359E-2</v>
      </c>
    </row>
    <row r="179" spans="1:19" ht="14.4" thickBot="1" x14ac:dyDescent="0.3">
      <c r="A179" s="671" t="s">
        <v>19</v>
      </c>
      <c r="B179" s="672"/>
      <c r="C179" s="672"/>
      <c r="D179" s="672"/>
      <c r="E179" s="672"/>
      <c r="F179" s="673"/>
      <c r="G179" s="672"/>
      <c r="H179" s="673"/>
      <c r="I179" s="672"/>
      <c r="J179" s="673"/>
      <c r="K179" s="673"/>
      <c r="L179" s="673"/>
      <c r="M179" s="673"/>
      <c r="N179" s="673"/>
      <c r="O179" s="673"/>
      <c r="P179" s="673"/>
    </row>
    <row r="180" spans="1:19" ht="12.75" customHeight="1" x14ac:dyDescent="0.25">
      <c r="A180" s="754" t="s">
        <v>758</v>
      </c>
      <c r="B180" s="755"/>
      <c r="C180" s="164" t="s">
        <v>767</v>
      </c>
      <c r="D180" s="758" t="s">
        <v>779</v>
      </c>
      <c r="E180" s="759"/>
      <c r="F180" s="760"/>
      <c r="G180" s="759"/>
      <c r="H180" s="759"/>
      <c r="I180" s="759"/>
      <c r="J180" s="761"/>
      <c r="K180" s="762" t="s">
        <v>780</v>
      </c>
      <c r="L180" s="763"/>
      <c r="M180" s="763"/>
      <c r="N180" s="763"/>
      <c r="O180" s="763"/>
      <c r="P180" s="764"/>
    </row>
    <row r="181" spans="1:19" ht="14.1" customHeight="1" x14ac:dyDescent="0.25">
      <c r="A181" s="39" t="s">
        <v>690</v>
      </c>
      <c r="B181" s="40" t="s">
        <v>691</v>
      </c>
      <c r="C181" s="200">
        <v>36360668.060000002</v>
      </c>
      <c r="D181" s="539">
        <v>40073130.359999999</v>
      </c>
      <c r="E181" s="136">
        <v>11655291.460000001</v>
      </c>
      <c r="F181" s="692">
        <f>+E181/D181</f>
        <v>0.29085053638919167</v>
      </c>
      <c r="G181" s="136">
        <v>7682960</v>
      </c>
      <c r="H181" s="48">
        <f>+G181/D181</f>
        <v>0.19172347982250321</v>
      </c>
      <c r="I181" s="136">
        <v>7057960</v>
      </c>
      <c r="J181" s="153">
        <f>+I181/D181</f>
        <v>0.17612699423764208</v>
      </c>
      <c r="K181" s="180">
        <v>4812684.72</v>
      </c>
      <c r="L181" s="48">
        <v>0.1072</v>
      </c>
      <c r="M181" s="210">
        <f>+G181/K181-1</f>
        <v>0.59639794563563275</v>
      </c>
      <c r="N181" s="180">
        <v>4582684.72</v>
      </c>
      <c r="O181" s="48">
        <v>0.1021</v>
      </c>
      <c r="P181" s="210">
        <f>+I181/N181-1</f>
        <v>0.54013649885126735</v>
      </c>
      <c r="R181" s="279"/>
      <c r="S181" s="279"/>
    </row>
    <row r="182" spans="1:19" ht="14.1" customHeight="1" x14ac:dyDescent="0.25">
      <c r="A182" s="39" t="s">
        <v>692</v>
      </c>
      <c r="B182" s="40" t="s">
        <v>693</v>
      </c>
      <c r="C182" s="200">
        <v>1922280</v>
      </c>
      <c r="D182" s="540">
        <v>1922280</v>
      </c>
      <c r="E182" s="137">
        <v>1162500</v>
      </c>
      <c r="F182" s="280">
        <f t="shared" ref="F182:F189" si="61">+E182/D182</f>
        <v>0.60475060865222552</v>
      </c>
      <c r="G182" s="137">
        <v>1162500</v>
      </c>
      <c r="H182" s="280">
        <f t="shared" ref="H182:H189" si="62">+G182/D182</f>
        <v>0.60475060865222552</v>
      </c>
      <c r="I182" s="137">
        <v>0</v>
      </c>
      <c r="J182" s="178">
        <f t="shared" ref="J182:J189" si="63">+I182/D182</f>
        <v>0</v>
      </c>
      <c r="K182" s="34">
        <v>112500</v>
      </c>
      <c r="L182" s="280">
        <v>7.3899999999999993E-2</v>
      </c>
      <c r="M182" s="210">
        <f t="shared" ref="M182:M189" si="64">+G182/K182-1</f>
        <v>9.3333333333333339</v>
      </c>
      <c r="N182" s="34">
        <v>112500</v>
      </c>
      <c r="O182" s="280">
        <v>7.3899999999999993E-2</v>
      </c>
      <c r="P182" s="210">
        <f t="shared" ref="P182:P189" si="65">+I182/N182-1</f>
        <v>-1</v>
      </c>
      <c r="R182" s="279"/>
      <c r="S182" s="279"/>
    </row>
    <row r="183" spans="1:19" ht="14.1" customHeight="1" x14ac:dyDescent="0.25">
      <c r="A183" s="39" t="s">
        <v>694</v>
      </c>
      <c r="B183" s="40" t="s">
        <v>695</v>
      </c>
      <c r="C183" s="200">
        <v>10510570.890000001</v>
      </c>
      <c r="D183" s="540">
        <v>10400570.890000001</v>
      </c>
      <c r="E183" s="137">
        <v>5575951.7000000002</v>
      </c>
      <c r="F183" s="280">
        <f t="shared" si="61"/>
        <v>0.53611977255606202</v>
      </c>
      <c r="G183" s="137">
        <v>5575951.7000000002</v>
      </c>
      <c r="H183" s="280">
        <f t="shared" si="62"/>
        <v>0.53611977255606202</v>
      </c>
      <c r="I183" s="137">
        <v>5262731.5199999996</v>
      </c>
      <c r="J183" s="178">
        <f t="shared" si="63"/>
        <v>0.50600410070374502</v>
      </c>
      <c r="K183" s="34">
        <v>9339313.5500000007</v>
      </c>
      <c r="L183" s="280">
        <v>0.5736</v>
      </c>
      <c r="M183" s="210">
        <f t="shared" si="64"/>
        <v>-0.40295915003303429</v>
      </c>
      <c r="N183" s="34">
        <v>6854093.3700000001</v>
      </c>
      <c r="O183" s="280">
        <v>0.42099999999999999</v>
      </c>
      <c r="P183" s="210">
        <f t="shared" si="65"/>
        <v>-0.23217685609088812</v>
      </c>
      <c r="R183" s="279"/>
      <c r="S183" s="279"/>
    </row>
    <row r="184" spans="1:19" ht="14.1" customHeight="1" x14ac:dyDescent="0.25">
      <c r="A184" s="39" t="s">
        <v>696</v>
      </c>
      <c r="B184" s="40" t="s">
        <v>697</v>
      </c>
      <c r="C184" s="200">
        <v>1031566.99</v>
      </c>
      <c r="D184" s="540">
        <v>1082779.1299999999</v>
      </c>
      <c r="E184" s="137">
        <v>406133.81</v>
      </c>
      <c r="F184" s="390">
        <f t="shared" si="61"/>
        <v>0.37508463060236491</v>
      </c>
      <c r="G184" s="137">
        <v>161125.69</v>
      </c>
      <c r="H184" s="280">
        <f t="shared" si="62"/>
        <v>0.14880753196637619</v>
      </c>
      <c r="I184" s="137">
        <v>48449.52</v>
      </c>
      <c r="J184" s="178">
        <f>+I184/D184</f>
        <v>4.4745524417338929E-2</v>
      </c>
      <c r="K184" s="34">
        <v>102231.19</v>
      </c>
      <c r="L184" s="280">
        <v>0.1716</v>
      </c>
      <c r="M184" s="210">
        <f t="shared" si="64"/>
        <v>0.57609130833750433</v>
      </c>
      <c r="N184" s="34">
        <v>30186.25</v>
      </c>
      <c r="O184" s="280">
        <v>5.0700000000000002E-2</v>
      </c>
      <c r="P184" s="210">
        <f t="shared" si="65"/>
        <v>0.60501950391320536</v>
      </c>
      <c r="R184" s="279"/>
      <c r="S184" s="279"/>
    </row>
    <row r="185" spans="1:19" ht="14.1" customHeight="1" x14ac:dyDescent="0.25">
      <c r="A185" s="39" t="s">
        <v>698</v>
      </c>
      <c r="B185" s="40" t="s">
        <v>699</v>
      </c>
      <c r="C185" s="200">
        <v>4649794.68</v>
      </c>
      <c r="D185" s="540">
        <v>4705707.68</v>
      </c>
      <c r="E185" s="133">
        <v>1864287.51</v>
      </c>
      <c r="F185" s="390">
        <f t="shared" si="61"/>
        <v>0.3961758011283863</v>
      </c>
      <c r="G185" s="681">
        <v>776803.92</v>
      </c>
      <c r="H185" s="280">
        <f t="shared" si="62"/>
        <v>0.16507696032661343</v>
      </c>
      <c r="I185" s="681">
        <v>318268.86</v>
      </c>
      <c r="J185" s="178">
        <f>+I185/D185</f>
        <v>6.7634643212686765E-2</v>
      </c>
      <c r="K185" s="681">
        <v>317023.40999999997</v>
      </c>
      <c r="L185" s="418">
        <v>0.3775</v>
      </c>
      <c r="M185" s="210">
        <f t="shared" si="64"/>
        <v>1.4503046005340745</v>
      </c>
      <c r="N185" s="681">
        <v>97131.92</v>
      </c>
      <c r="O185" s="418">
        <v>0.11559999999999999</v>
      </c>
      <c r="P185" s="210">
        <f t="shared" si="65"/>
        <v>2.2766660022781386</v>
      </c>
      <c r="R185" s="279"/>
      <c r="S185" s="279"/>
    </row>
    <row r="186" spans="1:19" ht="14.1" customHeight="1" x14ac:dyDescent="0.25">
      <c r="A186" s="39" t="s">
        <v>700</v>
      </c>
      <c r="B186" s="40" t="s">
        <v>702</v>
      </c>
      <c r="C186" s="200">
        <v>136713543.02000001</v>
      </c>
      <c r="D186" s="540">
        <v>136713543.02000001</v>
      </c>
      <c r="E186" s="137">
        <v>112255416.90000001</v>
      </c>
      <c r="F186" s="280">
        <f t="shared" si="61"/>
        <v>0.82109946403464951</v>
      </c>
      <c r="G186" s="137">
        <v>112255416.90000001</v>
      </c>
      <c r="H186" s="280">
        <f t="shared" si="62"/>
        <v>0.82109946403464951</v>
      </c>
      <c r="I186" s="137">
        <v>45326944.549999997</v>
      </c>
      <c r="J186" s="178">
        <f t="shared" si="63"/>
        <v>0.33154685006860701</v>
      </c>
      <c r="K186" s="34">
        <v>110924325</v>
      </c>
      <c r="L186" s="280">
        <v>0.95140000000000002</v>
      </c>
      <c r="M186" s="210">
        <f t="shared" si="64"/>
        <v>1.2000000000000011E-2</v>
      </c>
      <c r="N186" s="34">
        <v>53726164.079999998</v>
      </c>
      <c r="O186" s="280">
        <v>0.46079999999999999</v>
      </c>
      <c r="P186" s="210">
        <f t="shared" si="65"/>
        <v>-0.15633387705649882</v>
      </c>
      <c r="R186" s="279"/>
      <c r="S186" s="279"/>
    </row>
    <row r="187" spans="1:19" ht="14.1" customHeight="1" x14ac:dyDescent="0.25">
      <c r="A187" s="39" t="s">
        <v>701</v>
      </c>
      <c r="B187" s="40" t="s">
        <v>703</v>
      </c>
      <c r="C187" s="200">
        <v>16809054</v>
      </c>
      <c r="D187" s="540">
        <v>16809054</v>
      </c>
      <c r="E187" s="137">
        <v>14327012</v>
      </c>
      <c r="F187" s="280">
        <f t="shared" si="61"/>
        <v>0.85233898350258142</v>
      </c>
      <c r="G187" s="137">
        <v>14327012</v>
      </c>
      <c r="H187" s="280">
        <f t="shared" si="62"/>
        <v>0.85233898350258142</v>
      </c>
      <c r="I187" s="137">
        <v>3696877.95</v>
      </c>
      <c r="J187" s="178">
        <f t="shared" si="63"/>
        <v>0.21993373035746094</v>
      </c>
      <c r="K187" s="34">
        <v>16692043</v>
      </c>
      <c r="L187" s="280">
        <v>0.99299999999999999</v>
      </c>
      <c r="M187" s="210">
        <f t="shared" si="64"/>
        <v>-0.14168613152985532</v>
      </c>
      <c r="N187" s="34">
        <v>3816897.53</v>
      </c>
      <c r="O187" s="280">
        <v>0.2271</v>
      </c>
      <c r="P187" s="210">
        <f t="shared" si="65"/>
        <v>-3.1444276157971629E-2</v>
      </c>
      <c r="R187" s="279"/>
      <c r="S187" s="279"/>
    </row>
    <row r="188" spans="1:19" ht="14.1" customHeight="1" x14ac:dyDescent="0.25">
      <c r="A188" s="39">
        <v>4911</v>
      </c>
      <c r="B188" s="40" t="s">
        <v>704</v>
      </c>
      <c r="C188" s="200">
        <v>16869480</v>
      </c>
      <c r="D188" s="540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3900000</v>
      </c>
      <c r="J188" s="178">
        <f t="shared" si="63"/>
        <v>0.23118673486082558</v>
      </c>
      <c r="K188" s="34">
        <v>15669752</v>
      </c>
      <c r="L188" s="280">
        <v>0.91320000000000001</v>
      </c>
      <c r="M188" s="210">
        <f t="shared" si="64"/>
        <v>7.6563304894678552E-2</v>
      </c>
      <c r="N188" s="34">
        <v>5400000</v>
      </c>
      <c r="O188" s="280">
        <v>0.31469999999999998</v>
      </c>
      <c r="P188" s="210">
        <f t="shared" si="65"/>
        <v>-0.27777777777777779</v>
      </c>
      <c r="R188" s="279"/>
      <c r="S188" s="279"/>
    </row>
    <row r="189" spans="1:19" ht="14.1" customHeight="1" x14ac:dyDescent="0.25">
      <c r="A189" s="41" t="s">
        <v>705</v>
      </c>
      <c r="B189" s="42" t="s">
        <v>706</v>
      </c>
      <c r="C189" s="200">
        <v>1548192.01</v>
      </c>
      <c r="D189" s="540">
        <v>1483243.86</v>
      </c>
      <c r="E189" s="137">
        <v>715223.77</v>
      </c>
      <c r="F189" s="390">
        <f t="shared" si="61"/>
        <v>0.48220241410606612</v>
      </c>
      <c r="G189" s="137">
        <v>293156.68</v>
      </c>
      <c r="H189" s="390">
        <f t="shared" si="62"/>
        <v>0.19764563866119761</v>
      </c>
      <c r="I189" s="137">
        <v>260875.15</v>
      </c>
      <c r="J189" s="392">
        <f t="shared" si="63"/>
        <v>0.17588149665423189</v>
      </c>
      <c r="K189" s="34">
        <v>452875.12</v>
      </c>
      <c r="L189" s="412">
        <v>0.27779999999999999</v>
      </c>
      <c r="M189" s="210">
        <f t="shared" si="64"/>
        <v>-0.35267656125600366</v>
      </c>
      <c r="N189" s="34">
        <v>388881.62</v>
      </c>
      <c r="O189" s="412">
        <v>0.23849999999999999</v>
      </c>
      <c r="P189" s="210">
        <f t="shared" si="65"/>
        <v>-0.32916564686189076</v>
      </c>
    </row>
    <row r="190" spans="1:19" ht="14.1" customHeight="1" x14ac:dyDescent="0.25">
      <c r="A190" s="532">
        <v>4</v>
      </c>
      <c r="B190" s="2" t="s">
        <v>123</v>
      </c>
      <c r="C190" s="201">
        <f>SUM(C175:C189)</f>
        <v>243419137.23000002</v>
      </c>
      <c r="D190" s="207">
        <f>SUM(D175:D189)</f>
        <v>249987516.54000002</v>
      </c>
      <c r="E190" s="203">
        <f>SUM(E175:E189)</f>
        <v>174619296.82000002</v>
      </c>
      <c r="F190" s="90">
        <f>+E190/D190</f>
        <v>0.69851206666977517</v>
      </c>
      <c r="G190" s="203">
        <f>SUM(G175:G189)</f>
        <v>166004758.77000001</v>
      </c>
      <c r="H190" s="90">
        <f>+G190/D190</f>
        <v>0.66405219375599467</v>
      </c>
      <c r="I190" s="203">
        <f>SUM(I175:I189)</f>
        <v>69352282.780000001</v>
      </c>
      <c r="J190" s="170">
        <f>+I190/D190</f>
        <v>0.27742298391489112</v>
      </c>
      <c r="K190" s="568">
        <f>SUM(K175:K189)</f>
        <v>163970376.40000001</v>
      </c>
      <c r="L190" s="90">
        <v>0.7</v>
      </c>
      <c r="M190" s="629">
        <f t="shared" si="49"/>
        <v>1.2407011648477351E-2</v>
      </c>
      <c r="N190" s="568">
        <f>SUM(N175:N189)</f>
        <v>79537038.480000004</v>
      </c>
      <c r="O190" s="90">
        <v>0.34</v>
      </c>
      <c r="P190" s="213">
        <f t="shared" si="60"/>
        <v>-0.12805047679215531</v>
      </c>
    </row>
    <row r="191" spans="1:19" ht="14.1" customHeight="1" x14ac:dyDescent="0.25">
      <c r="A191" s="37" t="s">
        <v>707</v>
      </c>
      <c r="B191" s="38" t="s">
        <v>113</v>
      </c>
      <c r="C191" s="676">
        <v>22797084.350000001</v>
      </c>
      <c r="D191" s="190">
        <v>23363590.890000001</v>
      </c>
      <c r="E191" s="82">
        <v>9539661.5600000005</v>
      </c>
      <c r="F191" s="414">
        <f>+E191/D191</f>
        <v>0.40831315720748784</v>
      </c>
      <c r="G191" s="82">
        <v>8714161.5600000005</v>
      </c>
      <c r="H191" s="414">
        <f>+G191/D191</f>
        <v>0.37298040361294821</v>
      </c>
      <c r="I191" s="82">
        <v>6747895.8799999999</v>
      </c>
      <c r="J191" s="431">
        <f>+I191/D191</f>
        <v>0.28882100837025915</v>
      </c>
      <c r="K191" s="472">
        <v>9451810.9399999995</v>
      </c>
      <c r="L191" s="414">
        <v>0.4481</v>
      </c>
      <c r="M191" s="591">
        <f t="shared" si="49"/>
        <v>-7.8043179733766288E-2</v>
      </c>
      <c r="N191" s="472">
        <v>8031735.9199999999</v>
      </c>
      <c r="O191" s="414">
        <v>0.38080000000000003</v>
      </c>
      <c r="P191" s="591">
        <f t="shared" ref="P191:P196" si="66">+I191/N191-1</f>
        <v>-0.1598458979214048</v>
      </c>
    </row>
    <row r="192" spans="1:19" ht="14.1" customHeight="1" x14ac:dyDescent="0.25">
      <c r="A192" s="37" t="s">
        <v>708</v>
      </c>
      <c r="B192" s="38" t="s">
        <v>709</v>
      </c>
      <c r="C192" s="530">
        <v>7386447.1399999997</v>
      </c>
      <c r="D192" s="539">
        <v>6996896.0199999996</v>
      </c>
      <c r="E192" s="56">
        <v>2520635</v>
      </c>
      <c r="F192" s="48">
        <f t="shared" ref="F192:F210" si="67">+E192/D192</f>
        <v>0.36025045860264193</v>
      </c>
      <c r="G192" s="56">
        <v>1856652.41</v>
      </c>
      <c r="H192" s="414">
        <f t="shared" ref="H192:H210" si="68">+G192/D192</f>
        <v>0.26535372323569273</v>
      </c>
      <c r="I192" s="56">
        <v>1784243.35</v>
      </c>
      <c r="J192" s="431">
        <f t="shared" ref="J192:J210" si="69">+I192/D192</f>
        <v>0.25500498290955026</v>
      </c>
      <c r="K192" s="180">
        <v>3904545.61</v>
      </c>
      <c r="L192" s="48">
        <v>0.52349999999999997</v>
      </c>
      <c r="M192" s="210">
        <f t="shared" si="49"/>
        <v>-0.52448950647550507</v>
      </c>
      <c r="N192" s="180">
        <v>3384240.47</v>
      </c>
      <c r="O192" s="48">
        <v>0.45379999999999998</v>
      </c>
      <c r="P192" s="210">
        <f t="shared" si="66"/>
        <v>-0.47277879163238068</v>
      </c>
    </row>
    <row r="193" spans="1:21" ht="14.1" customHeight="1" x14ac:dyDescent="0.25">
      <c r="A193" s="39" t="s">
        <v>710</v>
      </c>
      <c r="B193" s="40" t="s">
        <v>711</v>
      </c>
      <c r="C193" s="200">
        <v>51339420.009999998</v>
      </c>
      <c r="D193" s="540">
        <v>52896120.5</v>
      </c>
      <c r="E193" s="137">
        <v>22062023.98</v>
      </c>
      <c r="F193" s="48">
        <f t="shared" si="67"/>
        <v>0.41708208033895416</v>
      </c>
      <c r="G193" s="137">
        <v>18656773.09</v>
      </c>
      <c r="H193" s="414">
        <f t="shared" si="68"/>
        <v>0.35270588681451603</v>
      </c>
      <c r="I193" s="137">
        <v>12332220.34</v>
      </c>
      <c r="J193" s="431">
        <f t="shared" si="69"/>
        <v>0.23314035553892842</v>
      </c>
      <c r="K193" s="34">
        <v>19784074.129999999</v>
      </c>
      <c r="L193" s="280">
        <v>0.42059999999999997</v>
      </c>
      <c r="M193" s="211">
        <f t="shared" si="49"/>
        <v>-5.6980227257165006E-2</v>
      </c>
      <c r="N193" s="34">
        <v>15245294.789999999</v>
      </c>
      <c r="O193" s="280">
        <v>0.3241</v>
      </c>
      <c r="P193" s="211">
        <f t="shared" si="66"/>
        <v>-0.19108023099105975</v>
      </c>
    </row>
    <row r="194" spans="1:21" ht="14.1" customHeight="1" x14ac:dyDescent="0.25">
      <c r="A194" s="39" t="s">
        <v>712</v>
      </c>
      <c r="B194" s="40" t="s">
        <v>713</v>
      </c>
      <c r="C194" s="200">
        <v>877692.04</v>
      </c>
      <c r="D194" s="540">
        <v>884664.91</v>
      </c>
      <c r="E194" s="137">
        <v>316330.77</v>
      </c>
      <c r="F194" s="48">
        <f t="shared" si="67"/>
        <v>0.35757128651118308</v>
      </c>
      <c r="G194" s="137">
        <v>311630.62</v>
      </c>
      <c r="H194" s="414">
        <f t="shared" si="68"/>
        <v>0.35225837091243961</v>
      </c>
      <c r="I194" s="137">
        <v>282166.86</v>
      </c>
      <c r="J194" s="431">
        <f t="shared" si="69"/>
        <v>0.31895337636936449</v>
      </c>
      <c r="K194" s="34">
        <v>367967.5</v>
      </c>
      <c r="L194" s="280">
        <v>0.50690000000000002</v>
      </c>
      <c r="M194" s="211">
        <f t="shared" si="49"/>
        <v>-0.15310286913925819</v>
      </c>
      <c r="N194" s="34">
        <v>346910.61</v>
      </c>
      <c r="O194" s="280">
        <v>0.47789999999999999</v>
      </c>
      <c r="P194" s="211">
        <f t="shared" si="66"/>
        <v>-0.18662948936615109</v>
      </c>
    </row>
    <row r="195" spans="1:21" ht="14.1" customHeight="1" x14ac:dyDescent="0.25">
      <c r="A195" s="39" t="s">
        <v>714</v>
      </c>
      <c r="B195" s="40" t="s">
        <v>715</v>
      </c>
      <c r="C195" s="200">
        <v>4144550.55</v>
      </c>
      <c r="D195" s="540">
        <v>4181555.24</v>
      </c>
      <c r="E195" s="137">
        <v>1828434.22</v>
      </c>
      <c r="F195" s="48">
        <f t="shared" si="67"/>
        <v>0.43726176387902982</v>
      </c>
      <c r="G195" s="137">
        <v>1490296.74</v>
      </c>
      <c r="H195" s="414">
        <f t="shared" si="68"/>
        <v>0.35639771675000037</v>
      </c>
      <c r="I195" s="137">
        <v>1223687.2</v>
      </c>
      <c r="J195" s="431">
        <f t="shared" si="69"/>
        <v>0.29263925256670764</v>
      </c>
      <c r="K195" s="34">
        <v>1834834.53</v>
      </c>
      <c r="L195" s="280">
        <v>0.43009999999999998</v>
      </c>
      <c r="M195" s="211">
        <f t="shared" si="49"/>
        <v>-0.18777594620480575</v>
      </c>
      <c r="N195" s="34">
        <v>1552675.72</v>
      </c>
      <c r="O195" s="280">
        <v>0.36399999999999999</v>
      </c>
      <c r="P195" s="211">
        <f t="shared" si="66"/>
        <v>-0.21188488733500643</v>
      </c>
    </row>
    <row r="196" spans="1:21" ht="14.1" customHeight="1" x14ac:dyDescent="0.25">
      <c r="A196" s="39" t="s">
        <v>716</v>
      </c>
      <c r="B196" s="40" t="s">
        <v>717</v>
      </c>
      <c r="C196" s="200">
        <v>7218581.6100000003</v>
      </c>
      <c r="D196" s="540">
        <v>7260705.21</v>
      </c>
      <c r="E196" s="137">
        <v>3437221.45</v>
      </c>
      <c r="F196" s="48">
        <f t="shared" si="67"/>
        <v>0.47340049631349795</v>
      </c>
      <c r="G196" s="137">
        <v>2908744.82</v>
      </c>
      <c r="H196" s="414">
        <f t="shared" si="68"/>
        <v>0.40061464222426402</v>
      </c>
      <c r="I196" s="137">
        <v>2276643.41</v>
      </c>
      <c r="J196" s="431">
        <f t="shared" si="69"/>
        <v>0.31355678879021726</v>
      </c>
      <c r="K196" s="34">
        <v>2322227.36</v>
      </c>
      <c r="L196" s="280">
        <v>0.35260000000000002</v>
      </c>
      <c r="M196" s="211">
        <f>+G196/K196-1</f>
        <v>0.25256676848385773</v>
      </c>
      <c r="N196" s="34">
        <v>2175370.33</v>
      </c>
      <c r="O196" s="280">
        <v>0.33029999999999998</v>
      </c>
      <c r="P196" s="211">
        <f t="shared" si="66"/>
        <v>4.6554408968150218E-2</v>
      </c>
      <c r="T196" s="254"/>
      <c r="U196" s="254"/>
    </row>
    <row r="197" spans="1:21" ht="14.1" customHeight="1" x14ac:dyDescent="0.25">
      <c r="A197" s="39" t="s">
        <v>718</v>
      </c>
      <c r="B197" s="40" t="s">
        <v>719</v>
      </c>
      <c r="C197" s="200">
        <v>1128377.3799999999</v>
      </c>
      <c r="D197" s="540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720</v>
      </c>
      <c r="B198" s="40" t="s">
        <v>721</v>
      </c>
      <c r="C198" s="200">
        <v>2204546.69</v>
      </c>
      <c r="D198" s="540">
        <v>2309210.9900000002</v>
      </c>
      <c r="E198" s="137">
        <v>1086039.1200000001</v>
      </c>
      <c r="F198" s="48">
        <f t="shared" si="67"/>
        <v>0.47030744470863617</v>
      </c>
      <c r="G198" s="137">
        <v>993420.80000000005</v>
      </c>
      <c r="H198" s="414">
        <f t="shared" si="68"/>
        <v>0.43019923441469504</v>
      </c>
      <c r="I198" s="137">
        <v>610952.14</v>
      </c>
      <c r="J198" s="431">
        <f t="shared" si="69"/>
        <v>0.26457181376916966</v>
      </c>
      <c r="K198" s="34">
        <v>1034902.57</v>
      </c>
      <c r="L198" s="280">
        <v>0.48180000000000001</v>
      </c>
      <c r="M198" s="211">
        <f t="shared" si="49"/>
        <v>-4.0082778033878053E-2</v>
      </c>
      <c r="N198" s="34">
        <v>812384.9</v>
      </c>
      <c r="O198" s="280">
        <v>0.37819999999999998</v>
      </c>
      <c r="P198" s="211">
        <f>+I198/N198-1</f>
        <v>-0.24795236839089452</v>
      </c>
      <c r="T198" s="254"/>
      <c r="U198" s="254"/>
    </row>
    <row r="199" spans="1:21" ht="14.1" customHeight="1" x14ac:dyDescent="0.25">
      <c r="A199" s="39" t="s">
        <v>722</v>
      </c>
      <c r="B199" s="42" t="s">
        <v>723</v>
      </c>
      <c r="C199" s="200">
        <v>14812972.529999999</v>
      </c>
      <c r="D199" s="540">
        <v>14860449.24</v>
      </c>
      <c r="E199" s="137">
        <v>9417870.1600000001</v>
      </c>
      <c r="F199" s="48">
        <f t="shared" si="67"/>
        <v>0.63375406812398627</v>
      </c>
      <c r="G199" s="137">
        <v>3217962.07</v>
      </c>
      <c r="H199" s="414">
        <f t="shared" si="68"/>
        <v>0.21654540976716796</v>
      </c>
      <c r="I199" s="137">
        <v>1089043.94</v>
      </c>
      <c r="J199" s="431">
        <f t="shared" si="69"/>
        <v>7.3284725273890836E-2</v>
      </c>
      <c r="K199" s="34">
        <v>3147467.2</v>
      </c>
      <c r="L199" s="390">
        <v>0.32379999999999998</v>
      </c>
      <c r="M199" s="520">
        <f t="shared" si="49"/>
        <v>2.2397332687057014E-2</v>
      </c>
      <c r="N199" s="34">
        <v>1406489.45</v>
      </c>
      <c r="O199" s="390">
        <v>0.1447</v>
      </c>
      <c r="P199" s="520">
        <f>+I199/N199-1</f>
        <v>-0.22570059803861309</v>
      </c>
      <c r="T199" s="254"/>
      <c r="U199" s="254"/>
    </row>
    <row r="200" spans="1:21" ht="14.1" customHeight="1" x14ac:dyDescent="0.25">
      <c r="A200" s="39" t="s">
        <v>724</v>
      </c>
      <c r="B200" s="677" t="s">
        <v>725</v>
      </c>
      <c r="C200" s="678">
        <v>871764.12</v>
      </c>
      <c r="D200" s="540">
        <v>881894.41</v>
      </c>
      <c r="E200" s="137">
        <v>23533.3</v>
      </c>
      <c r="F200" s="48">
        <f t="shared" si="67"/>
        <v>2.6684940660866643E-2</v>
      </c>
      <c r="G200" s="681">
        <v>8533.2999999999993</v>
      </c>
      <c r="H200" s="414">
        <f t="shared" si="68"/>
        <v>9.6761017002024077E-3</v>
      </c>
      <c r="I200" s="681">
        <v>403.01</v>
      </c>
      <c r="J200" s="431">
        <f t="shared" si="69"/>
        <v>4.5698214596915293E-4</v>
      </c>
      <c r="K200" s="675">
        <v>0</v>
      </c>
      <c r="L200" s="674" t="s">
        <v>129</v>
      </c>
      <c r="M200" s="679" t="s">
        <v>129</v>
      </c>
      <c r="N200" s="675">
        <v>0</v>
      </c>
      <c r="O200" s="674" t="s">
        <v>129</v>
      </c>
      <c r="P200" s="679" t="s">
        <v>129</v>
      </c>
      <c r="T200" s="254"/>
      <c r="U200" s="254"/>
    </row>
    <row r="201" spans="1:21" ht="14.1" customHeight="1" x14ac:dyDescent="0.25">
      <c r="A201" s="39" t="s">
        <v>726</v>
      </c>
      <c r="B201" s="40" t="s">
        <v>727</v>
      </c>
      <c r="C201" s="200">
        <v>16719312.35</v>
      </c>
      <c r="D201" s="540">
        <v>16906629.129999999</v>
      </c>
      <c r="E201" s="137">
        <v>8175473.7999999998</v>
      </c>
      <c r="F201" s="48">
        <f t="shared" si="67"/>
        <v>0.48356616432148591</v>
      </c>
      <c r="G201" s="137">
        <v>8120995.0599999996</v>
      </c>
      <c r="H201" s="414">
        <f t="shared" si="68"/>
        <v>0.48034383421764926</v>
      </c>
      <c r="I201" s="137">
        <v>4229035.5599999996</v>
      </c>
      <c r="J201" s="431">
        <f t="shared" si="69"/>
        <v>0.25014067130009848</v>
      </c>
      <c r="K201" s="34">
        <v>9610166.4000000004</v>
      </c>
      <c r="L201" s="280">
        <v>0.66169999999999995</v>
      </c>
      <c r="M201" s="211">
        <f>+G201/K201-1</f>
        <v>-0.15495791415224613</v>
      </c>
      <c r="N201" s="34">
        <v>4475289.5199999996</v>
      </c>
      <c r="O201" s="280">
        <v>0.30819999999999997</v>
      </c>
      <c r="P201" s="211">
        <f>+I201/N201-1</f>
        <v>-5.5025257896610946E-2</v>
      </c>
      <c r="T201" s="254"/>
      <c r="U201" s="254"/>
    </row>
    <row r="202" spans="1:21" ht="14.1" customHeight="1" x14ac:dyDescent="0.25">
      <c r="A202" s="39" t="s">
        <v>728</v>
      </c>
      <c r="B202" s="40" t="s">
        <v>729</v>
      </c>
      <c r="C202" s="200">
        <v>22448323.75</v>
      </c>
      <c r="D202" s="540">
        <v>22718049.93</v>
      </c>
      <c r="E202" s="137">
        <v>13877768.609999999</v>
      </c>
      <c r="F202" s="48">
        <f t="shared" si="67"/>
        <v>0.61086971165046644</v>
      </c>
      <c r="G202" s="137">
        <v>10080764.119999999</v>
      </c>
      <c r="H202" s="414">
        <f t="shared" si="68"/>
        <v>0.44373368977801164</v>
      </c>
      <c r="I202" s="137">
        <v>3237913.6</v>
      </c>
      <c r="J202" s="431">
        <f t="shared" si="69"/>
        <v>0.14252603590435017</v>
      </c>
      <c r="K202" s="34">
        <v>6275920.0800000001</v>
      </c>
      <c r="L202" s="280">
        <v>0.28539999999999999</v>
      </c>
      <c r="M202" s="211">
        <f>+G202/K202-1</f>
        <v>0.60626075404070456</v>
      </c>
      <c r="N202" s="34">
        <v>3082344.15</v>
      </c>
      <c r="O202" s="280">
        <v>0.14019999999999999</v>
      </c>
      <c r="P202" s="211">
        <f>+I202/N202-1</f>
        <v>5.047114871971714E-2</v>
      </c>
      <c r="T202" s="254"/>
      <c r="U202" s="254"/>
    </row>
    <row r="203" spans="1:21" ht="14.1" customHeight="1" x14ac:dyDescent="0.25">
      <c r="A203" s="39" t="s">
        <v>730</v>
      </c>
      <c r="B203" s="40" t="s">
        <v>731</v>
      </c>
      <c r="C203" s="200">
        <v>42228054.409999996</v>
      </c>
      <c r="D203" s="540">
        <v>47163839.310000002</v>
      </c>
      <c r="E203" s="137">
        <v>38470202.729999997</v>
      </c>
      <c r="F203" s="48">
        <f t="shared" si="67"/>
        <v>0.81567156730269152</v>
      </c>
      <c r="G203" s="137">
        <v>38252315.609999999</v>
      </c>
      <c r="H203" s="414">
        <f t="shared" si="68"/>
        <v>0.81105177546242468</v>
      </c>
      <c r="I203" s="137">
        <v>13367027.66</v>
      </c>
      <c r="J203" s="431">
        <f t="shared" si="69"/>
        <v>0.28341686884608291</v>
      </c>
      <c r="K203" s="34">
        <v>26782124.75</v>
      </c>
      <c r="L203" s="280">
        <v>0.73680000000000001</v>
      </c>
      <c r="M203" s="211">
        <f>+G203/K203-1</f>
        <v>0.42827785200276169</v>
      </c>
      <c r="N203" s="34">
        <v>11000000</v>
      </c>
      <c r="O203" s="280">
        <v>0.30259999999999998</v>
      </c>
      <c r="P203" s="211">
        <f>+I203/N203-1</f>
        <v>0.21518433272727266</v>
      </c>
    </row>
    <row r="204" spans="1:21" ht="14.1" customHeight="1" x14ac:dyDescent="0.25">
      <c r="A204" s="39" t="s">
        <v>732</v>
      </c>
      <c r="B204" s="40" t="s">
        <v>733</v>
      </c>
      <c r="C204" s="200">
        <v>13647818.9</v>
      </c>
      <c r="D204" s="540">
        <v>9829606.0399999991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734</v>
      </c>
      <c r="B205" s="40" t="s">
        <v>735</v>
      </c>
      <c r="C205" s="200">
        <v>30916505.399999999</v>
      </c>
      <c r="D205" s="540">
        <v>13498929.6</v>
      </c>
      <c r="E205" s="137">
        <v>2428.0500000000002</v>
      </c>
      <c r="F205" s="48">
        <f t="shared" si="67"/>
        <v>1.7986981723350866E-4</v>
      </c>
      <c r="G205" s="137">
        <v>2428.0500000000002</v>
      </c>
      <c r="H205" s="414">
        <f t="shared" si="68"/>
        <v>1.7986981723350866E-4</v>
      </c>
      <c r="I205" s="137">
        <v>2428.0500000000002</v>
      </c>
      <c r="J205" s="431">
        <f t="shared" si="69"/>
        <v>1.7986981723350866E-4</v>
      </c>
      <c r="K205" s="34">
        <v>9208474.9600000009</v>
      </c>
      <c r="L205" s="280">
        <v>0.77049999999999996</v>
      </c>
      <c r="M205" s="211">
        <f t="shared" ref="M205:M210" si="70">+G205/K205-1</f>
        <v>-0.99973632441739302</v>
      </c>
      <c r="N205" s="34">
        <v>9208474.9600000009</v>
      </c>
      <c r="O205" s="280">
        <v>0.77049999999999996</v>
      </c>
      <c r="P205" s="211">
        <f>+I205/N205-1</f>
        <v>-0.99973632441739302</v>
      </c>
    </row>
    <row r="206" spans="1:21" ht="14.1" customHeight="1" x14ac:dyDescent="0.25">
      <c r="A206" s="253">
        <v>9311</v>
      </c>
      <c r="B206" s="40" t="s">
        <v>736</v>
      </c>
      <c r="C206" s="200">
        <v>5805408.6299999999</v>
      </c>
      <c r="D206" s="540">
        <v>5139664.4800000004</v>
      </c>
      <c r="E206" s="137">
        <v>2064386.6</v>
      </c>
      <c r="F206" s="48">
        <f t="shared" si="67"/>
        <v>0.40165785296553053</v>
      </c>
      <c r="G206" s="137">
        <v>1985239.1</v>
      </c>
      <c r="H206" s="414">
        <f t="shared" si="68"/>
        <v>0.38625850144988449</v>
      </c>
      <c r="I206" s="137">
        <v>1398015.96</v>
      </c>
      <c r="J206" s="431">
        <f t="shared" si="69"/>
        <v>0.27200529634572562</v>
      </c>
      <c r="K206" s="34">
        <v>2154156.2799999998</v>
      </c>
      <c r="L206" s="280">
        <v>0.44290000000000002</v>
      </c>
      <c r="M206" s="211">
        <f t="shared" si="70"/>
        <v>-7.841454288543992E-2</v>
      </c>
      <c r="N206" s="34">
        <v>1652890.27</v>
      </c>
      <c r="O206" s="280">
        <v>0.33979999999999999</v>
      </c>
      <c r="P206" s="211">
        <f t="shared" ref="P206:P210" si="71">+I206/N206-1</f>
        <v>-0.15419917137028105</v>
      </c>
    </row>
    <row r="207" spans="1:21" ht="14.1" customHeight="1" x14ac:dyDescent="0.25">
      <c r="A207" s="39" t="s">
        <v>737</v>
      </c>
      <c r="B207" s="40" t="s">
        <v>738</v>
      </c>
      <c r="C207" s="200">
        <v>28425422.43</v>
      </c>
      <c r="D207" s="540">
        <v>28426191.640000001</v>
      </c>
      <c r="E207" s="137">
        <v>26765728.109999999</v>
      </c>
      <c r="F207" s="48">
        <f t="shared" si="67"/>
        <v>0.9415868452929349</v>
      </c>
      <c r="G207" s="137">
        <v>26619324.84</v>
      </c>
      <c r="H207" s="414">
        <f t="shared" si="68"/>
        <v>0.93643655038695151</v>
      </c>
      <c r="I207" s="137">
        <v>7023926.2199999997</v>
      </c>
      <c r="J207" s="431">
        <f t="shared" si="69"/>
        <v>0.2470934660876718</v>
      </c>
      <c r="K207" s="34">
        <v>24743734.079999998</v>
      </c>
      <c r="L207" s="280">
        <v>0.89049999999999996</v>
      </c>
      <c r="M207" s="211">
        <f t="shared" si="70"/>
        <v>7.5800635180444109E-2</v>
      </c>
      <c r="N207" s="34">
        <v>7955284.3899999997</v>
      </c>
      <c r="O207" s="280">
        <v>0.2863</v>
      </c>
      <c r="P207" s="211">
        <f t="shared" si="71"/>
        <v>-0.11707415151251432</v>
      </c>
    </row>
    <row r="208" spans="1:21" ht="14.1" customHeight="1" x14ac:dyDescent="0.25">
      <c r="A208" s="39" t="s">
        <v>739</v>
      </c>
      <c r="B208" s="40" t="s">
        <v>740</v>
      </c>
      <c r="C208" s="200">
        <v>68365574.019999996</v>
      </c>
      <c r="D208" s="540">
        <v>67791575.939999998</v>
      </c>
      <c r="E208" s="137">
        <v>60374184.200000003</v>
      </c>
      <c r="F208" s="48">
        <f t="shared" si="67"/>
        <v>0.89058534726254379</v>
      </c>
      <c r="G208" s="137">
        <v>59277580.479999997</v>
      </c>
      <c r="H208" s="414">
        <f t="shared" si="68"/>
        <v>0.87440924123765107</v>
      </c>
      <c r="I208" s="137">
        <v>15796458.09</v>
      </c>
      <c r="J208" s="431">
        <f t="shared" si="69"/>
        <v>0.23301505933393413</v>
      </c>
      <c r="K208" s="34">
        <v>56909780.149999999</v>
      </c>
      <c r="L208" s="280">
        <v>0.85389999999999999</v>
      </c>
      <c r="M208" s="211">
        <f t="shared" si="70"/>
        <v>4.1606211160174267E-2</v>
      </c>
      <c r="N208" s="34">
        <v>14969353.710000001</v>
      </c>
      <c r="O208" s="280">
        <v>0.22459999999999999</v>
      </c>
      <c r="P208" s="211">
        <f t="shared" si="71"/>
        <v>5.5253178996463204E-2</v>
      </c>
    </row>
    <row r="209" spans="1:19" ht="14.1" customHeight="1" x14ac:dyDescent="0.25">
      <c r="A209" s="39" t="s">
        <v>741</v>
      </c>
      <c r="B209" s="40" t="s">
        <v>117</v>
      </c>
      <c r="C209" s="200">
        <v>799840.54</v>
      </c>
      <c r="D209" s="540">
        <v>801333.05</v>
      </c>
      <c r="E209" s="137">
        <v>261194.43</v>
      </c>
      <c r="F209" s="48">
        <f t="shared" si="67"/>
        <v>0.32594990310208716</v>
      </c>
      <c r="G209" s="137">
        <v>261194.43</v>
      </c>
      <c r="H209" s="414">
        <f t="shared" si="68"/>
        <v>0.32594990310208716</v>
      </c>
      <c r="I209" s="137">
        <v>261194.43</v>
      </c>
      <c r="J209" s="431">
        <f t="shared" si="69"/>
        <v>0.32594990310208716</v>
      </c>
      <c r="K209" s="34">
        <v>332207.76</v>
      </c>
      <c r="L209" s="280">
        <v>0.4163</v>
      </c>
      <c r="M209" s="211">
        <f t="shared" si="70"/>
        <v>-0.2137618037579857</v>
      </c>
      <c r="N209" s="34">
        <v>332207.76</v>
      </c>
      <c r="O209" s="280">
        <v>0.4163</v>
      </c>
      <c r="P209" s="211">
        <f t="shared" si="71"/>
        <v>-0.2137618037579857</v>
      </c>
    </row>
    <row r="210" spans="1:19" ht="14.1" customHeight="1" x14ac:dyDescent="0.25">
      <c r="A210" s="250">
        <v>9431</v>
      </c>
      <c r="B210" s="42" t="s">
        <v>742</v>
      </c>
      <c r="C210" s="200">
        <v>97687346.239999995</v>
      </c>
      <c r="D210" s="540">
        <v>97687346.239999995</v>
      </c>
      <c r="E210" s="137">
        <v>89498375.260000005</v>
      </c>
      <c r="F210" s="78">
        <f t="shared" si="67"/>
        <v>0.91617163025514914</v>
      </c>
      <c r="G210" s="137">
        <v>89498375.260000005</v>
      </c>
      <c r="H210" s="414">
        <f t="shared" si="68"/>
        <v>0.91617163025514914</v>
      </c>
      <c r="I210" s="137">
        <v>23451866.84</v>
      </c>
      <c r="J210" s="431">
        <f t="shared" si="69"/>
        <v>0.24007067181846706</v>
      </c>
      <c r="K210" s="34">
        <v>84274401.209999993</v>
      </c>
      <c r="L210" s="78">
        <v>0.94589999999999996</v>
      </c>
      <c r="M210" s="520">
        <f t="shared" si="70"/>
        <v>6.1987673302864588E-2</v>
      </c>
      <c r="N210" s="34">
        <v>29447490.739999998</v>
      </c>
      <c r="O210" s="78">
        <v>0.33050000000000002</v>
      </c>
      <c r="P210" s="520">
        <f t="shared" si="71"/>
        <v>-0.20360389796662171</v>
      </c>
    </row>
    <row r="211" spans="1:19" ht="14.1" customHeight="1" thickBot="1" x14ac:dyDescent="0.3">
      <c r="A211" s="18">
        <v>9</v>
      </c>
      <c r="B211" s="2" t="s">
        <v>535</v>
      </c>
      <c r="C211" s="519">
        <f>SUM(C191:C210)</f>
        <v>439825043.08999997</v>
      </c>
      <c r="D211" s="207">
        <f>SUM(D191:D210)</f>
        <v>423598252.76999998</v>
      </c>
      <c r="E211" s="203">
        <f>SUM(E191:E210)</f>
        <v>289721491.34999996</v>
      </c>
      <c r="F211" s="535">
        <f t="shared" si="57"/>
        <v>0.68395346169501148</v>
      </c>
      <c r="G211" s="203">
        <f>SUM(G191:G210)</f>
        <v>272256392.36000001</v>
      </c>
      <c r="H211" s="535">
        <f t="shared" si="58"/>
        <v>0.64272312404420218</v>
      </c>
      <c r="I211" s="203">
        <f>SUM(I191:I210)</f>
        <v>95115122.540000007</v>
      </c>
      <c r="J211" s="536">
        <f t="shared" si="59"/>
        <v>0.22454087550650123</v>
      </c>
      <c r="K211" s="619">
        <f>SUM(K191:K210)</f>
        <v>262138795.50999999</v>
      </c>
      <c r="L211" s="90">
        <v>0.69666207971108662</v>
      </c>
      <c r="M211" s="43">
        <f t="shared" si="49"/>
        <v>3.8596335312809815E-2</v>
      </c>
      <c r="N211" s="619">
        <f>SUM(N191:N210)</f>
        <v>115078437.69</v>
      </c>
      <c r="O211" s="90">
        <v>0.30583334136041596</v>
      </c>
      <c r="P211" s="43">
        <f t="shared" si="60"/>
        <v>-0.17347572273945411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2167207736.5999999</v>
      </c>
      <c r="E212" s="209">
        <f>E86+E121+E149+E174+E190+E211</f>
        <v>1578286066.5299997</v>
      </c>
      <c r="F212" s="181">
        <f>+E212/D212</f>
        <v>0.72825785912248386</v>
      </c>
      <c r="G212" s="209">
        <f>G86+G121+G149+G174+G190+G211</f>
        <v>1518054661.3600001</v>
      </c>
      <c r="H212" s="181">
        <f>+G212/D212</f>
        <v>0.70046568943205401</v>
      </c>
      <c r="I212" s="209">
        <f>I86+I121+I149+I174+I190+I211</f>
        <v>518781128.24000007</v>
      </c>
      <c r="J212" s="173">
        <f>+I212/D212</f>
        <v>0.23937766531503996</v>
      </c>
      <c r="K212" s="620">
        <f>K86+K121+K149+K174+K190+K211</f>
        <v>1441461481.1200001</v>
      </c>
      <c r="L212" s="181">
        <v>0.71929028847603205</v>
      </c>
      <c r="M212" s="621">
        <f t="shared" si="49"/>
        <v>5.3135780069882843E-2</v>
      </c>
      <c r="N212" s="620">
        <f>N211+N190+N174+N149+N121+N86</f>
        <v>594238020.09000003</v>
      </c>
      <c r="O212" s="181">
        <v>0.29652518814575191</v>
      </c>
      <c r="P212" s="621">
        <f>+I212/N212-1</f>
        <v>-0.12698092228863389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20" spans="1:19" x14ac:dyDescent="0.25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topLeftCell="D34" zoomScaleNormal="100" workbookViewId="0">
      <selection activeCell="I34" sqref="I34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60" t="s">
        <v>19</v>
      </c>
      <c r="K1" s="97"/>
    </row>
    <row r="2" spans="1:15" ht="12.75" customHeight="1" x14ac:dyDescent="0.25">
      <c r="A2" s="461" t="s">
        <v>534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65" t="s">
        <v>465</v>
      </c>
      <c r="B29" s="766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XFD139"/>
  <sheetViews>
    <sheetView topLeftCell="A41" zoomScaleNormal="100" workbookViewId="0">
      <pane xSplit="1" topLeftCell="D1" activePane="topRight" state="frozen"/>
      <selection activeCell="N21" sqref="N21"/>
      <selection pane="topRight" activeCell="I44" sqref="I44:I47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70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23" t="s">
        <v>362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4" t="s">
        <v>766</v>
      </c>
      <c r="N4" s="564" t="s">
        <v>17</v>
      </c>
      <c r="O4" s="89" t="s">
        <v>18</v>
      </c>
      <c r="P4" s="624" t="s">
        <v>766</v>
      </c>
    </row>
    <row r="5" spans="1:16384" ht="15" customHeight="1" x14ac:dyDescent="0.25">
      <c r="A5" s="29">
        <v>1</v>
      </c>
      <c r="B5" s="21" t="s">
        <v>512</v>
      </c>
      <c r="C5" s="198">
        <v>150522241.06999999</v>
      </c>
      <c r="D5" s="204">
        <v>155033334.84999999</v>
      </c>
      <c r="E5" s="30">
        <v>100603915.88</v>
      </c>
      <c r="F5" s="48">
        <f t="shared" ref="F5:F16" si="0">+E5/D5</f>
        <v>0.64891796320667228</v>
      </c>
      <c r="G5" s="30">
        <v>92550130.38000001</v>
      </c>
      <c r="H5" s="48">
        <f t="shared" ref="H5:H16" si="1">+G5/D5</f>
        <v>0.59696922903416483</v>
      </c>
      <c r="I5" s="30">
        <v>35127018.200000003</v>
      </c>
      <c r="J5" s="153">
        <f t="shared" ref="J5:J16" si="2">+I5/D5</f>
        <v>0.22657719537534676</v>
      </c>
      <c r="K5" s="578">
        <v>92185217.929999992</v>
      </c>
      <c r="L5" s="48">
        <v>0.62977539530593685</v>
      </c>
      <c r="M5" s="625">
        <f>+G5/K5-1</f>
        <v>3.9584703295609813E-3</v>
      </c>
      <c r="N5" s="578">
        <v>43074759.350000001</v>
      </c>
      <c r="O5" s="48">
        <v>0.29427086257965257</v>
      </c>
      <c r="P5" s="625">
        <f t="shared" ref="P5:P16" si="3">+I5/N5-1</f>
        <v>-0.18451040168144317</v>
      </c>
    </row>
    <row r="6" spans="1:16384" ht="15" customHeight="1" x14ac:dyDescent="0.25">
      <c r="A6" s="31">
        <v>2</v>
      </c>
      <c r="B6" s="23" t="s">
        <v>513</v>
      </c>
      <c r="C6" s="199">
        <v>349217889.70999998</v>
      </c>
      <c r="D6" s="204">
        <v>354489967.38</v>
      </c>
      <c r="E6" s="30">
        <v>308386794.36000001</v>
      </c>
      <c r="F6" s="48">
        <f t="shared" si="0"/>
        <v>0.86994505553783674</v>
      </c>
      <c r="G6" s="30">
        <v>295072952.95999998</v>
      </c>
      <c r="H6" s="280">
        <f t="shared" si="1"/>
        <v>0.83238731730789095</v>
      </c>
      <c r="I6" s="30">
        <v>107796122.52</v>
      </c>
      <c r="J6" s="178">
        <f t="shared" si="2"/>
        <v>0.30408793601892431</v>
      </c>
      <c r="K6" s="578">
        <v>254502304.68000001</v>
      </c>
      <c r="L6" s="48">
        <v>0.87609820991054277</v>
      </c>
      <c r="M6" s="626">
        <f t="shared" ref="M6:M29" si="4">+G6/K6-1</f>
        <v>0.1594117127191117</v>
      </c>
      <c r="N6" s="578">
        <v>110229790.94</v>
      </c>
      <c r="O6" s="48">
        <v>0.37945480549880639</v>
      </c>
      <c r="P6" s="626">
        <f t="shared" si="3"/>
        <v>-2.2078136946886651E-2</v>
      </c>
    </row>
    <row r="7" spans="1:16384" ht="15" customHeight="1" x14ac:dyDescent="0.25">
      <c r="A7" s="31">
        <v>3</v>
      </c>
      <c r="B7" s="23" t="s">
        <v>773</v>
      </c>
      <c r="C7" s="199">
        <v>220166239.43000001</v>
      </c>
      <c r="D7" s="204">
        <v>222264742.78999999</v>
      </c>
      <c r="E7" s="30">
        <v>139964665.56999999</v>
      </c>
      <c r="F7" s="48">
        <f t="shared" si="0"/>
        <v>0.62972050273507074</v>
      </c>
      <c r="G7" s="30">
        <v>137528966.44999999</v>
      </c>
      <c r="H7" s="280">
        <f t="shared" si="1"/>
        <v>0.61876195353187435</v>
      </c>
      <c r="I7" s="30">
        <v>43000767.990000002</v>
      </c>
      <c r="J7" s="178">
        <f t="shared" si="2"/>
        <v>0.19346643759252433</v>
      </c>
      <c r="K7" s="578">
        <v>0</v>
      </c>
      <c r="L7" s="48" t="s">
        <v>129</v>
      </c>
      <c r="M7" s="626" t="s">
        <v>129</v>
      </c>
      <c r="N7" s="578">
        <v>0</v>
      </c>
      <c r="O7" s="48" t="s">
        <v>129</v>
      </c>
      <c r="P7" s="626" t="s">
        <v>129</v>
      </c>
    </row>
    <row r="8" spans="1:16384" ht="15" customHeight="1" x14ac:dyDescent="0.25">
      <c r="A8" s="31">
        <v>4</v>
      </c>
      <c r="B8" s="23" t="s">
        <v>514</v>
      </c>
      <c r="C8" s="199">
        <v>241357694.44</v>
      </c>
      <c r="D8" s="204">
        <v>239721616.05000001</v>
      </c>
      <c r="E8" s="30">
        <v>86093883.390000001</v>
      </c>
      <c r="F8" s="48">
        <f t="shared" si="0"/>
        <v>0.35914109377621978</v>
      </c>
      <c r="G8" s="30">
        <v>84223671.569999993</v>
      </c>
      <c r="H8" s="280">
        <f t="shared" si="1"/>
        <v>0.35133949519359581</v>
      </c>
      <c r="I8" s="30">
        <v>72489384</v>
      </c>
      <c r="J8" s="178">
        <f t="shared" si="2"/>
        <v>0.3023898520060056</v>
      </c>
      <c r="K8" s="578">
        <v>107403058.52</v>
      </c>
      <c r="L8" s="48">
        <v>0.45844106728648248</v>
      </c>
      <c r="M8" s="626">
        <f t="shared" si="4"/>
        <v>-0.21581682374234867</v>
      </c>
      <c r="N8" s="578">
        <v>94928256.790000007</v>
      </c>
      <c r="O8" s="48">
        <v>0.40519340843863411</v>
      </c>
      <c r="P8" s="626">
        <f t="shared" si="3"/>
        <v>-0.23637717102126099</v>
      </c>
    </row>
    <row r="9" spans="1:16384" ht="15" customHeight="1" x14ac:dyDescent="0.25">
      <c r="A9" s="131" t="s">
        <v>420</v>
      </c>
      <c r="B9" s="23" t="s">
        <v>515</v>
      </c>
      <c r="C9" s="199">
        <v>65215120.890000001</v>
      </c>
      <c r="D9" s="204">
        <v>60432573.229999997</v>
      </c>
      <c r="E9" s="30">
        <v>37171190.409999996</v>
      </c>
      <c r="F9" s="48">
        <f t="shared" si="0"/>
        <v>0.61508534922930336</v>
      </c>
      <c r="G9" s="30">
        <v>35232147.770000003</v>
      </c>
      <c r="H9" s="280">
        <f t="shared" si="1"/>
        <v>0.58299929800953809</v>
      </c>
      <c r="I9" s="30">
        <v>12887993.73</v>
      </c>
      <c r="J9" s="178">
        <f t="shared" si="2"/>
        <v>0.21326236897028455</v>
      </c>
      <c r="K9" s="578">
        <v>30275461.48</v>
      </c>
      <c r="L9" s="48">
        <v>0.59070616419638289</v>
      </c>
      <c r="M9" s="627">
        <f t="shared" si="4"/>
        <v>0.16371959493579946</v>
      </c>
      <c r="N9" s="578">
        <v>13942033.07</v>
      </c>
      <c r="O9" s="48">
        <v>0.27202376027593489</v>
      </c>
      <c r="P9" s="627">
        <f t="shared" si="3"/>
        <v>-7.5601552134318628E-2</v>
      </c>
    </row>
    <row r="10" spans="1:16384" ht="15" customHeight="1" x14ac:dyDescent="0.25">
      <c r="A10" s="131" t="s">
        <v>419</v>
      </c>
      <c r="B10" s="23" t="s">
        <v>516</v>
      </c>
      <c r="C10" s="199">
        <v>286675054.51999998</v>
      </c>
      <c r="D10" s="204">
        <v>286919847.67000002</v>
      </c>
      <c r="E10" s="30">
        <v>270394153.43000001</v>
      </c>
      <c r="F10" s="48">
        <f t="shared" si="0"/>
        <v>0.94240309837677394</v>
      </c>
      <c r="G10" s="30">
        <v>269248189.76999998</v>
      </c>
      <c r="H10" s="280">
        <f t="shared" si="1"/>
        <v>0.93840907820247754</v>
      </c>
      <c r="I10" s="30">
        <v>45156984.280000001</v>
      </c>
      <c r="J10" s="178">
        <f t="shared" si="2"/>
        <v>0.15738536266036629</v>
      </c>
      <c r="K10" s="578">
        <v>269116385.73000002</v>
      </c>
      <c r="L10" s="48">
        <v>0.80653860349216278</v>
      </c>
      <c r="M10" s="625">
        <f t="shared" si="4"/>
        <v>4.8976594138783192E-4</v>
      </c>
      <c r="N10" s="578">
        <v>49901039.490000002</v>
      </c>
      <c r="O10" s="48">
        <v>0.14955282114798885</v>
      </c>
      <c r="P10" s="625">
        <f t="shared" si="3"/>
        <v>-9.5069266261491259E-2</v>
      </c>
    </row>
    <row r="11" spans="1:16384" ht="15" customHeight="1" x14ac:dyDescent="0.25">
      <c r="A11" s="131" t="s">
        <v>443</v>
      </c>
      <c r="B11" s="23" t="s">
        <v>517</v>
      </c>
      <c r="C11" s="199">
        <v>4757330.3899999997</v>
      </c>
      <c r="D11" s="204">
        <v>4842046.9400000004</v>
      </c>
      <c r="E11" s="30">
        <v>3456334.79</v>
      </c>
      <c r="F11" s="48">
        <f t="shared" si="0"/>
        <v>0.71381686977202241</v>
      </c>
      <c r="G11" s="30">
        <v>3265036.56</v>
      </c>
      <c r="H11" s="280">
        <f t="shared" si="1"/>
        <v>0.67430915074937292</v>
      </c>
      <c r="I11" s="30">
        <v>776810.07</v>
      </c>
      <c r="J11" s="178">
        <f t="shared" si="2"/>
        <v>0.16043009901097735</v>
      </c>
      <c r="K11" s="566">
        <v>3360260.78</v>
      </c>
      <c r="L11" s="280">
        <v>0.59288064814554331</v>
      </c>
      <c r="M11" s="626">
        <f t="shared" si="4"/>
        <v>-2.8338342240211367E-2</v>
      </c>
      <c r="N11" s="566">
        <v>765375.04</v>
      </c>
      <c r="O11" s="280">
        <v>0.13504191474972999</v>
      </c>
      <c r="P11" s="626">
        <f t="shared" si="3"/>
        <v>1.494042711400656E-2</v>
      </c>
    </row>
    <row r="12" spans="1:16384" ht="15" customHeight="1" x14ac:dyDescent="0.25">
      <c r="A12" s="131" t="s">
        <v>447</v>
      </c>
      <c r="B12" s="23" t="s">
        <v>518</v>
      </c>
      <c r="C12" s="199">
        <v>60930053.189999998</v>
      </c>
      <c r="D12" s="204">
        <v>53388643.789999999</v>
      </c>
      <c r="E12" s="30">
        <v>42525877.649999999</v>
      </c>
      <c r="F12" s="48">
        <f t="shared" si="0"/>
        <v>0.79653414342705853</v>
      </c>
      <c r="G12" s="30">
        <v>37899822.090000004</v>
      </c>
      <c r="H12" s="280">
        <f t="shared" si="1"/>
        <v>0.70988546251663465</v>
      </c>
      <c r="I12" s="30">
        <v>5279509.0599999996</v>
      </c>
      <c r="J12" s="178">
        <f t="shared" si="2"/>
        <v>9.8888240742104824E-2</v>
      </c>
      <c r="K12" s="566">
        <v>29155978.039999999</v>
      </c>
      <c r="L12" s="280">
        <v>0.70299974816575084</v>
      </c>
      <c r="M12" s="626">
        <f t="shared" si="4"/>
        <v>0.29989884194603422</v>
      </c>
      <c r="N12" s="566">
        <v>5543053.4100000001</v>
      </c>
      <c r="O12" s="280">
        <v>0.13365235582058718</v>
      </c>
      <c r="P12" s="626">
        <f t="shared" si="3"/>
        <v>-4.7544977561383539E-2</v>
      </c>
    </row>
    <row r="13" spans="1:16384" ht="15" customHeight="1" x14ac:dyDescent="0.25">
      <c r="A13" s="131" t="s">
        <v>510</v>
      </c>
      <c r="B13" s="23" t="s">
        <v>519</v>
      </c>
      <c r="C13" s="199">
        <v>84785705.450000003</v>
      </c>
      <c r="D13" s="204">
        <v>87711015.120000005</v>
      </c>
      <c r="E13" s="30">
        <v>62696650.43</v>
      </c>
      <c r="F13" s="48">
        <f t="shared" si="0"/>
        <v>0.71480931265272529</v>
      </c>
      <c r="G13" s="30">
        <v>52376829.18</v>
      </c>
      <c r="H13" s="280">
        <f t="shared" si="1"/>
        <v>0.59715224032399727</v>
      </c>
      <c r="I13" s="30">
        <v>20463108.399999999</v>
      </c>
      <c r="J13" s="178">
        <f t="shared" si="2"/>
        <v>0.23330146586496373</v>
      </c>
      <c r="K13" s="566">
        <v>52020414.530000001</v>
      </c>
      <c r="L13" s="280">
        <v>0.62452010746774989</v>
      </c>
      <c r="M13" s="626">
        <f t="shared" si="4"/>
        <v>6.8514380982960255E-3</v>
      </c>
      <c r="N13" s="566">
        <v>21318969.43</v>
      </c>
      <c r="O13" s="280">
        <v>0.25594038801530622</v>
      </c>
      <c r="P13" s="626">
        <f t="shared" si="3"/>
        <v>-4.0145516077134347E-2</v>
      </c>
    </row>
    <row r="14" spans="1:16384" ht="15" customHeight="1" x14ac:dyDescent="0.25">
      <c r="A14" s="131" t="s">
        <v>511</v>
      </c>
      <c r="B14" s="23" t="s">
        <v>520</v>
      </c>
      <c r="C14" s="199">
        <v>39445338.359999999</v>
      </c>
      <c r="D14" s="204">
        <v>46572804.619999997</v>
      </c>
      <c r="E14" s="30">
        <v>14394406.07</v>
      </c>
      <c r="F14" s="48">
        <f t="shared" si="0"/>
        <v>0.30907320672327593</v>
      </c>
      <c r="G14" s="30">
        <v>8623735.4199999999</v>
      </c>
      <c r="H14" s="412">
        <f t="shared" si="1"/>
        <v>0.18516676181225009</v>
      </c>
      <c r="I14" s="30">
        <v>7693896.0499999998</v>
      </c>
      <c r="J14" s="427">
        <f t="shared" si="2"/>
        <v>0.16520147568471688</v>
      </c>
      <c r="K14" s="579">
        <v>17934290.199999999</v>
      </c>
      <c r="L14" s="280">
        <v>0.25364104838750456</v>
      </c>
      <c r="M14" s="626">
        <f t="shared" si="4"/>
        <v>-0.51914821697264601</v>
      </c>
      <c r="N14" s="579">
        <v>14505655.630000001</v>
      </c>
      <c r="O14" s="280">
        <v>0.20515056132755721</v>
      </c>
      <c r="P14" s="626">
        <f t="shared" si="3"/>
        <v>-0.4695933609448304</v>
      </c>
    </row>
    <row r="15" spans="1:16384" ht="15" customHeight="1" x14ac:dyDescent="0.25">
      <c r="A15" s="716" t="s">
        <v>421</v>
      </c>
      <c r="B15" s="506" t="s">
        <v>23</v>
      </c>
      <c r="C15" s="199">
        <v>820954321.05999994</v>
      </c>
      <c r="D15" s="507">
        <v>820231531.40999997</v>
      </c>
      <c r="E15" s="508">
        <v>405863389.43000001</v>
      </c>
      <c r="F15" s="48">
        <f t="shared" si="0"/>
        <v>0.49481563910657028</v>
      </c>
      <c r="G15" s="508">
        <v>405863389.43000001</v>
      </c>
      <c r="H15" s="412">
        <f t="shared" si="1"/>
        <v>0.49481563910657028</v>
      </c>
      <c r="I15" s="508">
        <v>172675143.65000001</v>
      </c>
      <c r="J15" s="427">
        <f t="shared" si="2"/>
        <v>0.21052000202085233</v>
      </c>
      <c r="K15" s="622">
        <v>433049910.10000002</v>
      </c>
      <c r="L15" s="495">
        <v>0.57728326330295288</v>
      </c>
      <c r="M15" s="626">
        <f t="shared" si="4"/>
        <v>-6.2779185576374075E-2</v>
      </c>
      <c r="N15" s="622">
        <v>285820063.93000001</v>
      </c>
      <c r="O15" s="495">
        <v>0.38101644954704494</v>
      </c>
      <c r="P15" s="626">
        <f t="shared" si="3"/>
        <v>-0.39586066395853248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5">
      <c r="A16" s="33">
        <v>8</v>
      </c>
      <c r="B16" s="524" t="s">
        <v>521</v>
      </c>
      <c r="C16" s="200">
        <v>76829628.569999993</v>
      </c>
      <c r="D16" s="526">
        <v>74512346.620000005</v>
      </c>
      <c r="E16" s="180">
        <v>50994559.509999998</v>
      </c>
      <c r="F16" s="78">
        <f t="shared" si="0"/>
        <v>0.68437731226025367</v>
      </c>
      <c r="G16" s="180">
        <v>45423046.200000003</v>
      </c>
      <c r="H16" s="78">
        <f t="shared" si="1"/>
        <v>0.60960429057012033</v>
      </c>
      <c r="I16" s="180">
        <v>14292724.720000001</v>
      </c>
      <c r="J16" s="392">
        <f t="shared" si="2"/>
        <v>0.19181686483302438</v>
      </c>
      <c r="K16" s="580">
        <v>144052346.06999999</v>
      </c>
      <c r="L16" s="390">
        <v>0.9103216824922683</v>
      </c>
      <c r="M16" s="628">
        <f t="shared" si="4"/>
        <v>-0.68467680368129935</v>
      </c>
      <c r="N16" s="580">
        <v>63840839.579999998</v>
      </c>
      <c r="O16" s="390">
        <v>0.40343459918343971</v>
      </c>
      <c r="P16" s="628">
        <f t="shared" si="3"/>
        <v>-0.77611941174286159</v>
      </c>
    </row>
    <row r="17" spans="1:18" ht="15" customHeight="1" x14ac:dyDescent="0.25">
      <c r="A17" s="527"/>
      <c r="B17" s="2" t="s">
        <v>24</v>
      </c>
      <c r="C17" s="201">
        <f>SUM(C5:C16)</f>
        <v>2400856617.0800004</v>
      </c>
      <c r="D17" s="207">
        <f>SUM(D5:D16)</f>
        <v>2406120470.4699998</v>
      </c>
      <c r="E17" s="203">
        <f>SUM(E5:E16)</f>
        <v>1522545820.9199998</v>
      </c>
      <c r="F17" s="90">
        <f t="shared" ref="F17:F29" si="5">+E17/D17</f>
        <v>0.63278037804258125</v>
      </c>
      <c r="G17" s="203">
        <f>SUM(G5:G16)</f>
        <v>1467307917.7799997</v>
      </c>
      <c r="H17" s="90">
        <f t="shared" ref="H17:H29" si="6">+G17/D17</f>
        <v>0.60982313054897996</v>
      </c>
      <c r="I17" s="203">
        <f>SUM(I5:I16)</f>
        <v>537639462.67000008</v>
      </c>
      <c r="J17" s="170">
        <f>+I17/D17</f>
        <v>0.22344661012130462</v>
      </c>
      <c r="K17" s="568">
        <f>SUM(K5:K16)</f>
        <v>1433055628.0599999</v>
      </c>
      <c r="L17" s="90">
        <v>0.66173194394261714</v>
      </c>
      <c r="M17" s="629">
        <f t="shared" si="4"/>
        <v>2.3901577195833523E-2</v>
      </c>
      <c r="N17" s="568">
        <f>SUM(N5:N16)</f>
        <v>703869836.66000009</v>
      </c>
      <c r="O17" s="90">
        <v>0.32502098744494307</v>
      </c>
      <c r="P17" s="629">
        <f t="shared" ref="P17:P29" si="7">+I17/N17-1</f>
        <v>-0.23616635538581343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51585954.840000004</v>
      </c>
      <c r="E18" s="30">
        <v>44264768.119999997</v>
      </c>
      <c r="F18" s="48">
        <f t="shared" si="5"/>
        <v>0.85807790623033842</v>
      </c>
      <c r="G18" s="30">
        <v>42360017.539999999</v>
      </c>
      <c r="H18" s="48">
        <f t="shared" si="6"/>
        <v>0.82115408489354613</v>
      </c>
      <c r="I18" s="30">
        <v>12909189.15</v>
      </c>
      <c r="J18" s="153">
        <f t="shared" ref="J18:J29" si="8">+I18/D18</f>
        <v>0.25024619957194533</v>
      </c>
      <c r="K18" s="578">
        <v>40871655.75</v>
      </c>
      <c r="L18" s="48">
        <v>0.87508753119519722</v>
      </c>
      <c r="M18" s="625">
        <f t="shared" si="4"/>
        <v>3.6415500245545962E-2</v>
      </c>
      <c r="N18" s="578">
        <v>13583794.470000001</v>
      </c>
      <c r="O18" s="48">
        <v>0.29083747523527409</v>
      </c>
      <c r="P18" s="625">
        <f t="shared" si="7"/>
        <v>-4.9662509359213014E-2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43596752.119999997</v>
      </c>
      <c r="E19" s="30">
        <v>37845636.780000001</v>
      </c>
      <c r="F19" s="280">
        <f t="shared" si="5"/>
        <v>0.86808385807800403</v>
      </c>
      <c r="G19" s="30">
        <v>36679042.689999998</v>
      </c>
      <c r="H19" s="280">
        <f t="shared" si="6"/>
        <v>0.84132511956489298</v>
      </c>
      <c r="I19" s="30">
        <v>11271867.02</v>
      </c>
      <c r="J19" s="178">
        <f t="shared" si="8"/>
        <v>0.25854832004398404</v>
      </c>
      <c r="K19" s="579">
        <v>34411024.060000002</v>
      </c>
      <c r="L19" s="280">
        <v>0.84355861484668804</v>
      </c>
      <c r="M19" s="626">
        <f t="shared" si="4"/>
        <v>6.590965226857004E-2</v>
      </c>
      <c r="N19" s="579">
        <v>11755502.949999999</v>
      </c>
      <c r="O19" s="280">
        <v>0.28817671244068621</v>
      </c>
      <c r="P19" s="626">
        <f>+I19/N19-1</f>
        <v>-4.114123675159298E-2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38001942.340000004</v>
      </c>
      <c r="E20" s="30">
        <v>31335503</v>
      </c>
      <c r="F20" s="280">
        <f t="shared" si="5"/>
        <v>0.8245763524307268</v>
      </c>
      <c r="G20" s="30">
        <v>29972185.559999999</v>
      </c>
      <c r="H20" s="280">
        <f t="shared" si="6"/>
        <v>0.7887014114131724</v>
      </c>
      <c r="I20" s="30">
        <v>6493659.3200000003</v>
      </c>
      <c r="J20" s="178">
        <f t="shared" si="8"/>
        <v>0.17087703733408696</v>
      </c>
      <c r="K20" s="579">
        <v>26875613.010000002</v>
      </c>
      <c r="L20" s="280">
        <v>0.78710816723523536</v>
      </c>
      <c r="M20" s="626">
        <f t="shared" si="4"/>
        <v>0.11521867608555802</v>
      </c>
      <c r="N20" s="579">
        <v>7329519.1399999997</v>
      </c>
      <c r="O20" s="280">
        <v>0.21466019676851189</v>
      </c>
      <c r="P20" s="626">
        <f t="shared" si="7"/>
        <v>-0.11404019882264738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16834687.890000001</v>
      </c>
      <c r="E21" s="30">
        <v>13082963.130000001</v>
      </c>
      <c r="F21" s="280">
        <f t="shared" si="5"/>
        <v>0.77714319478244875</v>
      </c>
      <c r="G21" s="30">
        <v>12378182.18</v>
      </c>
      <c r="H21" s="280">
        <f t="shared" si="6"/>
        <v>0.73527838834201276</v>
      </c>
      <c r="I21" s="30">
        <v>3708697.01</v>
      </c>
      <c r="J21" s="178">
        <f t="shared" si="8"/>
        <v>0.22030090692700094</v>
      </c>
      <c r="K21" s="579">
        <v>11884816.869999999</v>
      </c>
      <c r="L21" s="280">
        <v>0.72770771638527199</v>
      </c>
      <c r="M21" s="626">
        <f t="shared" si="4"/>
        <v>4.1512234929371727E-2</v>
      </c>
      <c r="N21" s="579">
        <v>3804088.26</v>
      </c>
      <c r="O21" s="280">
        <v>0.23292444560928457</v>
      </c>
      <c r="P21" s="626">
        <f t="shared" si="7"/>
        <v>-2.5075982332754765E-2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22912864.120000001</v>
      </c>
      <c r="E22" s="30">
        <v>17981222.120000001</v>
      </c>
      <c r="F22" s="280">
        <f t="shared" si="5"/>
        <v>0.78476536262896501</v>
      </c>
      <c r="G22" s="30">
        <v>17174248.420000002</v>
      </c>
      <c r="H22" s="280">
        <f t="shared" si="6"/>
        <v>0.74954612090633743</v>
      </c>
      <c r="I22" s="30">
        <v>5934711.6900000004</v>
      </c>
      <c r="J22" s="178">
        <f t="shared" si="8"/>
        <v>0.25901221509971578</v>
      </c>
      <c r="K22" s="579">
        <v>15115571.15</v>
      </c>
      <c r="L22" s="280">
        <v>0.68540112607716741</v>
      </c>
      <c r="M22" s="626">
        <f t="shared" si="4"/>
        <v>0.13619579766921364</v>
      </c>
      <c r="N22" s="579">
        <v>6228801.5700000003</v>
      </c>
      <c r="O22" s="280">
        <v>0.28243905359733812</v>
      </c>
      <c r="P22" s="626">
        <f t="shared" si="7"/>
        <v>-4.721452059356579E-2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25776682.969999999</v>
      </c>
      <c r="E23" s="30">
        <v>21210697.82</v>
      </c>
      <c r="F23" s="280">
        <f t="shared" si="5"/>
        <v>0.82286374258029682</v>
      </c>
      <c r="G23" s="30">
        <v>20340244.68</v>
      </c>
      <c r="H23" s="280">
        <f t="shared" si="6"/>
        <v>0.78909472966994409</v>
      </c>
      <c r="I23" s="30">
        <v>5877198.1200000001</v>
      </c>
      <c r="J23" s="178">
        <f t="shared" si="8"/>
        <v>0.22800443822970293</v>
      </c>
      <c r="K23" s="579">
        <v>17677757.039999999</v>
      </c>
      <c r="L23" s="280">
        <v>0.75827332922016522</v>
      </c>
      <c r="M23" s="626">
        <f t="shared" si="4"/>
        <v>0.15061229962463618</v>
      </c>
      <c r="N23" s="579">
        <v>6143527.4100000001</v>
      </c>
      <c r="O23" s="280">
        <v>0.2635217223426688</v>
      </c>
      <c r="P23" s="626">
        <f t="shared" si="7"/>
        <v>-4.3351200739576434E-2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32552545.629999999</v>
      </c>
      <c r="E24" s="30">
        <v>27943785.25</v>
      </c>
      <c r="F24" s="280">
        <f t="shared" si="5"/>
        <v>0.85842089179800962</v>
      </c>
      <c r="G24" s="30">
        <v>26629168.949999999</v>
      </c>
      <c r="H24" s="280">
        <f t="shared" si="6"/>
        <v>0.81803645259186453</v>
      </c>
      <c r="I24" s="30">
        <v>7241072.9500000002</v>
      </c>
      <c r="J24" s="178">
        <f t="shared" si="8"/>
        <v>0.222442601948977</v>
      </c>
      <c r="K24" s="579">
        <v>21886650.66</v>
      </c>
      <c r="L24" s="280">
        <v>0.83457268459054634</v>
      </c>
      <c r="M24" s="626">
        <f t="shared" si="4"/>
        <v>0.216685429108046</v>
      </c>
      <c r="N24" s="579">
        <v>7743967.1399999997</v>
      </c>
      <c r="O24" s="280">
        <v>0.29528974285784004</v>
      </c>
      <c r="P24" s="626">
        <f t="shared" si="7"/>
        <v>-6.494012447475328E-2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38605913.310000002</v>
      </c>
      <c r="E25" s="30">
        <v>30241003.809999999</v>
      </c>
      <c r="F25" s="280">
        <f t="shared" si="5"/>
        <v>0.78332569332498447</v>
      </c>
      <c r="G25" s="30">
        <v>28296709.07</v>
      </c>
      <c r="H25" s="280">
        <f t="shared" si="6"/>
        <v>0.73296307855176079</v>
      </c>
      <c r="I25" s="30">
        <v>8543449.3800000008</v>
      </c>
      <c r="J25" s="178">
        <f t="shared" si="8"/>
        <v>0.22129898369188458</v>
      </c>
      <c r="K25" s="579">
        <v>22535893.739999998</v>
      </c>
      <c r="L25" s="280">
        <v>0.72565921001815659</v>
      </c>
      <c r="M25" s="626">
        <f t="shared" si="4"/>
        <v>0.25562843863497919</v>
      </c>
      <c r="N25" s="579">
        <v>5941585.3399999999</v>
      </c>
      <c r="O25" s="280">
        <v>0.19131995268628121</v>
      </c>
      <c r="P25" s="626">
        <f t="shared" si="7"/>
        <v>0.43790737507104471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30025941.210000001</v>
      </c>
      <c r="E26" s="30">
        <v>22854122.010000002</v>
      </c>
      <c r="F26" s="280">
        <f t="shared" si="5"/>
        <v>0.76114589881327488</v>
      </c>
      <c r="G26" s="30">
        <v>21655674.149999999</v>
      </c>
      <c r="H26" s="280">
        <f t="shared" si="6"/>
        <v>0.72123215051082812</v>
      </c>
      <c r="I26" s="30">
        <v>7698577.6900000004</v>
      </c>
      <c r="J26" s="178">
        <f t="shared" si="8"/>
        <v>0.25639754757915878</v>
      </c>
      <c r="K26" s="579">
        <v>19143506.949999999</v>
      </c>
      <c r="L26" s="280">
        <v>0.76459158923835824</v>
      </c>
      <c r="M26" s="626">
        <f t="shared" si="4"/>
        <v>0.13122816036588314</v>
      </c>
      <c r="N26" s="579">
        <v>7478292.0800000001</v>
      </c>
      <c r="O26" s="280">
        <v>0.29868295507035236</v>
      </c>
      <c r="P26" s="626">
        <f t="shared" si="7"/>
        <v>2.9456673748961215E-2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45208469.869999997</v>
      </c>
      <c r="E27" s="180">
        <v>40246967.390000001</v>
      </c>
      <c r="F27" s="390">
        <f t="shared" si="5"/>
        <v>0.89025281115978638</v>
      </c>
      <c r="G27" s="180">
        <v>39008300.049999997</v>
      </c>
      <c r="H27" s="390">
        <f t="shared" si="6"/>
        <v>0.86285380067432038</v>
      </c>
      <c r="I27" s="180">
        <v>11522131.109999999</v>
      </c>
      <c r="J27" s="392">
        <f t="shared" si="8"/>
        <v>0.25486664651850999</v>
      </c>
      <c r="K27" s="580">
        <v>32333003.09</v>
      </c>
      <c r="L27" s="390">
        <v>0.85692104803243241</v>
      </c>
      <c r="M27" s="628">
        <f t="shared" si="4"/>
        <v>0.20645459196657612</v>
      </c>
      <c r="N27" s="580">
        <v>10246660.720000001</v>
      </c>
      <c r="O27" s="390">
        <v>0.27156708019277154</v>
      </c>
      <c r="P27" s="628">
        <f t="shared" si="7"/>
        <v>0.12447668805023127</v>
      </c>
    </row>
    <row r="28" spans="1:18" ht="15" customHeight="1" thickBot="1" x14ac:dyDescent="0.3">
      <c r="A28" s="10">
        <v>6</v>
      </c>
      <c r="B28" s="2" t="s">
        <v>35</v>
      </c>
      <c r="C28" s="528">
        <f>SUM(C18:C27)</f>
        <v>335327036.75999999</v>
      </c>
      <c r="D28" s="207">
        <f>SUM(D18:D27)</f>
        <v>345101754.30000001</v>
      </c>
      <c r="E28" s="529">
        <f>SUM(E18:E27)</f>
        <v>287006669.43000001</v>
      </c>
      <c r="F28" s="90">
        <f t="shared" si="5"/>
        <v>0.83165810041203836</v>
      </c>
      <c r="G28" s="529">
        <f>SUM(G18:G27)</f>
        <v>274493773.28999996</v>
      </c>
      <c r="H28" s="90">
        <f t="shared" si="6"/>
        <v>0.79539953034078203</v>
      </c>
      <c r="I28" s="529">
        <f>SUM(I18:I27)</f>
        <v>81200553.439999998</v>
      </c>
      <c r="J28" s="170">
        <f t="shared" si="8"/>
        <v>0.23529452524721634</v>
      </c>
      <c r="K28" s="568">
        <f>SUM(K18:K27)</f>
        <v>242735492.32000002</v>
      </c>
      <c r="L28" s="90">
        <v>0.80007277892997186</v>
      </c>
      <c r="M28" s="629">
        <f t="shared" si="4"/>
        <v>0.13083492927409535</v>
      </c>
      <c r="N28" s="568">
        <f>SUM(N18:N27)</f>
        <v>80255739.079999998</v>
      </c>
      <c r="O28" s="90">
        <v>0.26452840323064603</v>
      </c>
      <c r="P28" s="629">
        <f t="shared" si="7"/>
        <v>1.1772545749758834E-2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2751222224.77</v>
      </c>
      <c r="E29" s="209">
        <f>+E17+E28</f>
        <v>1809552490.3499999</v>
      </c>
      <c r="F29" s="181">
        <f t="shared" si="5"/>
        <v>0.65772676378451289</v>
      </c>
      <c r="G29" s="209">
        <f>+G17+G28</f>
        <v>1741801691.0699997</v>
      </c>
      <c r="H29" s="181">
        <f t="shared" si="6"/>
        <v>0.63310105428346952</v>
      </c>
      <c r="I29" s="209">
        <f>+I17+I28</f>
        <v>618840016.11000013</v>
      </c>
      <c r="J29" s="173">
        <f t="shared" si="8"/>
        <v>0.22493276280571434</v>
      </c>
      <c r="K29" s="576">
        <f>K17+K28</f>
        <v>1675791120.3799999</v>
      </c>
      <c r="L29" s="181">
        <v>0.67873128806798311</v>
      </c>
      <c r="M29" s="630">
        <f t="shared" si="4"/>
        <v>3.9390691290350999E-2</v>
      </c>
      <c r="N29" s="576">
        <f>+N28+N17</f>
        <v>784125575.74000013</v>
      </c>
      <c r="O29" s="181">
        <v>0.31758764893585062</v>
      </c>
      <c r="P29" s="630">
        <f t="shared" si="7"/>
        <v>-0.21078965505495162</v>
      </c>
    </row>
    <row r="30" spans="1:18" ht="33.6" customHeight="1" x14ac:dyDescent="0.25">
      <c r="A30" s="718" t="s">
        <v>774</v>
      </c>
      <c r="B30" s="767" t="s">
        <v>775</v>
      </c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</row>
    <row r="32" spans="1:18" ht="14.4" thickBot="1" x14ac:dyDescent="0.3">
      <c r="A32" s="7" t="s">
        <v>19</v>
      </c>
    </row>
    <row r="33" spans="1:16" ht="26.25" customHeight="1" x14ac:dyDescent="0.25">
      <c r="A33" s="769" t="s">
        <v>464</v>
      </c>
      <c r="B33" s="768"/>
      <c r="C33" s="164" t="s">
        <v>767</v>
      </c>
      <c r="D33" s="743" t="s">
        <v>779</v>
      </c>
      <c r="E33" s="741"/>
      <c r="F33" s="741"/>
      <c r="G33" s="741"/>
      <c r="H33" s="741"/>
      <c r="I33" s="741"/>
      <c r="J33" s="742"/>
      <c r="K33" s="752" t="s">
        <v>780</v>
      </c>
      <c r="L33" s="750"/>
      <c r="M33" s="750"/>
      <c r="N33" s="750"/>
      <c r="O33" s="750"/>
      <c r="P33" s="753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545</v>
      </c>
      <c r="L34" s="88" t="s">
        <v>546</v>
      </c>
      <c r="M34" s="88" t="s">
        <v>547</v>
      </c>
      <c r="N34" s="87" t="s">
        <v>39</v>
      </c>
      <c r="O34" s="88" t="s">
        <v>40</v>
      </c>
      <c r="P34" s="611" t="s">
        <v>362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766</v>
      </c>
      <c r="N35" s="564" t="s">
        <v>17</v>
      </c>
      <c r="O35" s="89" t="s">
        <v>18</v>
      </c>
      <c r="P35" s="587" t="s">
        <v>766</v>
      </c>
    </row>
    <row r="36" spans="1:16" ht="15" customHeight="1" x14ac:dyDescent="0.25">
      <c r="A36" s="29">
        <v>1</v>
      </c>
      <c r="B36" s="21" t="s">
        <v>512</v>
      </c>
      <c r="C36" s="198">
        <v>147387289.73999998</v>
      </c>
      <c r="D36" s="204">
        <v>150926633.52000001</v>
      </c>
      <c r="E36" s="30">
        <v>98506941.439999998</v>
      </c>
      <c r="F36" s="48">
        <f t="shared" ref="F36:F47" si="9">+E36/D36</f>
        <v>0.652680969173982</v>
      </c>
      <c r="G36" s="30">
        <v>91493258.310000002</v>
      </c>
      <c r="H36" s="48">
        <f t="shared" ref="H36:H47" si="10">+G36/D36</f>
        <v>0.60621015771796027</v>
      </c>
      <c r="I36" s="30">
        <v>35054227.969999999</v>
      </c>
      <c r="J36" s="153">
        <f t="shared" ref="J36:J47" si="11">+I36/D36</f>
        <v>0.23226005346070874</v>
      </c>
      <c r="K36" s="578">
        <v>91267577.029999986</v>
      </c>
      <c r="L36" s="48">
        <v>0.63153191710015721</v>
      </c>
      <c r="M36" s="210">
        <f t="shared" ref="M36:M60" si="12">+G36/K36-1</f>
        <v>2.4727431947255685E-3</v>
      </c>
      <c r="N36" s="578">
        <v>42931576.990000002</v>
      </c>
      <c r="O36" s="48">
        <v>0.29706783068992476</v>
      </c>
      <c r="P36" s="210">
        <f t="shared" ref="P36:P43" si="13">+I36/N36-1</f>
        <v>-0.18348613240633727</v>
      </c>
    </row>
    <row r="37" spans="1:16" ht="15" customHeight="1" x14ac:dyDescent="0.25">
      <c r="A37" s="31">
        <v>2</v>
      </c>
      <c r="B37" s="23" t="s">
        <v>513</v>
      </c>
      <c r="C37" s="199">
        <v>347088506.07999998</v>
      </c>
      <c r="D37" s="204">
        <v>349762691.5</v>
      </c>
      <c r="E37" s="30">
        <v>306448947.69</v>
      </c>
      <c r="F37" s="48">
        <f t="shared" si="9"/>
        <v>0.87616248141205766</v>
      </c>
      <c r="G37" s="30">
        <v>293135106.29000002</v>
      </c>
      <c r="H37" s="280">
        <f t="shared" si="10"/>
        <v>0.83809712531903946</v>
      </c>
      <c r="I37" s="30">
        <v>107796122.52</v>
      </c>
      <c r="J37" s="178">
        <f t="shared" si="11"/>
        <v>0.30819788713799967</v>
      </c>
      <c r="K37" s="579">
        <v>254392292.17000002</v>
      </c>
      <c r="L37" s="280">
        <v>0.87700798468422536</v>
      </c>
      <c r="M37" s="211">
        <f t="shared" si="12"/>
        <v>0.1522955502681258</v>
      </c>
      <c r="N37" s="579">
        <v>110229790.94</v>
      </c>
      <c r="O37" s="280">
        <v>0.38001311273947974</v>
      </c>
      <c r="P37" s="211">
        <f t="shared" si="13"/>
        <v>-2.2078136946886651E-2</v>
      </c>
    </row>
    <row r="38" spans="1:16" ht="15" customHeight="1" x14ac:dyDescent="0.25">
      <c r="A38" s="31">
        <v>3</v>
      </c>
      <c r="B38" s="23" t="s">
        <v>773</v>
      </c>
      <c r="C38" s="199">
        <v>220166239.43000001</v>
      </c>
      <c r="D38" s="204">
        <v>222264742.78999999</v>
      </c>
      <c r="E38" s="30">
        <v>139964665.56999999</v>
      </c>
      <c r="F38" s="48">
        <f t="shared" si="9"/>
        <v>0.62972050273507074</v>
      </c>
      <c r="G38" s="30">
        <v>137528966.44999999</v>
      </c>
      <c r="H38" s="280">
        <f t="shared" si="10"/>
        <v>0.61876195353187435</v>
      </c>
      <c r="I38" s="30">
        <v>43000767.990000002</v>
      </c>
      <c r="J38" s="178">
        <f t="shared" si="11"/>
        <v>0.19346643759252433</v>
      </c>
      <c r="K38" s="579">
        <v>0</v>
      </c>
      <c r="L38" s="280" t="s">
        <v>129</v>
      </c>
      <c r="M38" s="211" t="s">
        <v>129</v>
      </c>
      <c r="N38" s="579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514</v>
      </c>
      <c r="C39" s="199">
        <v>239984203.19</v>
      </c>
      <c r="D39" s="204">
        <v>237593788.71000001</v>
      </c>
      <c r="E39" s="30">
        <v>84925316.599999994</v>
      </c>
      <c r="F39" s="48">
        <f t="shared" si="9"/>
        <v>0.35743912776969661</v>
      </c>
      <c r="G39" s="30">
        <v>83340725.840000004</v>
      </c>
      <c r="H39" s="280">
        <f t="shared" si="10"/>
        <v>0.3507698003912183</v>
      </c>
      <c r="I39" s="30">
        <v>72464400.329999998</v>
      </c>
      <c r="J39" s="178">
        <f t="shared" si="11"/>
        <v>0.30499282293295937</v>
      </c>
      <c r="K39" s="579">
        <v>105716768.48999999</v>
      </c>
      <c r="L39" s="280">
        <v>0.45924908999193009</v>
      </c>
      <c r="M39" s="211">
        <f t="shared" si="12"/>
        <v>-0.21166029731713376</v>
      </c>
      <c r="N39" s="579">
        <v>94583265.38000001</v>
      </c>
      <c r="O39" s="280">
        <v>0.41088352561910807</v>
      </c>
      <c r="P39" s="211">
        <f t="shared" si="13"/>
        <v>-0.23385600995202194</v>
      </c>
    </row>
    <row r="40" spans="1:16" ht="15" customHeight="1" x14ac:dyDescent="0.25">
      <c r="A40" s="131" t="s">
        <v>420</v>
      </c>
      <c r="B40" s="23" t="s">
        <v>515</v>
      </c>
      <c r="C40" s="199">
        <v>50177184.560000002</v>
      </c>
      <c r="D40" s="204">
        <v>53260973.719999999</v>
      </c>
      <c r="E40" s="30">
        <v>30252495.300000001</v>
      </c>
      <c r="F40" s="48">
        <f t="shared" si="9"/>
        <v>0.56800492343683728</v>
      </c>
      <c r="G40" s="30">
        <v>28313452.66</v>
      </c>
      <c r="H40" s="280">
        <f t="shared" si="10"/>
        <v>0.53159847975832319</v>
      </c>
      <c r="I40" s="30">
        <v>12883346.33</v>
      </c>
      <c r="J40" s="178">
        <f t="shared" si="11"/>
        <v>0.24189092744960805</v>
      </c>
      <c r="K40" s="579">
        <v>28823988.390000001</v>
      </c>
      <c r="L40" s="280">
        <v>0.69018657483282664</v>
      </c>
      <c r="M40" s="211">
        <f t="shared" si="12"/>
        <v>-1.7712182057952885E-2</v>
      </c>
      <c r="N40" s="579">
        <v>12923815.25</v>
      </c>
      <c r="O40" s="280">
        <v>0.30945904017447984</v>
      </c>
      <c r="P40" s="211">
        <f t="shared" si="13"/>
        <v>-3.1313446700655945E-3</v>
      </c>
    </row>
    <row r="41" spans="1:16" ht="15" customHeight="1" x14ac:dyDescent="0.25">
      <c r="A41" s="131" t="s">
        <v>419</v>
      </c>
      <c r="B41" s="23" t="s">
        <v>516</v>
      </c>
      <c r="C41" s="199">
        <v>283222598.26999998</v>
      </c>
      <c r="D41" s="204">
        <v>283723738.50999999</v>
      </c>
      <c r="E41" s="30">
        <v>267864705.97</v>
      </c>
      <c r="F41" s="48">
        <f t="shared" si="9"/>
        <v>0.94410396316048462</v>
      </c>
      <c r="G41" s="30">
        <v>266718742.31</v>
      </c>
      <c r="H41" s="280">
        <f t="shared" si="10"/>
        <v>0.94006495089447495</v>
      </c>
      <c r="I41" s="30">
        <v>45156984.280000001</v>
      </c>
      <c r="J41" s="178">
        <f t="shared" si="11"/>
        <v>0.15915828727319697</v>
      </c>
      <c r="K41" s="579">
        <v>268908599.44</v>
      </c>
      <c r="L41" s="280">
        <v>0.8066599592907181</v>
      </c>
      <c r="M41" s="211">
        <f t="shared" si="12"/>
        <v>-8.1434998157751126E-3</v>
      </c>
      <c r="N41" s="579">
        <v>49893559.469999999</v>
      </c>
      <c r="O41" s="280">
        <v>0.149668462573356</v>
      </c>
      <c r="P41" s="211">
        <f t="shared" si="13"/>
        <v>-9.4933599452811213E-2</v>
      </c>
    </row>
    <row r="42" spans="1:16" ht="15" customHeight="1" x14ac:dyDescent="0.25">
      <c r="A42" s="131" t="s">
        <v>443</v>
      </c>
      <c r="B42" s="23" t="s">
        <v>517</v>
      </c>
      <c r="C42" s="199">
        <v>4757330.3899999997</v>
      </c>
      <c r="D42" s="204">
        <v>4842046.9400000004</v>
      </c>
      <c r="E42" s="30">
        <v>3456334.79</v>
      </c>
      <c r="F42" s="48">
        <f t="shared" si="9"/>
        <v>0.71381686977202241</v>
      </c>
      <c r="G42" s="30">
        <v>3265036.56</v>
      </c>
      <c r="H42" s="280">
        <f t="shared" si="10"/>
        <v>0.67430915074937292</v>
      </c>
      <c r="I42" s="30">
        <v>776810.07</v>
      </c>
      <c r="J42" s="178">
        <f t="shared" si="11"/>
        <v>0.16043009901097735</v>
      </c>
      <c r="K42" s="566">
        <v>3360260.78</v>
      </c>
      <c r="L42" s="280">
        <v>0.59288064814554331</v>
      </c>
      <c r="M42" s="211">
        <f t="shared" si="12"/>
        <v>-2.8338342240211367E-2</v>
      </c>
      <c r="N42" s="566">
        <v>765375.04</v>
      </c>
      <c r="O42" s="280">
        <v>0.13504191474972999</v>
      </c>
      <c r="P42" s="211">
        <f t="shared" si="13"/>
        <v>1.494042711400656E-2</v>
      </c>
    </row>
    <row r="43" spans="1:16" ht="15" customHeight="1" x14ac:dyDescent="0.25">
      <c r="A43" s="131" t="s">
        <v>447</v>
      </c>
      <c r="B43" s="23" t="s">
        <v>518</v>
      </c>
      <c r="C43" s="199">
        <v>36983581.259999998</v>
      </c>
      <c r="D43" s="204">
        <v>37005388.020000003</v>
      </c>
      <c r="E43" s="30">
        <v>29618863.68</v>
      </c>
      <c r="F43" s="48">
        <f t="shared" si="9"/>
        <v>0.80039327419002149</v>
      </c>
      <c r="G43" s="30">
        <v>29118595.699999999</v>
      </c>
      <c r="H43" s="280">
        <f t="shared" si="10"/>
        <v>0.78687448660888271</v>
      </c>
      <c r="I43" s="30">
        <v>5187740.12</v>
      </c>
      <c r="J43" s="178">
        <f t="shared" si="11"/>
        <v>0.14018877783949257</v>
      </c>
      <c r="K43" s="566">
        <v>26141022.030000001</v>
      </c>
      <c r="L43" s="280">
        <v>0.76472728510359445</v>
      </c>
      <c r="M43" s="211">
        <f t="shared" si="12"/>
        <v>0.11390425617570998</v>
      </c>
      <c r="N43" s="566">
        <v>4235937.18</v>
      </c>
      <c r="O43" s="280">
        <v>0.1239177540883154</v>
      </c>
      <c r="P43" s="211">
        <f t="shared" si="13"/>
        <v>0.22469713302027783</v>
      </c>
    </row>
    <row r="44" spans="1:16" ht="15" customHeight="1" x14ac:dyDescent="0.25">
      <c r="A44" s="131" t="s">
        <v>510</v>
      </c>
      <c r="B44" s="23" t="s">
        <v>519</v>
      </c>
      <c r="C44" s="199">
        <v>82667330.079999998</v>
      </c>
      <c r="D44" s="204">
        <v>82723377.620000005</v>
      </c>
      <c r="E44" s="30">
        <v>61396650.43</v>
      </c>
      <c r="F44" s="48">
        <f t="shared" si="9"/>
        <v>0.74219225805833333</v>
      </c>
      <c r="G44" s="30">
        <v>51076829.18</v>
      </c>
      <c r="H44" s="280">
        <f t="shared" si="10"/>
        <v>0.61744129228653699</v>
      </c>
      <c r="I44" s="30">
        <v>19163108.399999999</v>
      </c>
      <c r="J44" s="178">
        <f t="shared" si="11"/>
        <v>0.2316528767481919</v>
      </c>
      <c r="K44" s="566">
        <v>52020414.530000001</v>
      </c>
      <c r="L44" s="280">
        <v>0.62857621094979454</v>
      </c>
      <c r="M44" s="211">
        <f t="shared" si="12"/>
        <v>-1.8138751075423287E-2</v>
      </c>
      <c r="N44" s="566">
        <v>21318969.43</v>
      </c>
      <c r="O44" s="280">
        <v>0.25760265747086314</v>
      </c>
      <c r="P44" s="211">
        <f t="shared" ref="P44:P45" si="14">+I44/N44-1</f>
        <v>-0.10112407342572005</v>
      </c>
    </row>
    <row r="45" spans="1:16" ht="15" customHeight="1" x14ac:dyDescent="0.25">
      <c r="A45" s="717" t="s">
        <v>511</v>
      </c>
      <c r="B45" s="24" t="s">
        <v>520</v>
      </c>
      <c r="C45" s="199">
        <v>39407700.859999999</v>
      </c>
      <c r="D45" s="204">
        <v>46572804.619999997</v>
      </c>
      <c r="E45" s="30">
        <v>14394406.07</v>
      </c>
      <c r="F45" s="48">
        <f t="shared" si="9"/>
        <v>0.30907320672327593</v>
      </c>
      <c r="G45" s="30">
        <v>8623735.4199999999</v>
      </c>
      <c r="H45" s="390">
        <f t="shared" si="10"/>
        <v>0.18516676181225009</v>
      </c>
      <c r="I45" s="30">
        <v>7693896.0499999998</v>
      </c>
      <c r="J45" s="392">
        <f t="shared" si="11"/>
        <v>0.16520147568471688</v>
      </c>
      <c r="K45" s="579">
        <v>17931897.390000001</v>
      </c>
      <c r="L45" s="280">
        <v>0.25365132245044331</v>
      </c>
      <c r="M45" s="211">
        <f t="shared" si="12"/>
        <v>-0.51908405271105562</v>
      </c>
      <c r="N45" s="579">
        <v>14503262.82</v>
      </c>
      <c r="O45" s="280">
        <v>0.20515240044764418</v>
      </c>
      <c r="P45" s="211">
        <f t="shared" si="14"/>
        <v>-0.46950585220105667</v>
      </c>
    </row>
    <row r="46" spans="1:16" ht="15" customHeight="1" x14ac:dyDescent="0.25">
      <c r="A46" s="717" t="s">
        <v>421</v>
      </c>
      <c r="B46" s="24" t="s">
        <v>23</v>
      </c>
      <c r="C46" s="199">
        <v>298770260.13</v>
      </c>
      <c r="D46" s="204">
        <v>294134517.72000003</v>
      </c>
      <c r="E46" s="30">
        <v>208137738.88</v>
      </c>
      <c r="F46" s="48">
        <f>+E46/D46</f>
        <v>0.70762772249034622</v>
      </c>
      <c r="G46" s="30">
        <v>208137738.88</v>
      </c>
      <c r="H46" s="390">
        <f t="shared" si="10"/>
        <v>0.70762772249034622</v>
      </c>
      <c r="I46" s="30">
        <v>74542004.310000002</v>
      </c>
      <c r="J46" s="392">
        <f t="shared" si="11"/>
        <v>0.25342827794512685</v>
      </c>
      <c r="K46" s="580">
        <v>212087293.12000003</v>
      </c>
      <c r="L46" s="390">
        <v>0.64960326266145485</v>
      </c>
      <c r="M46" s="211">
        <f t="shared" si="12"/>
        <v>-1.8622304909919118E-2</v>
      </c>
      <c r="N46" s="580">
        <v>99929876.74000001</v>
      </c>
      <c r="O46" s="390">
        <v>0.30607573425406459</v>
      </c>
      <c r="P46" s="211">
        <f>+I46/N46-1</f>
        <v>-0.25405687726459214</v>
      </c>
    </row>
    <row r="47" spans="1:16" ht="15" customHeight="1" x14ac:dyDescent="0.25">
      <c r="A47" s="31">
        <v>8</v>
      </c>
      <c r="B47" s="524" t="s">
        <v>521</v>
      </c>
      <c r="C47" s="200">
        <v>72658648.889999986</v>
      </c>
      <c r="D47" s="516">
        <v>73676346.620000005</v>
      </c>
      <c r="E47" s="180">
        <v>50545270.18</v>
      </c>
      <c r="F47" s="78">
        <f t="shared" si="9"/>
        <v>0.68604474161425233</v>
      </c>
      <c r="G47" s="180">
        <v>45273756.869999997</v>
      </c>
      <c r="H47" s="390">
        <f t="shared" si="10"/>
        <v>0.61449513917279508</v>
      </c>
      <c r="I47" s="180">
        <v>14292724.720000001</v>
      </c>
      <c r="J47" s="392">
        <f t="shared" si="11"/>
        <v>0.19399339646572719</v>
      </c>
      <c r="K47" s="580">
        <v>139675553.06999999</v>
      </c>
      <c r="L47" s="390">
        <v>0.91466372997524448</v>
      </c>
      <c r="M47" s="520">
        <f t="shared" si="12"/>
        <v>-0.67586484624613918</v>
      </c>
      <c r="N47" s="580">
        <v>62840839.579999998</v>
      </c>
      <c r="O47" s="390">
        <v>0.41151250495648944</v>
      </c>
      <c r="P47" s="520">
        <f>+I47/N47-1</f>
        <v>-0.77255675106306398</v>
      </c>
    </row>
    <row r="48" spans="1:16" ht="15" customHeight="1" x14ac:dyDescent="0.25">
      <c r="A48" s="9"/>
      <c r="B48" s="2" t="s">
        <v>24</v>
      </c>
      <c r="C48" s="525">
        <f>SUM(C36:C47)</f>
        <v>1823270872.8799996</v>
      </c>
      <c r="D48" s="207">
        <f>SUM(D36:D47)</f>
        <v>1836487050.29</v>
      </c>
      <c r="E48" s="203">
        <f>SUM(E36:E47)</f>
        <v>1295512336.6000001</v>
      </c>
      <c r="F48" s="90">
        <f t="shared" ref="F48:F60" si="15">+E48/D48</f>
        <v>0.70542960615781392</v>
      </c>
      <c r="G48" s="203">
        <f>SUM(G36:G47)</f>
        <v>1246025944.4699998</v>
      </c>
      <c r="H48" s="90">
        <f t="shared" ref="H48:H60" si="16">+G48/D48</f>
        <v>0.67848338177676759</v>
      </c>
      <c r="I48" s="203">
        <f>SUM(I36:I47)</f>
        <v>438012133.08999997</v>
      </c>
      <c r="J48" s="170">
        <f t="shared" ref="J48:J60" si="17">+I48/D48</f>
        <v>0.23850542971203276</v>
      </c>
      <c r="K48" s="619">
        <f>SUM(K36:K47)</f>
        <v>1200325666.4399998</v>
      </c>
      <c r="L48" s="90">
        <v>0.70095944373735353</v>
      </c>
      <c r="M48" s="213">
        <f t="shared" si="12"/>
        <v>3.8073232379959521E-2</v>
      </c>
      <c r="N48" s="619">
        <f>SUM(N36:N47)</f>
        <v>514156268.81999999</v>
      </c>
      <c r="O48" s="90">
        <v>0.30025409125428854</v>
      </c>
      <c r="P48" s="213">
        <f t="shared" ref="P48:P60" si="18">+I48/N48-1</f>
        <v>-0.14809531721698632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48722467.719999999</v>
      </c>
      <c r="E49" s="30">
        <v>43988023.520000003</v>
      </c>
      <c r="F49" s="48">
        <f t="shared" si="15"/>
        <v>0.90282831675915787</v>
      </c>
      <c r="G49" s="30">
        <v>42216646.75</v>
      </c>
      <c r="H49" s="48">
        <f t="shared" si="16"/>
        <v>0.86647185016596695</v>
      </c>
      <c r="I49" s="30">
        <v>12905780.58</v>
      </c>
      <c r="J49" s="153">
        <f t="shared" si="17"/>
        <v>0.26488355750302706</v>
      </c>
      <c r="K49" s="578">
        <v>40792067.100000001</v>
      </c>
      <c r="L49" s="48">
        <v>0.88725492374237769</v>
      </c>
      <c r="M49" s="210">
        <f t="shared" si="12"/>
        <v>3.4922958096428536E-2</v>
      </c>
      <c r="N49" s="578">
        <v>13579500.66</v>
      </c>
      <c r="O49" s="48">
        <v>0.29536328210609036</v>
      </c>
      <c r="P49" s="210">
        <f>+I49/N49-1</f>
        <v>-4.9613023105077869E-2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42724112.119999997</v>
      </c>
      <c r="E50" s="30">
        <v>37286185.200000003</v>
      </c>
      <c r="F50" s="280">
        <f t="shared" si="15"/>
        <v>0.87271995484127585</v>
      </c>
      <c r="G50" s="30">
        <v>36444565.469999999</v>
      </c>
      <c r="H50" s="280">
        <f t="shared" si="16"/>
        <v>0.85302101463542368</v>
      </c>
      <c r="I50" s="30">
        <v>11211282.310000001</v>
      </c>
      <c r="J50" s="178">
        <f t="shared" si="17"/>
        <v>0.26241112462467719</v>
      </c>
      <c r="K50" s="579">
        <v>34410597.410000004</v>
      </c>
      <c r="L50" s="280">
        <v>0.85208490567012352</v>
      </c>
      <c r="M50" s="211">
        <f t="shared" si="12"/>
        <v>5.910876919006669E-2</v>
      </c>
      <c r="N50" s="579">
        <v>11755076.299999999</v>
      </c>
      <c r="O50" s="280">
        <v>0.29108251045126515</v>
      </c>
      <c r="P50" s="211">
        <f>+I50/N50-1</f>
        <v>-4.6260353920458908E-2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36986589.659999996</v>
      </c>
      <c r="E51" s="30">
        <v>31317456.109999999</v>
      </c>
      <c r="F51" s="280">
        <f t="shared" si="15"/>
        <v>0.84672462094738588</v>
      </c>
      <c r="G51" s="30">
        <v>29954138.670000002</v>
      </c>
      <c r="H51" s="280">
        <f t="shared" si="16"/>
        <v>0.80986484413280735</v>
      </c>
      <c r="I51" s="30">
        <v>6493659.3200000003</v>
      </c>
      <c r="J51" s="178">
        <f t="shared" si="17"/>
        <v>0.17556793907448889</v>
      </c>
      <c r="K51" s="579">
        <v>26875613.010000002</v>
      </c>
      <c r="L51" s="280">
        <v>0.81360669793128337</v>
      </c>
      <c r="M51" s="211">
        <f t="shared" si="12"/>
        <v>0.11454717921613655</v>
      </c>
      <c r="N51" s="579">
        <v>7329519.1399999997</v>
      </c>
      <c r="O51" s="280">
        <v>0.22188687799235202</v>
      </c>
      <c r="P51" s="211">
        <f t="shared" si="18"/>
        <v>-0.11404019882264738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16043034</v>
      </c>
      <c r="E52" s="30">
        <v>13030884.609999999</v>
      </c>
      <c r="F52" s="280">
        <f t="shared" si="15"/>
        <v>0.8122456519134722</v>
      </c>
      <c r="G52" s="30">
        <v>12341103.66</v>
      </c>
      <c r="H52" s="280">
        <f t="shared" si="16"/>
        <v>0.7692499847597406</v>
      </c>
      <c r="I52" s="30">
        <v>3705255.77</v>
      </c>
      <c r="J52" s="178">
        <f t="shared" si="17"/>
        <v>0.23095729710477458</v>
      </c>
      <c r="K52" s="579">
        <v>11650514.379999999</v>
      </c>
      <c r="L52" s="280">
        <v>0.76083209696283827</v>
      </c>
      <c r="M52" s="211">
        <f t="shared" si="12"/>
        <v>5.9275432609697365E-2</v>
      </c>
      <c r="N52" s="579">
        <v>3754432.61</v>
      </c>
      <c r="O52" s="280">
        <v>0.24518169261913414</v>
      </c>
      <c r="P52" s="211">
        <f t="shared" si="18"/>
        <v>-1.3098341376275191E-2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21765743.280000001</v>
      </c>
      <c r="E53" s="30">
        <v>17424288.77</v>
      </c>
      <c r="F53" s="280">
        <f t="shared" si="15"/>
        <v>0.80053727299130395</v>
      </c>
      <c r="G53" s="30">
        <v>17016838.18</v>
      </c>
      <c r="H53" s="280">
        <f t="shared" si="16"/>
        <v>0.78181746247261619</v>
      </c>
      <c r="I53" s="30">
        <v>5906501.2800000003</v>
      </c>
      <c r="J53" s="178">
        <f t="shared" si="17"/>
        <v>0.27136685405213506</v>
      </c>
      <c r="K53" s="579">
        <v>15057869.189999999</v>
      </c>
      <c r="L53" s="280">
        <v>0.70121948361808251</v>
      </c>
      <c r="M53" s="211">
        <f t="shared" si="12"/>
        <v>0.13009602921115571</v>
      </c>
      <c r="N53" s="579">
        <v>6176835.8300000001</v>
      </c>
      <c r="O53" s="280">
        <v>0.28764479067082865</v>
      </c>
      <c r="P53" s="211">
        <f t="shared" si="18"/>
        <v>-4.3765862885172369E-2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25242966.5</v>
      </c>
      <c r="E54" s="30">
        <v>20973012.690000001</v>
      </c>
      <c r="F54" s="280">
        <f t="shared" si="15"/>
        <v>0.8308457997597074</v>
      </c>
      <c r="G54" s="30">
        <v>20234333.449999999</v>
      </c>
      <c r="H54" s="280">
        <f t="shared" si="16"/>
        <v>0.80158302511711532</v>
      </c>
      <c r="I54" s="30">
        <v>5875874.7300000004</v>
      </c>
      <c r="J54" s="178">
        <f t="shared" si="17"/>
        <v>0.23277274998562472</v>
      </c>
      <c r="K54" s="579">
        <v>17677757.039999999</v>
      </c>
      <c r="L54" s="280">
        <v>0.81734298862467947</v>
      </c>
      <c r="M54" s="211">
        <f t="shared" si="12"/>
        <v>0.14462108536819218</v>
      </c>
      <c r="N54" s="579">
        <v>6143527.4100000001</v>
      </c>
      <c r="O54" s="280">
        <v>0.284050122570699</v>
      </c>
      <c r="P54" s="211">
        <f t="shared" si="18"/>
        <v>-4.3566612816658634E-2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31394721.539999999</v>
      </c>
      <c r="E55" s="30">
        <v>27251438.670000002</v>
      </c>
      <c r="F55" s="280">
        <f t="shared" si="15"/>
        <v>0.86802613093028891</v>
      </c>
      <c r="G55" s="30">
        <v>26002268.66</v>
      </c>
      <c r="H55" s="280">
        <f t="shared" si="16"/>
        <v>0.82823695782332463</v>
      </c>
      <c r="I55" s="30">
        <v>7224274.8899999997</v>
      </c>
      <c r="J55" s="178">
        <f t="shared" si="17"/>
        <v>0.23011113128668953</v>
      </c>
      <c r="K55" s="579">
        <v>21590039.199999999</v>
      </c>
      <c r="L55" s="280">
        <v>0.84506192016562265</v>
      </c>
      <c r="M55" s="211">
        <f t="shared" si="12"/>
        <v>0.2043641245449892</v>
      </c>
      <c r="N55" s="579">
        <v>7722611.8999999994</v>
      </c>
      <c r="O55" s="280">
        <v>0.30227296858765718</v>
      </c>
      <c r="P55" s="211">
        <f t="shared" si="18"/>
        <v>-6.4529593931814677E-2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34740826.359999999</v>
      </c>
      <c r="E56" s="30">
        <v>28923741.329999998</v>
      </c>
      <c r="F56" s="280">
        <f t="shared" si="15"/>
        <v>0.83255766659892427</v>
      </c>
      <c r="G56" s="30">
        <v>27677238.219999999</v>
      </c>
      <c r="H56" s="280">
        <f t="shared" si="16"/>
        <v>0.79667760153993061</v>
      </c>
      <c r="I56" s="30">
        <v>8438507.7400000002</v>
      </c>
      <c r="J56" s="178">
        <f t="shared" si="17"/>
        <v>0.24289887789531556</v>
      </c>
      <c r="K56" s="579">
        <v>22407781.279999997</v>
      </c>
      <c r="L56" s="280">
        <v>0.81770446590113433</v>
      </c>
      <c r="M56" s="211">
        <f t="shared" si="12"/>
        <v>0.23516192317992868</v>
      </c>
      <c r="N56" s="579">
        <v>5925842.0899999999</v>
      </c>
      <c r="O56" s="280">
        <v>0.21624575323496337</v>
      </c>
      <c r="P56" s="211">
        <f t="shared" si="18"/>
        <v>0.42401832715728016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28894968.300000001</v>
      </c>
      <c r="E57" s="30">
        <v>22706724.469999999</v>
      </c>
      <c r="F57" s="280">
        <f t="shared" si="15"/>
        <v>0.78583662851777547</v>
      </c>
      <c r="G57" s="30">
        <v>21508276.609999999</v>
      </c>
      <c r="H57" s="280">
        <f t="shared" si="16"/>
        <v>0.74436062316081508</v>
      </c>
      <c r="I57" s="30">
        <v>7551180.1500000004</v>
      </c>
      <c r="J57" s="178">
        <f t="shared" si="17"/>
        <v>0.26133201018254792</v>
      </c>
      <c r="K57" s="579">
        <v>18395809.300000001</v>
      </c>
      <c r="L57" s="280">
        <v>0.77025723263190937</v>
      </c>
      <c r="M57" s="211">
        <f t="shared" si="12"/>
        <v>0.16919436700183654</v>
      </c>
      <c r="N57" s="579">
        <v>7450670.54</v>
      </c>
      <c r="O57" s="280">
        <v>0.31196957838612155</v>
      </c>
      <c r="P57" s="211">
        <f t="shared" si="18"/>
        <v>1.3490008645584251E-2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16">
        <v>44205256.829999998</v>
      </c>
      <c r="E58" s="34">
        <v>39871974.560000002</v>
      </c>
      <c r="F58" s="390">
        <f t="shared" si="15"/>
        <v>0.90197359814773881</v>
      </c>
      <c r="G58" s="180">
        <v>38633307.219999999</v>
      </c>
      <c r="H58" s="390">
        <f t="shared" si="16"/>
        <v>0.87395278277812016</v>
      </c>
      <c r="I58" s="180">
        <v>11456678.380000001</v>
      </c>
      <c r="J58" s="392">
        <f t="shared" si="17"/>
        <v>0.2591700445053155</v>
      </c>
      <c r="K58" s="580">
        <v>32277766.77</v>
      </c>
      <c r="L58" s="390">
        <v>0.87332526903422625</v>
      </c>
      <c r="M58" s="520">
        <f t="shared" si="12"/>
        <v>0.19690149245105282</v>
      </c>
      <c r="N58" s="580">
        <v>10243734.790000001</v>
      </c>
      <c r="O58" s="390">
        <v>0.2771602045810313</v>
      </c>
      <c r="P58" s="520">
        <f t="shared" si="18"/>
        <v>0.11840833591124245</v>
      </c>
    </row>
    <row r="59" spans="1:16" ht="15" customHeight="1" thickBot="1" x14ac:dyDescent="0.3">
      <c r="A59" s="10">
        <v>6</v>
      </c>
      <c r="B59" s="2" t="s">
        <v>35</v>
      </c>
      <c r="C59" s="528">
        <f>SUM(C49:C58)</f>
        <v>328129038.37999994</v>
      </c>
      <c r="D59" s="558">
        <f>SUM(D49:D58)</f>
        <v>330720686.31</v>
      </c>
      <c r="E59" s="203">
        <f>SUM(E49:E58)</f>
        <v>282773729.92999995</v>
      </c>
      <c r="F59" s="90">
        <f t="shared" si="15"/>
        <v>0.85502280817397336</v>
      </c>
      <c r="G59" s="529">
        <f>SUM(G49:G58)</f>
        <v>272028716.88999999</v>
      </c>
      <c r="H59" s="90">
        <f t="shared" si="16"/>
        <v>0.82253311676734586</v>
      </c>
      <c r="I59" s="529">
        <f>SUM(I49:I58)</f>
        <v>80768995.150000006</v>
      </c>
      <c r="J59" s="170">
        <f t="shared" si="17"/>
        <v>0.24422117664055473</v>
      </c>
      <c r="K59" s="619">
        <f>SUM(K49:K58)</f>
        <v>241135814.68000001</v>
      </c>
      <c r="L59" s="90">
        <v>0.8269366063933693</v>
      </c>
      <c r="M59" s="213">
        <f t="shared" si="12"/>
        <v>0.12811411797536798</v>
      </c>
      <c r="N59" s="619">
        <f>SUM(N49:N58)</f>
        <v>80081751.270000011</v>
      </c>
      <c r="O59" s="90">
        <v>0.27462752356854375</v>
      </c>
      <c r="P59" s="213">
        <f t="shared" si="18"/>
        <v>8.5817788584932053E-3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2167207736.5999999</v>
      </c>
      <c r="E60" s="209">
        <f>+E48+E59</f>
        <v>1578286066.5300002</v>
      </c>
      <c r="F60" s="181">
        <f t="shared" si="15"/>
        <v>0.72825785912248409</v>
      </c>
      <c r="G60" s="209">
        <f>+G48+G59</f>
        <v>1518054661.3599997</v>
      </c>
      <c r="H60" s="181">
        <f t="shared" si="16"/>
        <v>0.70046568943205378</v>
      </c>
      <c r="I60" s="209">
        <f>+I48+I59</f>
        <v>518781128.24000001</v>
      </c>
      <c r="J60" s="173">
        <f t="shared" si="17"/>
        <v>0.23937766531503993</v>
      </c>
      <c r="K60" s="620">
        <f>K48+K59</f>
        <v>1441461481.1199999</v>
      </c>
      <c r="L60" s="181">
        <v>0.71929028847603216</v>
      </c>
      <c r="M60" s="607">
        <f t="shared" si="12"/>
        <v>5.3135780069882843E-2</v>
      </c>
      <c r="N60" s="620">
        <f>+N59+N48</f>
        <v>594238020.09000003</v>
      </c>
      <c r="O60" s="181">
        <v>0.29652518814575202</v>
      </c>
      <c r="P60" s="607">
        <f t="shared" si="18"/>
        <v>-0.126980922288634</v>
      </c>
    </row>
    <row r="61" spans="1:16" ht="32.4" customHeight="1" x14ac:dyDescent="0.25">
      <c r="A61" s="718" t="s">
        <v>774</v>
      </c>
      <c r="B61" s="767" t="s">
        <v>775</v>
      </c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</row>
    <row r="65" spans="3:14" x14ac:dyDescent="0.25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5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5">
      <c r="L138" s="686"/>
      <c r="O138" s="686"/>
    </row>
    <row r="139" spans="12:15" x14ac:dyDescent="0.25">
      <c r="L139" s="686"/>
      <c r="N139" s="46"/>
      <c r="O139" s="686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1"/>
  <sheetViews>
    <sheetView topLeftCell="C14" zoomScale="110" zoomScaleNormal="110" workbookViewId="0">
      <selection activeCell="L25" sqref="L25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71" t="s">
        <v>505</v>
      </c>
      <c r="C18" s="772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138"/>
  <sheetViews>
    <sheetView topLeftCell="C1" workbookViewId="0">
      <selection activeCell="P12" sqref="P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778</v>
      </c>
    </row>
    <row r="2" spans="1:16384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643" t="s">
        <v>546</v>
      </c>
      <c r="M3" s="88" t="s">
        <v>547</v>
      </c>
      <c r="N3" s="217" t="s">
        <v>39</v>
      </c>
      <c r="O3" s="643" t="s">
        <v>40</v>
      </c>
      <c r="P3" s="611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644" t="s">
        <v>18</v>
      </c>
      <c r="P4" s="587" t="s">
        <v>766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330986575.27000004</v>
      </c>
      <c r="E5" s="30">
        <v>105228818.46999998</v>
      </c>
      <c r="F5" s="48">
        <f t="shared" ref="F5:F13" si="0">E5/D5</f>
        <v>0.31792473269999033</v>
      </c>
      <c r="G5" s="30">
        <v>104748031.35999998</v>
      </c>
      <c r="H5" s="48">
        <f t="shared" ref="H5:H13" si="1">G5/D5</f>
        <v>0.31647214475255525</v>
      </c>
      <c r="I5" s="30">
        <v>104120455.57999998</v>
      </c>
      <c r="J5" s="153">
        <f t="shared" ref="J5:J13" si="2">I5/D5</f>
        <v>0.31457606851596454</v>
      </c>
      <c r="K5" s="30">
        <v>143199751.61000001</v>
      </c>
      <c r="L5" s="48">
        <v>0.45760000000000001</v>
      </c>
      <c r="M5" s="210">
        <f>+G5/K5-1</f>
        <v>-0.26851806527375877</v>
      </c>
      <c r="N5" s="689">
        <v>142665683.33000001</v>
      </c>
      <c r="O5" s="48">
        <v>0.45590000000000003</v>
      </c>
      <c r="P5" s="210">
        <f>+I5/N5-1</f>
        <v>-0.27017869224262614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491942520.06999999</v>
      </c>
      <c r="E6" s="32">
        <v>401200728.39000005</v>
      </c>
      <c r="F6" s="48">
        <f t="shared" si="0"/>
        <v>0.81554391422175088</v>
      </c>
      <c r="G6" s="32">
        <v>377102297.44</v>
      </c>
      <c r="H6" s="48">
        <f t="shared" si="1"/>
        <v>0.7665576404868214</v>
      </c>
      <c r="I6" s="32">
        <v>70551240.970000014</v>
      </c>
      <c r="J6" s="153">
        <f t="shared" si="2"/>
        <v>0.14341358612376312</v>
      </c>
      <c r="K6" s="32">
        <v>360657598.63999999</v>
      </c>
      <c r="L6" s="280">
        <v>0.82499999999999996</v>
      </c>
      <c r="M6" s="210">
        <f>+G6/K6-1</f>
        <v>4.5596429583103726E-2</v>
      </c>
      <c r="N6" s="32">
        <v>66921271.869999997</v>
      </c>
      <c r="O6" s="280">
        <v>0.15310000000000001</v>
      </c>
      <c r="P6" s="210">
        <f>+I6/N6-1</f>
        <v>5.4242380614814456E-2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4884929.8099999996</v>
      </c>
      <c r="F7" s="48">
        <f t="shared" si="0"/>
        <v>0.22103754796380087</v>
      </c>
      <c r="G7" s="32">
        <v>4884929.8099999996</v>
      </c>
      <c r="H7" s="48">
        <f t="shared" si="1"/>
        <v>0.22103754796380087</v>
      </c>
      <c r="I7" s="32">
        <v>4884929.8099999996</v>
      </c>
      <c r="J7" s="153">
        <f t="shared" si="2"/>
        <v>0.22103754796380087</v>
      </c>
      <c r="K7" s="32">
        <v>6491807.9199999999</v>
      </c>
      <c r="L7" s="280">
        <v>0.187</v>
      </c>
      <c r="M7" s="210">
        <f>+G7/K7-1</f>
        <v>-0.24752397634093903</v>
      </c>
      <c r="N7" s="32">
        <v>6491807.9199999999</v>
      </c>
      <c r="O7" s="280">
        <v>0.187</v>
      </c>
      <c r="P7" s="210">
        <f>+I7/N7-1</f>
        <v>-0.24752397634093903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981628348.90999997</v>
      </c>
      <c r="E8" s="34">
        <v>784197859.92999995</v>
      </c>
      <c r="F8" s="390">
        <f t="shared" si="0"/>
        <v>0.79887450357436518</v>
      </c>
      <c r="G8" s="34">
        <v>759290685.8599999</v>
      </c>
      <c r="H8" s="390">
        <f t="shared" si="1"/>
        <v>0.77350117965023746</v>
      </c>
      <c r="I8" s="34">
        <v>258455506.73000002</v>
      </c>
      <c r="J8" s="392">
        <f t="shared" si="2"/>
        <v>0.2632926270079598</v>
      </c>
      <c r="K8" s="34">
        <v>689976508.26999998</v>
      </c>
      <c r="L8" s="390">
        <v>0.74870000000000003</v>
      </c>
      <c r="M8" s="520">
        <f>+G8/K8-1</f>
        <v>0.10045875005772809</v>
      </c>
      <c r="N8" s="34">
        <v>298077505.69999999</v>
      </c>
      <c r="O8" s="390">
        <v>0.32350000000000001</v>
      </c>
      <c r="P8" s="520">
        <f>+I8/N8-1</f>
        <v>-0.13292515608298705</v>
      </c>
    </row>
    <row r="9" spans="1:16384" ht="15" customHeight="1" x14ac:dyDescent="0.25">
      <c r="A9" s="24">
        <v>5</v>
      </c>
      <c r="B9" s="24" t="s">
        <v>453</v>
      </c>
      <c r="C9" s="161">
        <v>13197818.9</v>
      </c>
      <c r="D9" s="206">
        <v>9829606.0399999991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20" t="s">
        <v>129</v>
      </c>
      <c r="N9" s="34">
        <v>0</v>
      </c>
      <c r="O9" s="390">
        <v>0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5">
      <c r="A10" s="9"/>
      <c r="B10" s="518" t="s">
        <v>4</v>
      </c>
      <c r="C10" s="515">
        <f>SUM(C5:C9)</f>
        <v>1823270872.8800001</v>
      </c>
      <c r="D10" s="152">
        <f>SUM(D5:D9)</f>
        <v>1836487050.29</v>
      </c>
      <c r="E10" s="84">
        <f>SUM(E5:E9)</f>
        <v>1295512336.5999999</v>
      </c>
      <c r="F10" s="90">
        <f t="shared" si="0"/>
        <v>0.7054296061578138</v>
      </c>
      <c r="G10" s="84">
        <f>SUM(G5:G9)</f>
        <v>1246025944.4699998</v>
      </c>
      <c r="H10" s="90">
        <f t="shared" si="1"/>
        <v>0.67848338177676759</v>
      </c>
      <c r="I10" s="84">
        <f>SUM(I5:I9)</f>
        <v>438012133.09000003</v>
      </c>
      <c r="J10" s="170">
        <f t="shared" si="2"/>
        <v>0.23850542971203281</v>
      </c>
      <c r="K10" s="152">
        <f>SUM(K5:K9)</f>
        <v>1200325666.4400001</v>
      </c>
      <c r="L10" s="90">
        <v>0.70099999999999996</v>
      </c>
      <c r="M10" s="213">
        <f t="shared" ref="M10" si="3">+G10/K10-1</f>
        <v>3.8073232379959299E-2</v>
      </c>
      <c r="N10" s="700">
        <f>SUM(N5:N9)</f>
        <v>514156268.81999999</v>
      </c>
      <c r="O10" s="90">
        <f>N10/(312923551.5+437579154.07+34707752.2+916236263.56+6477736.89)</f>
        <v>0.30104157496277906</v>
      </c>
      <c r="P10" s="213">
        <f>+I10/N10-1</f>
        <v>-0.14809531721698621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16">
        <v>383395065.54000002</v>
      </c>
      <c r="E11" s="180">
        <v>152177097.81000003</v>
      </c>
      <c r="F11" s="48">
        <f t="shared" si="0"/>
        <v>0.39691981323667619</v>
      </c>
      <c r="G11" s="56">
        <v>146725586.80000001</v>
      </c>
      <c r="H11" s="48">
        <f t="shared" si="1"/>
        <v>0.38270077000949815</v>
      </c>
      <c r="I11" s="30">
        <v>52550666.530000001</v>
      </c>
      <c r="J11" s="153">
        <f t="shared" si="2"/>
        <v>0.13706662201294642</v>
      </c>
      <c r="K11" s="150">
        <v>91261006.469999999</v>
      </c>
      <c r="L11" s="48">
        <v>0.35639999999999999</v>
      </c>
      <c r="M11" s="210">
        <f>+G11/K11-1</f>
        <v>0.60775771027939229</v>
      </c>
      <c r="N11" s="689">
        <v>52898396.560000002</v>
      </c>
      <c r="O11" s="48">
        <v>0.20660000000000001</v>
      </c>
      <c r="P11" s="210">
        <f>+I11/N11-1</f>
        <v>-6.5735457521021168E-3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30558277.530000001</v>
      </c>
      <c r="E12" s="34">
        <v>15826205.17</v>
      </c>
      <c r="F12" s="48">
        <f t="shared" si="0"/>
        <v>0.51790239664074411</v>
      </c>
      <c r="G12" s="137">
        <v>15526205.17</v>
      </c>
      <c r="H12" s="48">
        <f t="shared" si="1"/>
        <v>0.50808508937578201</v>
      </c>
      <c r="I12" s="137">
        <v>101159.34</v>
      </c>
      <c r="J12" s="153">
        <f t="shared" si="2"/>
        <v>3.310374411669269E-3</v>
      </c>
      <c r="K12" s="137">
        <v>5710100.4900000002</v>
      </c>
      <c r="L12" s="390">
        <v>0.36099999999999999</v>
      </c>
      <c r="M12" s="210">
        <f>+G12/K12-1</f>
        <v>1.7190773957815231</v>
      </c>
      <c r="N12" s="137">
        <v>1056316.6200000001</v>
      </c>
      <c r="O12" s="390">
        <v>6.6799999999999998E-2</v>
      </c>
      <c r="P12" s="210">
        <f>+I12/N12-1</f>
        <v>-0.90423388396558602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413953343.07000005</v>
      </c>
      <c r="E13" s="84">
        <f t="shared" si="4"/>
        <v>168003302.98000002</v>
      </c>
      <c r="F13" s="90">
        <f t="shared" si="0"/>
        <v>0.40585081819617153</v>
      </c>
      <c r="G13" s="84">
        <f t="shared" si="4"/>
        <v>162251791.97</v>
      </c>
      <c r="H13" s="90">
        <f t="shared" si="1"/>
        <v>0.39195671368829366</v>
      </c>
      <c r="I13" s="84">
        <f t="shared" si="4"/>
        <v>52651825.870000005</v>
      </c>
      <c r="J13" s="170">
        <f t="shared" si="2"/>
        <v>0.12719265770272209</v>
      </c>
      <c r="K13" s="84">
        <f t="shared" ref="K13" si="5">SUM(K11:K12)</f>
        <v>96971106.959999993</v>
      </c>
      <c r="L13" s="90">
        <f>K13/(259484296.94+15552538.55)</f>
        <v>0.35257498068299925</v>
      </c>
      <c r="M13" s="213">
        <f t="shared" ref="M13:M16" si="6">+G13/K13-1</f>
        <v>0.67319727552381048</v>
      </c>
      <c r="N13" s="84">
        <f t="shared" ref="N13" si="7">SUM(N11:N12)</f>
        <v>53954713.18</v>
      </c>
      <c r="O13" s="90">
        <f>N13/(259484296.94+15552538.55)</f>
        <v>0.19617268022981499</v>
      </c>
      <c r="P13" s="213">
        <f>+I13/N13-1</f>
        <v>-2.4147794200172878E-2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20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10900399.48</v>
      </c>
      <c r="J14" s="153">
        <f t="shared" ref="J14:J15" si="10">I14/D14</f>
        <v>0.38992557370198577</v>
      </c>
      <c r="K14" s="30">
        <v>10043728.939999999</v>
      </c>
      <c r="L14" s="262">
        <v>0.42480000000000001</v>
      </c>
      <c r="M14" s="210">
        <f t="shared" si="6"/>
        <v>1.2855134031524353</v>
      </c>
      <c r="N14" s="30">
        <v>10043728.939999999</v>
      </c>
      <c r="O14" s="262">
        <v>0.42480000000000001</v>
      </c>
      <c r="P14" s="210">
        <f t="shared" ref="P14:P15" si="11">+I14/N14-1</f>
        <v>8.5294072064035609E-2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36075104.229999997</v>
      </c>
      <c r="F15" s="721">
        <f t="shared" si="8"/>
        <v>0.28244356414171068</v>
      </c>
      <c r="G15" s="34">
        <v>36075104.229999997</v>
      </c>
      <c r="H15" s="48">
        <f t="shared" si="9"/>
        <v>0.28244356414171068</v>
      </c>
      <c r="I15" s="34">
        <v>36075104.229999997</v>
      </c>
      <c r="J15" s="153">
        <f t="shared" si="10"/>
        <v>0.28244356414171068</v>
      </c>
      <c r="K15" s="34">
        <v>125715125.72</v>
      </c>
      <c r="L15" s="264">
        <v>0.79710000000000003</v>
      </c>
      <c r="M15" s="210">
        <f t="shared" si="6"/>
        <v>-0.71304086104683573</v>
      </c>
      <c r="N15" s="34">
        <v>125715125.72</v>
      </c>
      <c r="O15" s="264">
        <v>0.79710000000000003</v>
      </c>
      <c r="P15" s="210">
        <f t="shared" si="11"/>
        <v>-0.71304086104683573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59030181.339999996</v>
      </c>
      <c r="F16" s="722">
        <f t="shared" si="8"/>
        <v>0.37917620825875237</v>
      </c>
      <c r="G16" s="84">
        <f t="shared" si="12"/>
        <v>59030181.339999996</v>
      </c>
      <c r="H16" s="90">
        <f>G16/D16</f>
        <v>0.37917620825875237</v>
      </c>
      <c r="I16" s="84">
        <f t="shared" si="12"/>
        <v>46975503.709999993</v>
      </c>
      <c r="J16" s="170">
        <f>I16/D16</f>
        <v>0.30174383634720431</v>
      </c>
      <c r="K16" s="84">
        <f t="shared" ref="K16" si="13">SUM(K14:K15)</f>
        <v>135758854.66</v>
      </c>
      <c r="L16" s="263">
        <f>K16/(21421544.14+157708736.82)</f>
        <v>0.75787775206088759</v>
      </c>
      <c r="M16" s="213">
        <f t="shared" si="6"/>
        <v>-0.56518356399044767</v>
      </c>
      <c r="N16" s="84">
        <f t="shared" ref="N16" si="14">SUM(N14:N15)</f>
        <v>135758854.66</v>
      </c>
      <c r="O16" s="263">
        <f>N16/(21421544.14+157708736.82)</f>
        <v>0.75787775206088759</v>
      </c>
      <c r="P16" s="213">
        <f>+I16/N16-1</f>
        <v>-0.65397834397139432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2406120470.4700003</v>
      </c>
      <c r="E17" s="155">
        <f t="shared" si="15"/>
        <v>1522545820.9199998</v>
      </c>
      <c r="F17" s="181">
        <f>E17/D17</f>
        <v>0.63278037804258114</v>
      </c>
      <c r="G17" s="155">
        <f t="shared" si="15"/>
        <v>1467307917.7799997</v>
      </c>
      <c r="H17" s="181">
        <f>G17/D17</f>
        <v>0.60982313054897985</v>
      </c>
      <c r="I17" s="155">
        <f t="shared" si="15"/>
        <v>537639462.67000008</v>
      </c>
      <c r="J17" s="173">
        <f>I17/D17</f>
        <v>0.22344661012130457</v>
      </c>
      <c r="K17" s="155">
        <f t="shared" ref="K17" si="16">+K10+K13+K16</f>
        <v>1433055628.0600002</v>
      </c>
      <c r="L17" s="181">
        <f>K17/2162091574.67</f>
        <v>0.66280986654264507</v>
      </c>
      <c r="M17" s="607">
        <f>+G17/K17-1</f>
        <v>2.3901577195833301E-2</v>
      </c>
      <c r="N17" s="155">
        <f t="shared" ref="N17" si="17">+N10+N13+N16</f>
        <v>703869836.65999997</v>
      </c>
      <c r="O17" s="181">
        <f>N17/2162091574.67</f>
        <v>0.32555042760731889</v>
      </c>
      <c r="P17" s="607">
        <f>+I17/N17-1</f>
        <v>-0.23616635538581332</v>
      </c>
    </row>
    <row r="20" spans="1:16" x14ac:dyDescent="0.25">
      <c r="C20" t="s">
        <v>786</v>
      </c>
    </row>
    <row r="21" spans="1:16" x14ac:dyDescent="0.25">
      <c r="D21" s="46">
        <f>D17-D5</f>
        <v>2075133895.2000003</v>
      </c>
      <c r="E21" s="46">
        <f t="shared" ref="E21:I21" si="18">E17-E5</f>
        <v>1417317002.4499998</v>
      </c>
      <c r="F21" s="46">
        <f t="shared" si="18"/>
        <v>0.31485564534259081</v>
      </c>
      <c r="G21" s="46">
        <f t="shared" si="18"/>
        <v>1362559886.4199998</v>
      </c>
      <c r="H21" s="46">
        <f t="shared" si="18"/>
        <v>0.2933509857964246</v>
      </c>
      <c r="I21" s="46">
        <f t="shared" si="18"/>
        <v>433519007.09000009</v>
      </c>
      <c r="J21" s="775">
        <f t="shared" ref="J21:J22" si="19">I21/D21</f>
        <v>0.20891134210316475</v>
      </c>
      <c r="N21" s="46">
        <f>N17-N5</f>
        <v>561204153.32999992</v>
      </c>
      <c r="P21" s="442">
        <f>I21/N21-1</f>
        <v>-0.22751995950557102</v>
      </c>
    </row>
    <row r="22" spans="1:16" x14ac:dyDescent="0.25">
      <c r="D22" s="46">
        <f>D10-D5</f>
        <v>1505500475.02</v>
      </c>
      <c r="E22" s="46">
        <f t="shared" ref="E22:H22" si="20">E10-E5</f>
        <v>1190283518.1299999</v>
      </c>
      <c r="F22" s="46">
        <f t="shared" si="20"/>
        <v>0.38750487345782347</v>
      </c>
      <c r="G22" s="46">
        <f t="shared" si="20"/>
        <v>1141277913.1099999</v>
      </c>
      <c r="H22" s="46">
        <f t="shared" si="20"/>
        <v>0.36201123702421234</v>
      </c>
      <c r="I22" s="46">
        <f>I10-I5</f>
        <v>333891677.51000005</v>
      </c>
      <c r="J22" s="775">
        <f t="shared" si="19"/>
        <v>0.22178118376585995</v>
      </c>
      <c r="N22" s="46">
        <f>N10-N5</f>
        <v>371490585.49000001</v>
      </c>
      <c r="P22" s="442">
        <f>I22/N22-1</f>
        <v>-0.10121093090530575</v>
      </c>
    </row>
    <row r="137" spans="12:12" x14ac:dyDescent="0.25">
      <c r="L137" s="686"/>
    </row>
    <row r="138" spans="12:12" x14ac:dyDescent="0.25">
      <c r="L138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&amp;LAjuntament de Barcelona&amp;CPressupost 2017
Execució Pressupostària a Abril&amp;RDirecció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workbookViewId="0">
      <selection activeCell="I34" sqref="I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778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Abril&amp;RDirecció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P137"/>
  <sheetViews>
    <sheetView zoomScaleNormal="100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422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634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43302813.06000001</v>
      </c>
      <c r="E5" s="30">
        <v>14573717.48</v>
      </c>
      <c r="F5" s="48">
        <f>+E5/D5</f>
        <v>0.3365535966406335</v>
      </c>
      <c r="G5" s="30">
        <v>14325083.73</v>
      </c>
      <c r="H5" s="48">
        <f>G5/D5</f>
        <v>0.33081185072552416</v>
      </c>
      <c r="I5" s="30">
        <v>14229196.949999999</v>
      </c>
      <c r="J5" s="153">
        <f>I5/D5</f>
        <v>0.3285975192947429</v>
      </c>
      <c r="K5" s="578">
        <v>17216763.539999999</v>
      </c>
      <c r="L5" s="48">
        <v>0.42899590830207684</v>
      </c>
      <c r="M5" s="210">
        <f>+G5/K5-1</f>
        <v>-0.16795722397428003</v>
      </c>
      <c r="N5" s="578">
        <v>17169567.460000001</v>
      </c>
      <c r="O5" s="48">
        <v>0.42781990764661931</v>
      </c>
      <c r="P5" s="210">
        <f>+I5/N5-1</f>
        <v>-0.17125478069556455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44590522.459999993</v>
      </c>
      <c r="E6" s="32">
        <v>27330382.75</v>
      </c>
      <c r="F6" s="48">
        <f>+E6/D6</f>
        <v>0.61291909675462464</v>
      </c>
      <c r="G6" s="32">
        <v>20565333.369999997</v>
      </c>
      <c r="H6" s="48">
        <f>G6/D6</f>
        <v>0.46120413566466206</v>
      </c>
      <c r="I6" s="32">
        <v>4578545.76</v>
      </c>
      <c r="J6" s="153">
        <f>I6/D6</f>
        <v>0.10267979623040283</v>
      </c>
      <c r="K6" s="579">
        <v>30840612.200000003</v>
      </c>
      <c r="L6" s="48">
        <v>0.54684346591961652</v>
      </c>
      <c r="M6" s="211">
        <f>+G6/K6-1</f>
        <v>-0.3331736336284532</v>
      </c>
      <c r="N6" s="579">
        <v>7460776.8999999994</v>
      </c>
      <c r="O6" s="48">
        <v>0.13228910865942575</v>
      </c>
      <c r="P6" s="211">
        <f>+I6/N6-1</f>
        <v>-0.38631782971556217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9"/>
      <c r="L7" s="48" t="s">
        <v>129</v>
      </c>
      <c r="M7" s="212" t="s">
        <v>129</v>
      </c>
      <c r="N7" s="579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63033298</v>
      </c>
      <c r="E8" s="34">
        <v>56602841.209999993</v>
      </c>
      <c r="F8" s="78">
        <f t="shared" ref="F8" si="0">+E8/D8</f>
        <v>0.89798317724070209</v>
      </c>
      <c r="G8" s="34">
        <v>56602841.209999993</v>
      </c>
      <c r="H8" s="78">
        <f>G8/D8</f>
        <v>0.89798317724070209</v>
      </c>
      <c r="I8" s="34">
        <v>16246485.26</v>
      </c>
      <c r="J8" s="172">
        <f>I8/D8</f>
        <v>0.25774449022166029</v>
      </c>
      <c r="K8" s="580">
        <v>43210201.289999999</v>
      </c>
      <c r="L8" s="78">
        <v>0.90044616676744882</v>
      </c>
      <c r="M8" s="520">
        <f>+G8/K8-1</f>
        <v>0.30994162304676443</v>
      </c>
      <c r="N8" s="580">
        <v>18301232.629999999</v>
      </c>
      <c r="O8" s="78">
        <v>0.38137463554506978</v>
      </c>
      <c r="P8" s="520">
        <f>+I8/N8-1</f>
        <v>-0.11227371464760183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150926633.52000001</v>
      </c>
      <c r="E9" s="84">
        <f>SUM(E5:E8)</f>
        <v>98506941.439999998</v>
      </c>
      <c r="F9" s="90">
        <f>+E9/D9</f>
        <v>0.652680969173982</v>
      </c>
      <c r="G9" s="84">
        <f t="shared" ref="G9" si="1">SUM(G5:G8)</f>
        <v>91493258.309999987</v>
      </c>
      <c r="H9" s="90">
        <f>G9/D9</f>
        <v>0.60621015771796016</v>
      </c>
      <c r="I9" s="84">
        <f>SUM(I5:I8)</f>
        <v>35054227.969999999</v>
      </c>
      <c r="J9" s="170">
        <f>I9/D9</f>
        <v>0.23226005346070874</v>
      </c>
      <c r="K9" s="568">
        <f t="shared" ref="K9" si="2">SUM(K5:K8)</f>
        <v>91267577.030000001</v>
      </c>
      <c r="L9" s="90">
        <v>0.63200000000000001</v>
      </c>
      <c r="M9" s="213">
        <f t="shared" ref="M9" si="3">+G9/K9-1</f>
        <v>2.4727431947251244E-3</v>
      </c>
      <c r="N9" s="568">
        <f>SUM(N5:N8)</f>
        <v>42931576.989999995</v>
      </c>
      <c r="O9" s="90">
        <v>0.29699999999999999</v>
      </c>
      <c r="P9" s="213">
        <f>+I9/N9-1</f>
        <v>-0.18348613240633715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4106701.33</v>
      </c>
      <c r="E10" s="30">
        <v>2096974.44</v>
      </c>
      <c r="F10" s="242">
        <f>+E10/D10</f>
        <v>0.51062258282123474</v>
      </c>
      <c r="G10" s="82">
        <v>1056872.07</v>
      </c>
      <c r="H10" s="353">
        <f t="shared" ref="H10" si="4">G10/D10</f>
        <v>0.25735303959881595</v>
      </c>
      <c r="I10" s="82">
        <v>72790.23</v>
      </c>
      <c r="J10" s="431">
        <f t="shared" ref="J10" si="5">I10/D10</f>
        <v>1.77247440587553E-2</v>
      </c>
      <c r="K10" s="578">
        <v>917640.9</v>
      </c>
      <c r="L10" s="48">
        <v>0.49331015287519558</v>
      </c>
      <c r="M10" s="48">
        <f>+G10/K10-1</f>
        <v>0.15172729332356494</v>
      </c>
      <c r="N10" s="578">
        <v>143182.35999999999</v>
      </c>
      <c r="O10" s="48">
        <v>7.6972715471412934E-2</v>
      </c>
      <c r="P10" s="245">
        <f>+I10/N10-1</f>
        <v>-0.49162571422904333</v>
      </c>
    </row>
    <row r="11" spans="1:16" ht="15" customHeight="1" x14ac:dyDescent="0.25">
      <c r="A11" s="55">
        <v>7</v>
      </c>
      <c r="B11" s="55" t="s">
        <v>6</v>
      </c>
      <c r="C11" s="161"/>
      <c r="D11" s="206"/>
      <c r="E11" s="34"/>
      <c r="F11" s="523" t="s">
        <v>129</v>
      </c>
      <c r="G11" s="56"/>
      <c r="H11" s="513" t="s">
        <v>129</v>
      </c>
      <c r="I11" s="56"/>
      <c r="J11" s="512" t="s">
        <v>129</v>
      </c>
      <c r="K11" s="580"/>
      <c r="L11" s="390" t="s">
        <v>129</v>
      </c>
      <c r="M11" s="48" t="s">
        <v>129</v>
      </c>
      <c r="N11" s="580"/>
      <c r="O11" s="390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6">SUM(D10:D11)</f>
        <v>4106701.33</v>
      </c>
      <c r="E12" s="84">
        <f t="shared" si="6"/>
        <v>2096974.44</v>
      </c>
      <c r="F12" s="90">
        <f>+E12/D12</f>
        <v>0.51062258282123474</v>
      </c>
      <c r="G12" s="84">
        <f t="shared" si="6"/>
        <v>1056872.07</v>
      </c>
      <c r="H12" s="90">
        <f>G12/D12</f>
        <v>0.25735303959881595</v>
      </c>
      <c r="I12" s="84">
        <f t="shared" si="6"/>
        <v>72790.23</v>
      </c>
      <c r="J12" s="170">
        <f>I12/D12</f>
        <v>1.77247440587553E-2</v>
      </c>
      <c r="K12" s="568">
        <f t="shared" ref="K12" si="7">SUM(K10:K11)</f>
        <v>917640.9</v>
      </c>
      <c r="L12" s="90">
        <v>0.49331015287519558</v>
      </c>
      <c r="M12" s="723">
        <f t="shared" ref="M12" si="8">+G12/K12-1</f>
        <v>0.15172729332356494</v>
      </c>
      <c r="N12" s="568">
        <f t="shared" ref="N12" si="9">SUM(N10:N11)</f>
        <v>143182.35999999999</v>
      </c>
      <c r="O12" s="90">
        <v>7.6972715471412934E-2</v>
      </c>
      <c r="P12" s="213">
        <f>+I12/N12-1</f>
        <v>-0.49162571422904333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2"/>
      <c r="L13" s="27" t="s">
        <v>129</v>
      </c>
      <c r="M13" s="214" t="s">
        <v>129</v>
      </c>
      <c r="N13" s="632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3"/>
      <c r="L14" s="28" t="s">
        <v>129</v>
      </c>
      <c r="M14" s="215" t="s">
        <v>129</v>
      </c>
      <c r="N14" s="633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8">
        <f t="shared" ref="K15" si="11">SUM(K13:K14)</f>
        <v>0</v>
      </c>
      <c r="L15" s="58" t="s">
        <v>129</v>
      </c>
      <c r="M15" s="216" t="s">
        <v>129</v>
      </c>
      <c r="N15" s="568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155033334.85000002</v>
      </c>
      <c r="E16" s="155">
        <f t="shared" ref="E16:I16" si="13">+E9+E12+E15</f>
        <v>100603915.88</v>
      </c>
      <c r="F16" s="181">
        <f>+E16/D16</f>
        <v>0.64891796320667217</v>
      </c>
      <c r="G16" s="155">
        <f t="shared" si="13"/>
        <v>92550130.37999998</v>
      </c>
      <c r="H16" s="181">
        <f>G16/D16</f>
        <v>0.59696922903416449</v>
      </c>
      <c r="I16" s="155">
        <f t="shared" si="13"/>
        <v>35127018.199999996</v>
      </c>
      <c r="J16" s="173">
        <f>I16/D16</f>
        <v>0.22657719537534665</v>
      </c>
      <c r="K16" s="576">
        <f t="shared" ref="K16" si="14">+K9+K12+K15</f>
        <v>92185217.930000007</v>
      </c>
      <c r="L16" s="181">
        <v>0.62977539530593685</v>
      </c>
      <c r="M16" s="607">
        <f>+G16/K16-1</f>
        <v>3.9584703295605372E-3</v>
      </c>
      <c r="N16" s="576">
        <f t="shared" ref="N16" si="15">+N9+N12+N15</f>
        <v>43074759.349999994</v>
      </c>
      <c r="O16" s="181">
        <v>0.29427086257965246</v>
      </c>
      <c r="P16" s="607">
        <f>+I16/N16-1</f>
        <v>-0.18451040168144317</v>
      </c>
    </row>
    <row r="17" spans="4:13" x14ac:dyDescent="0.25">
      <c r="F17" s="441"/>
      <c r="H17" s="441"/>
      <c r="J17" s="441"/>
      <c r="K17" s="441"/>
      <c r="L17" s="441"/>
      <c r="M17" s="441"/>
    </row>
    <row r="18" spans="4:13" x14ac:dyDescent="0.25">
      <c r="F18" s="441"/>
      <c r="H18" s="441"/>
    </row>
    <row r="22" spans="4:13" x14ac:dyDescent="0.25">
      <c r="D22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O137"/>
  <sheetViews>
    <sheetView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3" t="s">
        <v>767</v>
      </c>
      <c r="D2" s="256"/>
      <c r="E2" s="733" t="s">
        <v>779</v>
      </c>
      <c r="F2" s="734"/>
      <c r="G2" s="735"/>
      <c r="H2" s="735"/>
      <c r="I2" s="735"/>
      <c r="J2" s="735"/>
      <c r="K2" s="736"/>
      <c r="L2" s="731" t="s">
        <v>780</v>
      </c>
      <c r="M2" s="732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766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0.37794149429602208</v>
      </c>
      <c r="G5" s="30">
        <v>380057588.38999999</v>
      </c>
      <c r="H5" s="262">
        <f>G5/$G$18</f>
        <v>0.46796520262565516</v>
      </c>
      <c r="I5" s="134">
        <f>G5/E5</f>
        <v>0.36550991412701145</v>
      </c>
      <c r="J5" s="30">
        <v>308501939.29000002</v>
      </c>
      <c r="K5" s="153">
        <f>J5/G5</f>
        <v>0.81172419315945243</v>
      </c>
      <c r="L5" s="136">
        <v>366597908.36000001</v>
      </c>
      <c r="M5" s="48">
        <v>0.38844098602608956</v>
      </c>
      <c r="N5" s="141">
        <f>+G5/L5-1</f>
        <v>3.6715103177245911E-2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2.2146350924121976E-2</v>
      </c>
      <c r="G6" s="30">
        <v>21997426.59</v>
      </c>
      <c r="H6" s="262">
        <f t="shared" ref="H6:H9" si="2">G6/$G$18</f>
        <v>2.7085448379125639E-2</v>
      </c>
      <c r="I6" s="134">
        <f t="shared" ref="I6:I9" si="3">G6/E6</f>
        <v>0.3610306128646068</v>
      </c>
      <c r="J6" s="30">
        <v>18149459.329999998</v>
      </c>
      <c r="K6" s="153">
        <f t="shared" ref="K6:K9" si="4">J6/G6</f>
        <v>0.82507193538041934</v>
      </c>
      <c r="L6" s="133">
        <v>21245231.199999999</v>
      </c>
      <c r="M6" s="48">
        <v>0.38108181573419381</v>
      </c>
      <c r="N6" s="142">
        <f t="shared" ref="N6:N18" si="5">+G6/L6-1</f>
        <v>3.5405375583768661E-2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0.10181533824422982</v>
      </c>
      <c r="G7" s="30">
        <v>54955396.549999997</v>
      </c>
      <c r="H7" s="262">
        <f t="shared" si="2"/>
        <v>6.7666622289630482E-2</v>
      </c>
      <c r="I7" s="134">
        <f t="shared" si="3"/>
        <v>0.19618756029305728</v>
      </c>
      <c r="J7" s="30">
        <v>35500752.740000002</v>
      </c>
      <c r="K7" s="153">
        <f t="shared" si="4"/>
        <v>0.64599211303480264</v>
      </c>
      <c r="L7" s="133">
        <v>68208515.180000007</v>
      </c>
      <c r="M7" s="48">
        <v>0.26221720002848226</v>
      </c>
      <c r="N7" s="142">
        <f t="shared" si="5"/>
        <v>-0.19430299274255525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1083765153.5999999</v>
      </c>
      <c r="F8" s="262">
        <f t="shared" si="1"/>
        <v>0.39392134297352227</v>
      </c>
      <c r="G8" s="30">
        <v>342842096.25</v>
      </c>
      <c r="H8" s="262">
        <f t="shared" si="2"/>
        <v>0.4221417383609779</v>
      </c>
      <c r="I8" s="134">
        <f t="shared" si="3"/>
        <v>0.31634353172471297</v>
      </c>
      <c r="J8" s="30">
        <v>248969912</v>
      </c>
      <c r="K8" s="153">
        <f t="shared" si="4"/>
        <v>0.72619411304279124</v>
      </c>
      <c r="L8" s="133">
        <v>334948307.33999997</v>
      </c>
      <c r="M8" s="414">
        <v>0.31847834678571219</v>
      </c>
      <c r="N8" s="142">
        <f>+G8/L8-1</f>
        <v>2.3567185553761139E-2</v>
      </c>
    </row>
    <row r="9" spans="1:14" ht="15" customHeight="1" x14ac:dyDescent="0.25">
      <c r="A9" s="24">
        <v>5</v>
      </c>
      <c r="B9" s="24" t="s">
        <v>42</v>
      </c>
      <c r="C9" s="530">
        <v>42097110</v>
      </c>
      <c r="D9" s="257">
        <f t="shared" si="0"/>
        <v>1.5385337874130016E-2</v>
      </c>
      <c r="E9" s="206">
        <v>42097110</v>
      </c>
      <c r="F9" s="264">
        <f t="shared" si="1"/>
        <v>1.5301239434963962E-2</v>
      </c>
      <c r="G9" s="34">
        <v>9644329.1400000006</v>
      </c>
      <c r="H9" s="264">
        <f t="shared" si="2"/>
        <v>1.1875069931658183E-2</v>
      </c>
      <c r="I9" s="135">
        <f t="shared" si="3"/>
        <v>0.22909717887997538</v>
      </c>
      <c r="J9" s="34">
        <v>4572504.12</v>
      </c>
      <c r="K9" s="392">
        <f t="shared" si="4"/>
        <v>0.47411323832110525</v>
      </c>
      <c r="L9" s="137">
        <v>8809615.0899999999</v>
      </c>
      <c r="M9" s="78">
        <v>0.20907757399325877</v>
      </c>
      <c r="N9" s="143">
        <f t="shared" si="5"/>
        <v>9.4750342832515377E-2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48">
        <f t="shared" si="0"/>
        <v>0.91597346471705654</v>
      </c>
      <c r="E10" s="152">
        <f>SUM(E5:E9)</f>
        <v>2506709456.6299996</v>
      </c>
      <c r="F10" s="263">
        <f>E10/E18</f>
        <v>0.91112576587285998</v>
      </c>
      <c r="G10" s="84">
        <f>SUM(G5:G9)</f>
        <v>809496836.91999996</v>
      </c>
      <c r="H10" s="263">
        <f>G10/G18</f>
        <v>0.99673408158704735</v>
      </c>
      <c r="I10" s="85">
        <f t="shared" ref="I10:I18" si="6">+G10/E10</f>
        <v>0.32293205532015706</v>
      </c>
      <c r="J10" s="84">
        <f>SUM(J5:J9)</f>
        <v>615694567.48000002</v>
      </c>
      <c r="K10" s="170">
        <f t="shared" ref="K10:K18" si="7">+J10/G10</f>
        <v>0.7605892196226669</v>
      </c>
      <c r="L10" s="84">
        <f>SUM(L5:L9)</f>
        <v>799809577.16999996</v>
      </c>
      <c r="M10" s="43">
        <v>0.33983987806227806</v>
      </c>
      <c r="N10" s="144">
        <f t="shared" si="5"/>
        <v>1.2111957679072693E-2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1.4616823620404518E-3</v>
      </c>
      <c r="G11" s="30">
        <v>498668.61</v>
      </c>
      <c r="H11" s="262">
        <f>G11/G18</f>
        <v>6.1401104530042826E-4</v>
      </c>
      <c r="I11" s="134">
        <f>+G11/E11</f>
        <v>0.12400333166476558</v>
      </c>
      <c r="J11" s="30">
        <v>334332.84000000003</v>
      </c>
      <c r="K11" s="153">
        <f>+J11/G11</f>
        <v>0.67045094336296807</v>
      </c>
      <c r="L11" s="136">
        <v>87734.49</v>
      </c>
      <c r="M11" s="52">
        <v>0.87664358513189455</v>
      </c>
      <c r="N11" s="141">
        <f t="shared" si="5"/>
        <v>4.6838377928680037</v>
      </c>
    </row>
    <row r="12" spans="1:14" ht="15" customHeight="1" x14ac:dyDescent="0.25">
      <c r="A12" s="24">
        <v>7</v>
      </c>
      <c r="B12" s="24" t="s">
        <v>6</v>
      </c>
      <c r="C12" s="530">
        <v>15057423.99</v>
      </c>
      <c r="D12" s="257">
        <f t="shared" si="0"/>
        <v>5.5030750471987489E-3</v>
      </c>
      <c r="E12" s="516">
        <v>16041795.24</v>
      </c>
      <c r="F12" s="264">
        <f>E12/E18</f>
        <v>5.8307886202617039E-3</v>
      </c>
      <c r="G12" s="180">
        <v>995418.57</v>
      </c>
      <c r="H12" s="264">
        <f>G12/G18</f>
        <v>1.2256596553714451E-3</v>
      </c>
      <c r="I12" s="135">
        <f t="shared" si="6"/>
        <v>6.2051569360387866E-2</v>
      </c>
      <c r="J12" s="180">
        <v>995418.57</v>
      </c>
      <c r="K12" s="153">
        <f>+J12/G12</f>
        <v>1</v>
      </c>
      <c r="L12" s="137">
        <v>13753426.6</v>
      </c>
      <c r="M12" s="329">
        <v>0.72354699768722242</v>
      </c>
      <c r="N12" s="141">
        <f t="shared" si="5"/>
        <v>-0.92762395881765203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48">
        <f t="shared" si="0"/>
        <v>6.9727910855780775E-3</v>
      </c>
      <c r="E13" s="152">
        <f>SUM(E11:E12)</f>
        <v>20063208.240000002</v>
      </c>
      <c r="F13" s="263">
        <f>E13/E18</f>
        <v>7.292470982302156E-3</v>
      </c>
      <c r="G13" s="84">
        <f>SUM(G11:G12)</f>
        <v>1494087.18</v>
      </c>
      <c r="H13" s="263">
        <f>G13/G18</f>
        <v>1.8396707006718732E-3</v>
      </c>
      <c r="I13" s="85">
        <f t="shared" si="6"/>
        <v>7.4469006258991E-2</v>
      </c>
      <c r="J13" s="84">
        <f>SUM(J11:J12)</f>
        <v>1329751.4099999999</v>
      </c>
      <c r="K13" s="170">
        <f t="shared" si="7"/>
        <v>0.89000924966105388</v>
      </c>
      <c r="L13" s="84">
        <f>SUM(L11:L12)</f>
        <v>13841161.09</v>
      </c>
      <c r="M13" s="43">
        <v>0.7243488383045702</v>
      </c>
      <c r="N13" s="144">
        <f t="shared" si="5"/>
        <v>-0.89205477992164606</v>
      </c>
    </row>
    <row r="14" spans="1:14" ht="15" customHeight="1" x14ac:dyDescent="0.25">
      <c r="A14" s="21">
        <v>8</v>
      </c>
      <c r="B14" s="21" t="s">
        <v>445</v>
      </c>
      <c r="C14" s="198">
        <v>5000000</v>
      </c>
      <c r="D14" s="549">
        <f t="shared" si="0"/>
        <v>1.8273627185013432E-3</v>
      </c>
      <c r="E14" s="204">
        <f>18616364.56-E17</f>
        <v>4999999.9999999981</v>
      </c>
      <c r="F14" s="262">
        <f>E14/$E$18</f>
        <v>1.817374094678228E-3</v>
      </c>
      <c r="G14" s="30">
        <v>0</v>
      </c>
      <c r="H14" s="266">
        <f>G14/G18</f>
        <v>0</v>
      </c>
      <c r="I14" s="134">
        <f t="shared" si="6"/>
        <v>0</v>
      </c>
      <c r="J14" s="30">
        <v>0</v>
      </c>
      <c r="K14" s="153" t="s">
        <v>129</v>
      </c>
      <c r="L14" s="136">
        <v>49492.98</v>
      </c>
      <c r="M14" s="57">
        <v>9.1372301738220623E-3</v>
      </c>
      <c r="N14" s="145">
        <f t="shared" si="5"/>
        <v>-1</v>
      </c>
    </row>
    <row r="15" spans="1:14" ht="15" customHeight="1" x14ac:dyDescent="0.25">
      <c r="A15" s="24">
        <v>9</v>
      </c>
      <c r="B15" s="24" t="s">
        <v>9</v>
      </c>
      <c r="C15" s="530">
        <v>205833195.34</v>
      </c>
      <c r="D15" s="257">
        <f t="shared" si="0"/>
        <v>7.5226381478864082E-2</v>
      </c>
      <c r="E15" s="516">
        <v>205833195.34</v>
      </c>
      <c r="F15" s="264">
        <f>E15/$E$18</f>
        <v>7.4815183407151903E-2</v>
      </c>
      <c r="G15" s="180">
        <v>1158326.01</v>
      </c>
      <c r="H15" s="264">
        <f>G15/G18</f>
        <v>1.4262477122808559E-3</v>
      </c>
      <c r="I15" s="135">
        <f t="shared" si="6"/>
        <v>5.6274985581730415E-3</v>
      </c>
      <c r="J15" s="34">
        <v>1158326.01</v>
      </c>
      <c r="K15" s="392">
        <f t="shared" si="7"/>
        <v>1</v>
      </c>
      <c r="L15" s="137">
        <v>891042.23</v>
      </c>
      <c r="M15" s="264">
        <v>5.6499230668303826E-3</v>
      </c>
      <c r="N15" s="143">
        <f t="shared" si="5"/>
        <v>0.29996757841656962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48">
        <f t="shared" si="0"/>
        <v>7.7053744197365423E-2</v>
      </c>
      <c r="E16" s="152">
        <f>SUM(E14:E15)</f>
        <v>210833195.34</v>
      </c>
      <c r="F16" s="263">
        <f>E16/E18</f>
        <v>7.6632557501830123E-2</v>
      </c>
      <c r="G16" s="84">
        <f>SUM(G14:G15)</f>
        <v>1158326.01</v>
      </c>
      <c r="H16" s="263">
        <f>G16/G18</f>
        <v>1.4262477122808559E-3</v>
      </c>
      <c r="I16" s="85">
        <f t="shared" si="6"/>
        <v>5.4940400069923827E-3</v>
      </c>
      <c r="J16" s="84">
        <f>SUM(J14:J15)</f>
        <v>1158326.01</v>
      </c>
      <c r="K16" s="170">
        <f t="shared" si="7"/>
        <v>1</v>
      </c>
      <c r="L16" s="84">
        <f>SUM(L14:L15)</f>
        <v>940535.21</v>
      </c>
      <c r="M16" s="43">
        <v>5.7657201810388447E-3</v>
      </c>
      <c r="N16" s="144">
        <f t="shared" si="5"/>
        <v>0.2315604962838127</v>
      </c>
    </row>
    <row r="17" spans="1:14" ht="15" customHeight="1" thickBot="1" x14ac:dyDescent="0.3">
      <c r="A17" s="9"/>
      <c r="B17" s="2" t="s">
        <v>430</v>
      </c>
      <c r="C17" s="162">
        <v>0</v>
      </c>
      <c r="D17" s="346" t="s">
        <v>129</v>
      </c>
      <c r="E17" s="152">
        <v>13616364.560000001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2751222224.7699995</v>
      </c>
      <c r="F18" s="265" t="s">
        <v>129</v>
      </c>
      <c r="G18" s="155">
        <f t="shared" ref="G18" si="8">+G10+G13+G16+G17</f>
        <v>812149250.1099999</v>
      </c>
      <c r="H18" s="265" t="s">
        <v>129</v>
      </c>
      <c r="I18" s="156">
        <f t="shared" si="6"/>
        <v>0.29519580163245268</v>
      </c>
      <c r="J18" s="155">
        <f>+J10+J13+J16+J17</f>
        <v>618182644.89999998</v>
      </c>
      <c r="K18" s="173">
        <f t="shared" si="7"/>
        <v>0.76116876893781715</v>
      </c>
      <c r="L18" s="147">
        <f>+L10+L13+L16+L17</f>
        <v>814591273.47000003</v>
      </c>
      <c r="M18" s="183">
        <v>0.32111943933451426</v>
      </c>
      <c r="N18" s="146">
        <f t="shared" si="5"/>
        <v>-2.9978511181412149E-3</v>
      </c>
    </row>
    <row r="19" spans="1:14" x14ac:dyDescent="0.25">
      <c r="A19" s="247" t="s">
        <v>466</v>
      </c>
      <c r="B19" s="247"/>
    </row>
    <row r="21" spans="1:14" s="451" customFormat="1" x14ac:dyDescent="0.25">
      <c r="A21" s="449"/>
      <c r="B21" s="448"/>
      <c r="C21" s="457"/>
      <c r="D21" s="450"/>
      <c r="K21" s="452"/>
      <c r="M21" s="452"/>
    </row>
    <row r="22" spans="1:14" s="451" customFormat="1" x14ac:dyDescent="0.25">
      <c r="A22" s="449"/>
      <c r="B22" s="448"/>
      <c r="C22" s="457"/>
      <c r="D22" s="450"/>
      <c r="E22" s="451" t="s">
        <v>531</v>
      </c>
      <c r="G22" s="55"/>
      <c r="H22" s="78"/>
      <c r="K22" s="452"/>
      <c r="M22" s="452"/>
    </row>
    <row r="23" spans="1:14" s="451" customFormat="1" x14ac:dyDescent="0.25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5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5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5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5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5">
      <c r="G28" s="55"/>
      <c r="H28" s="78"/>
    </row>
    <row r="136" spans="12:15" x14ac:dyDescent="0.25">
      <c r="L136" s="688"/>
      <c r="O136" s="688"/>
    </row>
    <row r="137" spans="12:15" x14ac:dyDescent="0.25">
      <c r="L137" s="688"/>
      <c r="N137" s="100"/>
      <c r="O137" s="688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topLeftCell="C1" zoomScaleNormal="100" workbookViewId="0">
      <selection activeCell="O11" sqref="O11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422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1"/>
      <c r="H17" s="441"/>
      <c r="J17" s="441"/>
    </row>
    <row r="18" spans="4:10" x14ac:dyDescent="0.25">
      <c r="F18" s="441"/>
      <c r="H18" s="441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P137"/>
  <sheetViews>
    <sheetView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15720739.49</v>
      </c>
      <c r="E5" s="30">
        <v>4298550.6100000003</v>
      </c>
      <c r="F5" s="48">
        <f>E5/D5</f>
        <v>0.27343183269046084</v>
      </c>
      <c r="G5" s="30">
        <v>4298550.6100000003</v>
      </c>
      <c r="H5" s="48">
        <f>G5/D5</f>
        <v>0.27343183269046084</v>
      </c>
      <c r="I5" s="30">
        <v>4298550.6100000003</v>
      </c>
      <c r="J5" s="153">
        <f>I5/D5</f>
        <v>0.27343183269046084</v>
      </c>
      <c r="K5" s="578">
        <v>5620736.6799999997</v>
      </c>
      <c r="L5" s="48">
        <v>0.44835414886199787</v>
      </c>
      <c r="M5" s="210">
        <f>+G5/K5-1</f>
        <v>-0.23523359041256486</v>
      </c>
      <c r="N5" s="578">
        <v>5620736.6799999997</v>
      </c>
      <c r="O5" s="48">
        <v>0.44835414886199787</v>
      </c>
      <c r="P5" s="210">
        <f>+I5/N5-1</f>
        <v>-0.23523359041256486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84577046.269999996</v>
      </c>
      <c r="E6" s="32">
        <v>72298536.129999995</v>
      </c>
      <c r="F6" s="48">
        <f>E6/D6</f>
        <v>0.85482455723503714</v>
      </c>
      <c r="G6" s="32">
        <v>64202994.729999997</v>
      </c>
      <c r="H6" s="48">
        <f>G6/D6</f>
        <v>0.75910660825209264</v>
      </c>
      <c r="I6" s="32">
        <v>13672774.310000001</v>
      </c>
      <c r="J6" s="153">
        <f>I6/D6</f>
        <v>0.16166057947154649</v>
      </c>
      <c r="K6" s="578">
        <v>60376467.68</v>
      </c>
      <c r="L6" s="48">
        <v>0.80773277187960379</v>
      </c>
      <c r="M6" s="210">
        <f t="shared" ref="M6:M17" si="0">+G6/K6-1</f>
        <v>6.3377789344697844E-2</v>
      </c>
      <c r="N6" s="578">
        <v>15012942.58</v>
      </c>
      <c r="O6" s="48">
        <v>0.20084722061720869</v>
      </c>
      <c r="P6" s="210">
        <f>+I6/N6-1</f>
        <v>-8.9267527858619133E-2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7" t="s">
        <v>3</v>
      </c>
      <c r="C8" s="160">
        <v>250143469.58000001</v>
      </c>
      <c r="D8" s="397">
        <v>249464905.74000001</v>
      </c>
      <c r="E8" s="398">
        <v>229851860.94999999</v>
      </c>
      <c r="F8" s="48">
        <f t="shared" ref="F8" si="1">E8/D8</f>
        <v>0.9213795434198615</v>
      </c>
      <c r="G8" s="398">
        <v>224633560.94999999</v>
      </c>
      <c r="H8" s="412">
        <f>G8/D8</f>
        <v>0.90046157107212499</v>
      </c>
      <c r="I8" s="398">
        <v>89824797.599999994</v>
      </c>
      <c r="J8" s="153">
        <f t="shared" ref="J8" si="2">I8/D8</f>
        <v>0.36006987569473264</v>
      </c>
      <c r="K8" s="635">
        <v>188395087.81</v>
      </c>
      <c r="L8" s="412">
        <v>0.9422878007657105</v>
      </c>
      <c r="M8" s="443">
        <f t="shared" si="0"/>
        <v>0.19235359881860181</v>
      </c>
      <c r="N8" s="635">
        <v>89596111.680000007</v>
      </c>
      <c r="O8" s="412">
        <v>0.44812911001825445</v>
      </c>
      <c r="P8" s="443">
        <f>+I8/N8-1</f>
        <v>2.5524089797195337E-3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1" t="s">
        <v>129</v>
      </c>
      <c r="G9" s="180">
        <v>0</v>
      </c>
      <c r="H9" s="513" t="s">
        <v>129</v>
      </c>
      <c r="I9" s="180">
        <v>0</v>
      </c>
      <c r="J9" s="517" t="s">
        <v>129</v>
      </c>
      <c r="K9" s="567">
        <v>0</v>
      </c>
      <c r="L9" s="268">
        <v>0</v>
      </c>
      <c r="M9" s="637" t="s">
        <v>129</v>
      </c>
      <c r="N9" s="567">
        <v>0</v>
      </c>
      <c r="O9" s="268">
        <v>0</v>
      </c>
      <c r="P9" s="637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349762691.5</v>
      </c>
      <c r="E10" s="84">
        <f>SUM(E5:E9)</f>
        <v>306448947.69</v>
      </c>
      <c r="F10" s="90">
        <f>E10/D10</f>
        <v>0.87616248141205766</v>
      </c>
      <c r="G10" s="84">
        <f>SUM(G5:G9)</f>
        <v>293135106.28999996</v>
      </c>
      <c r="H10" s="90">
        <f>G10/D10</f>
        <v>0.83809712531903924</v>
      </c>
      <c r="I10" s="84">
        <f>SUM(I5:I9)</f>
        <v>107796122.52</v>
      </c>
      <c r="J10" s="170">
        <f>I10/D10</f>
        <v>0.30819788713799967</v>
      </c>
      <c r="K10" s="568">
        <f>SUM(K5:K9)</f>
        <v>254392292.17000002</v>
      </c>
      <c r="L10" s="636">
        <v>0.877</v>
      </c>
      <c r="M10" s="213">
        <f t="shared" si="0"/>
        <v>0.15229555026812558</v>
      </c>
      <c r="N10" s="568">
        <f>SUM(N5:N9)</f>
        <v>110229790.94</v>
      </c>
      <c r="O10" s="90">
        <v>0.38</v>
      </c>
      <c r="P10" s="213">
        <f>+I10/N10-1</f>
        <v>-2.2078136946886651E-2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95">
        <v>4727275.88</v>
      </c>
      <c r="E11" s="472">
        <v>1937846.67</v>
      </c>
      <c r="F11" s="48">
        <f>E11/D11</f>
        <v>0.4099288298782342</v>
      </c>
      <c r="G11" s="30">
        <v>1937846.67</v>
      </c>
      <c r="H11" s="48">
        <f>G11/D11</f>
        <v>0.4099288298782342</v>
      </c>
      <c r="I11" s="30">
        <v>0</v>
      </c>
      <c r="J11" s="153" t="s">
        <v>129</v>
      </c>
      <c r="K11" s="565">
        <v>110012.51</v>
      </c>
      <c r="L11" s="412">
        <v>3.8597672490303075E-2</v>
      </c>
      <c r="M11" s="210" t="s">
        <v>129</v>
      </c>
      <c r="N11" s="565"/>
      <c r="O11" s="414"/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63">
        <v>0</v>
      </c>
      <c r="E12" s="398">
        <v>0</v>
      </c>
      <c r="F12" s="48" t="s">
        <v>129</v>
      </c>
      <c r="G12" s="137">
        <v>0</v>
      </c>
      <c r="H12" s="390">
        <f>G12/D10</f>
        <v>0</v>
      </c>
      <c r="I12" s="137">
        <v>0</v>
      </c>
      <c r="J12" s="392" t="s">
        <v>129</v>
      </c>
      <c r="K12" s="569"/>
      <c r="L12" s="390" t="s">
        <v>129</v>
      </c>
      <c r="M12" s="496" t="s">
        <v>129</v>
      </c>
      <c r="N12" s="569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4727275.88</v>
      </c>
      <c r="E13" s="84">
        <f>SUM(E11:E12)</f>
        <v>1937846.67</v>
      </c>
      <c r="F13" s="90">
        <f>E13/D13</f>
        <v>0.4099288298782342</v>
      </c>
      <c r="G13" s="84">
        <f>SUM(G11:G12)</f>
        <v>1937846.67</v>
      </c>
      <c r="H13" s="90">
        <f>G13/D13</f>
        <v>0.4099288298782342</v>
      </c>
      <c r="I13" s="84">
        <f>SUM(I11:I12)</f>
        <v>0</v>
      </c>
      <c r="J13" s="170">
        <f>I13/D13</f>
        <v>0</v>
      </c>
      <c r="K13" s="568">
        <f t="shared" ref="K13" si="3">SUM(K11:K12)</f>
        <v>110012.51</v>
      </c>
      <c r="L13" s="90">
        <v>0.25776768391003541</v>
      </c>
      <c r="M13" s="225" t="s">
        <v>129</v>
      </c>
      <c r="N13" s="568">
        <f t="shared" ref="N13" si="4">SUM(N11:N12)</f>
        <v>0</v>
      </c>
      <c r="O13" s="90"/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58" t="s">
        <v>129</v>
      </c>
      <c r="G16" s="84">
        <f t="shared" si="5"/>
        <v>0</v>
      </c>
      <c r="H16" s="58" t="s">
        <v>129</v>
      </c>
      <c r="I16" s="84">
        <f t="shared" si="5"/>
        <v>0</v>
      </c>
      <c r="J16" s="223" t="s">
        <v>129</v>
      </c>
      <c r="K16" s="568">
        <f t="shared" ref="K16" si="6">SUM(K14:K15)</f>
        <v>0</v>
      </c>
      <c r="L16" s="58" t="s">
        <v>129</v>
      </c>
      <c r="M16" s="216" t="s">
        <v>129</v>
      </c>
      <c r="N16" s="568">
        <f t="shared" ref="N16" si="7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8">+D10+D13+D16</f>
        <v>354489967.38</v>
      </c>
      <c r="E17" s="155">
        <f>+E10+E13+E16</f>
        <v>308386794.36000001</v>
      </c>
      <c r="F17" s="181">
        <f>E17/D17</f>
        <v>0.86994505553783674</v>
      </c>
      <c r="G17" s="155">
        <f t="shared" si="8"/>
        <v>295072952.95999998</v>
      </c>
      <c r="H17" s="181">
        <f>G17/D17</f>
        <v>0.83238731730789095</v>
      </c>
      <c r="I17" s="155">
        <f t="shared" si="8"/>
        <v>107796122.52</v>
      </c>
      <c r="J17" s="173">
        <f>I17/D17</f>
        <v>0.30408793601892431</v>
      </c>
      <c r="K17" s="576">
        <f t="shared" ref="K17" si="9">+K10+K13+K16</f>
        <v>254502304.68000001</v>
      </c>
      <c r="L17" s="181">
        <v>0.87609820991054277</v>
      </c>
      <c r="M17" s="607">
        <f t="shared" si="0"/>
        <v>0.1594117127191117</v>
      </c>
      <c r="N17" s="576">
        <f t="shared" ref="N17" si="10">+N10+N13+N16</f>
        <v>110229790.94</v>
      </c>
      <c r="O17" s="181">
        <v>0.37945480549880639</v>
      </c>
      <c r="P17" s="607">
        <f>+I17/N17-1</f>
        <v>-2.2078136946886651E-2</v>
      </c>
    </row>
    <row r="22" spans="1:16" x14ac:dyDescent="0.25">
      <c r="E22" s="180"/>
    </row>
    <row r="26" spans="1:16" x14ac:dyDescent="0.25">
      <c r="J26" s="522"/>
      <c r="K26" s="522"/>
      <c r="L26" s="522"/>
      <c r="M26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zoomScaleNormal="100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522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H18" sqref="H18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771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1361339.78</v>
      </c>
      <c r="E5" s="30">
        <v>557337.4</v>
      </c>
      <c r="F5" s="48">
        <f>E5/D5</f>
        <v>0.4094035950378237</v>
      </c>
      <c r="G5" s="30">
        <v>557337.4</v>
      </c>
      <c r="H5" s="48">
        <f>G5/D5</f>
        <v>0.4094035950378237</v>
      </c>
      <c r="I5" s="30">
        <v>557337.4</v>
      </c>
      <c r="J5" s="153">
        <f>I5/D5</f>
        <v>0.4094035950378237</v>
      </c>
      <c r="K5" s="578"/>
      <c r="L5" s="48" t="s">
        <v>129</v>
      </c>
      <c r="M5" s="210" t="s">
        <v>129</v>
      </c>
      <c r="N5" s="578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29400836.609999999</v>
      </c>
      <c r="E6" s="32">
        <v>14978504.890000001</v>
      </c>
      <c r="F6" s="48">
        <f>E6/D6</f>
        <v>0.50945845822990687</v>
      </c>
      <c r="G6" s="32">
        <v>14702805.77</v>
      </c>
      <c r="H6" s="48">
        <f>G6/D6</f>
        <v>0.50008120398176659</v>
      </c>
      <c r="I6" s="32">
        <v>3772181.38</v>
      </c>
      <c r="J6" s="153">
        <f>I6/D6</f>
        <v>0.12830183814282964</v>
      </c>
      <c r="K6" s="578"/>
      <c r="L6" s="48" t="s">
        <v>129</v>
      </c>
      <c r="M6" s="210" t="s">
        <v>129</v>
      </c>
      <c r="N6" s="578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7">
        <v>191502566.40000001</v>
      </c>
      <c r="E8" s="398">
        <v>124428823.28</v>
      </c>
      <c r="F8" s="48">
        <f t="shared" ref="F8" si="0">E8/D8</f>
        <v>0.64975016063283419</v>
      </c>
      <c r="G8" s="398">
        <v>122268823.28</v>
      </c>
      <c r="H8" s="412">
        <f>G8/D8</f>
        <v>0.63847093842393543</v>
      </c>
      <c r="I8" s="398">
        <v>38671249.210000001</v>
      </c>
      <c r="J8" s="153">
        <f t="shared" ref="J8" si="1">I8/D8</f>
        <v>0.20193593191448739</v>
      </c>
      <c r="K8" s="635"/>
      <c r="L8" s="412" t="s">
        <v>129</v>
      </c>
      <c r="M8" s="443" t="s">
        <v>129</v>
      </c>
      <c r="N8" s="635"/>
      <c r="O8" s="412" t="s">
        <v>129</v>
      </c>
      <c r="P8" s="443" t="s">
        <v>129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1" t="s">
        <v>129</v>
      </c>
      <c r="G9" s="180"/>
      <c r="H9" s="513" t="s">
        <v>129</v>
      </c>
      <c r="I9" s="180"/>
      <c r="J9" s="517" t="s">
        <v>129</v>
      </c>
      <c r="K9" s="567"/>
      <c r="L9" s="268" t="s">
        <v>129</v>
      </c>
      <c r="M9" s="637" t="s">
        <v>129</v>
      </c>
      <c r="N9" s="567"/>
      <c r="O9" s="268" t="s">
        <v>129</v>
      </c>
      <c r="P9" s="637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222264742.79000002</v>
      </c>
      <c r="E10" s="84">
        <f>SUM(E5:E9)</f>
        <v>139964665.56999999</v>
      </c>
      <c r="F10" s="90">
        <f>E10/D10</f>
        <v>0.62972050273507074</v>
      </c>
      <c r="G10" s="84">
        <f>SUM(G5:G9)</f>
        <v>137528966.44999999</v>
      </c>
      <c r="H10" s="90">
        <f>G10/D10</f>
        <v>0.61876195353187435</v>
      </c>
      <c r="I10" s="84">
        <f>SUM(I5:I9)</f>
        <v>43000767.990000002</v>
      </c>
      <c r="J10" s="170">
        <f>I10/D10</f>
        <v>0.1934664375925243</v>
      </c>
      <c r="K10" s="568">
        <f>SUM(K5:K9)</f>
        <v>0</v>
      </c>
      <c r="L10" s="636" t="s">
        <v>129</v>
      </c>
      <c r="M10" s="213" t="s">
        <v>129</v>
      </c>
      <c r="N10" s="568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95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5"/>
      <c r="L11" s="412" t="s">
        <v>129</v>
      </c>
      <c r="M11" s="210" t="s">
        <v>129</v>
      </c>
      <c r="N11" s="565"/>
      <c r="O11" s="414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/>
      <c r="D12" s="563"/>
      <c r="E12" s="398"/>
      <c r="F12" s="48" t="s">
        <v>129</v>
      </c>
      <c r="G12" s="137">
        <v>0</v>
      </c>
      <c r="H12" s="390" t="s">
        <v>129</v>
      </c>
      <c r="I12" s="137">
        <v>0</v>
      </c>
      <c r="J12" s="392" t="s">
        <v>129</v>
      </c>
      <c r="K12" s="569"/>
      <c r="L12" s="390" t="s">
        <v>129</v>
      </c>
      <c r="M12" s="496" t="s">
        <v>129</v>
      </c>
      <c r="N12" s="569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0</v>
      </c>
      <c r="E13" s="84">
        <f>SUM(E11:E12)</f>
        <v>0</v>
      </c>
      <c r="F13" s="90" t="s">
        <v>129</v>
      </c>
      <c r="G13" s="84">
        <f>SUM(G11:G12)</f>
        <v>0</v>
      </c>
      <c r="H13" s="90" t="s">
        <v>129</v>
      </c>
      <c r="I13" s="84">
        <f>SUM(I11:I12)</f>
        <v>0</v>
      </c>
      <c r="J13" s="170" t="s">
        <v>129</v>
      </c>
      <c r="K13" s="568">
        <f t="shared" ref="K13" si="2">SUM(K11:K12)</f>
        <v>0</v>
      </c>
      <c r="L13" s="90" t="s">
        <v>129</v>
      </c>
      <c r="M13" s="225" t="s">
        <v>129</v>
      </c>
      <c r="N13" s="568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8">
        <f t="shared" ref="K16" si="5">SUM(K14:K15)</f>
        <v>0</v>
      </c>
      <c r="L16" s="58" t="s">
        <v>129</v>
      </c>
      <c r="M16" s="216" t="s">
        <v>129</v>
      </c>
      <c r="N16" s="568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222264742.79000002</v>
      </c>
      <c r="E17" s="155">
        <f>+E10+E13+E16</f>
        <v>139964665.56999999</v>
      </c>
      <c r="F17" s="181">
        <f>E17/D17</f>
        <v>0.62972050273507074</v>
      </c>
      <c r="G17" s="155">
        <f t="shared" si="7"/>
        <v>137528966.44999999</v>
      </c>
      <c r="H17" s="181">
        <f>G17/D17</f>
        <v>0.61876195353187435</v>
      </c>
      <c r="I17" s="155">
        <f t="shared" si="7"/>
        <v>43000767.990000002</v>
      </c>
      <c r="J17" s="173">
        <f>I17/D17</f>
        <v>0.1934664375925243</v>
      </c>
      <c r="K17" s="576">
        <f t="shared" ref="K17" si="8">+K10+K13+K16</f>
        <v>0</v>
      </c>
      <c r="L17" s="181" t="s">
        <v>129</v>
      </c>
      <c r="M17" s="607" t="s">
        <v>129</v>
      </c>
      <c r="N17" s="576">
        <f t="shared" ref="N17" si="9">+N10+N13+N16</f>
        <v>0</v>
      </c>
      <c r="O17" s="181" t="s">
        <v>129</v>
      </c>
      <c r="P17" s="607" t="s">
        <v>129</v>
      </c>
    </row>
    <row r="22" spans="1:16" x14ac:dyDescent="0.25">
      <c r="E22" s="180"/>
    </row>
    <row r="26" spans="1:16" x14ac:dyDescent="0.25">
      <c r="J26" s="522"/>
      <c r="K26" s="522"/>
      <c r="L26" s="522"/>
      <c r="M26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"/>
  <sheetViews>
    <sheetView topLeftCell="B1" workbookViewId="0">
      <selection activeCell="I27" sqref="I2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772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Abril&amp;RDirecció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P137"/>
  <sheetViews>
    <sheetView zoomScaleNormal="100" workbookViewId="0">
      <selection activeCell="D16" sqref="D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213087703.86000001</v>
      </c>
      <c r="E5" s="30">
        <v>70155574.069999993</v>
      </c>
      <c r="F5" s="48">
        <f>E5/D5</f>
        <v>0.32923332880855788</v>
      </c>
      <c r="G5" s="30">
        <v>70049159.829999998</v>
      </c>
      <c r="H5" s="48">
        <f>G5/D5</f>
        <v>0.32873393706481885</v>
      </c>
      <c r="I5" s="30">
        <v>69517470.829999998</v>
      </c>
      <c r="J5" s="153">
        <f>I5/D5</f>
        <v>0.32623877197378515</v>
      </c>
      <c r="K5" s="578">
        <v>92268498.290000007</v>
      </c>
      <c r="L5" s="48">
        <v>0.43979911382611131</v>
      </c>
      <c r="M5" s="210">
        <f>+G5/K5-1</f>
        <v>-0.24081174909950953</v>
      </c>
      <c r="N5" s="578">
        <v>91781626.090000004</v>
      </c>
      <c r="O5" s="48">
        <v>0.43747843053685292</v>
      </c>
      <c r="P5" s="210">
        <f>+I5/N5-1</f>
        <v>-0.24257747665276741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21729641.210000001</v>
      </c>
      <c r="E6" s="32">
        <v>14702914.390000001</v>
      </c>
      <c r="F6" s="48">
        <f>E6/D6</f>
        <v>0.67662941361561491</v>
      </c>
      <c r="G6" s="32">
        <v>13224737.869999999</v>
      </c>
      <c r="H6" s="48">
        <f>G6/D6</f>
        <v>0.60860360013279757</v>
      </c>
      <c r="I6" s="32">
        <v>2891871.52</v>
      </c>
      <c r="J6" s="153">
        <f>I6/D6</f>
        <v>0.13308418174291611</v>
      </c>
      <c r="K6" s="579">
        <v>13422149.449999999</v>
      </c>
      <c r="L6" s="280">
        <v>0.76439199498570798</v>
      </c>
      <c r="M6" s="211">
        <f>+G6/K6-1</f>
        <v>-1.4707896133580922E-2</v>
      </c>
      <c r="N6" s="579">
        <v>2784774.42</v>
      </c>
      <c r="O6" s="280">
        <v>0.1585930243452153</v>
      </c>
      <c r="P6" s="211">
        <f>+I6/N6-1</f>
        <v>3.8458088106109622E-2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566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2776443.64</v>
      </c>
      <c r="E8" s="34">
        <v>66828.14</v>
      </c>
      <c r="F8" s="390">
        <f>E8/D8</f>
        <v>2.4069690822177105E-2</v>
      </c>
      <c r="G8" s="34">
        <v>66828.14</v>
      </c>
      <c r="H8" s="390">
        <f>G8/D8</f>
        <v>2.4069690822177105E-2</v>
      </c>
      <c r="I8" s="34">
        <v>55057.98</v>
      </c>
      <c r="J8" s="392">
        <f>I8/D8</f>
        <v>1.9830397133507094E-2</v>
      </c>
      <c r="K8" s="580">
        <v>26120.75</v>
      </c>
      <c r="L8" s="390">
        <v>9.2017608649102491E-3</v>
      </c>
      <c r="M8" s="443">
        <f t="shared" ref="M8:M12" si="0">+G8/K8-1</f>
        <v>1.5584311323373181</v>
      </c>
      <c r="N8" s="580">
        <v>16864.87</v>
      </c>
      <c r="O8" s="390">
        <v>5.9411196369858789E-3</v>
      </c>
      <c r="P8" s="520">
        <f>+I8/N8-1</f>
        <v>2.264654871339062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1">SUM(D5:D8)</f>
        <v>237593788.71000001</v>
      </c>
      <c r="E9" s="84">
        <f t="shared" si="1"/>
        <v>84925316.599999994</v>
      </c>
      <c r="F9" s="90">
        <f>E9/D9</f>
        <v>0.35743912776969661</v>
      </c>
      <c r="G9" s="84">
        <f t="shared" si="1"/>
        <v>83340725.840000004</v>
      </c>
      <c r="H9" s="90">
        <f>G9/D9</f>
        <v>0.3507698003912183</v>
      </c>
      <c r="I9" s="84">
        <f t="shared" si="1"/>
        <v>72464400.329999998</v>
      </c>
      <c r="J9" s="170">
        <f>I9/D9</f>
        <v>0.30499282293295937</v>
      </c>
      <c r="K9" s="568">
        <f t="shared" ref="K9" si="2">SUM(K5:K8)</f>
        <v>105716768.49000001</v>
      </c>
      <c r="L9" s="90">
        <v>0.45900000000000002</v>
      </c>
      <c r="M9" s="213">
        <f t="shared" si="0"/>
        <v>-0.21166029731713387</v>
      </c>
      <c r="N9" s="568">
        <f t="shared" ref="N9" si="3">SUM(N5:N8)</f>
        <v>94583265.38000001</v>
      </c>
      <c r="O9" s="90">
        <v>0.41099999999999998</v>
      </c>
      <c r="P9" s="213">
        <f>+I9/N9-1</f>
        <v>-0.23385600995202194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2127827.34</v>
      </c>
      <c r="E10" s="30">
        <v>1168566.79</v>
      </c>
      <c r="F10" s="414">
        <f>E10/D10</f>
        <v>0.54918308832332241</v>
      </c>
      <c r="G10" s="30">
        <v>882945.73</v>
      </c>
      <c r="H10" s="414">
        <f>G10/D10</f>
        <v>0.41495177423559187</v>
      </c>
      <c r="I10" s="136">
        <v>24983.67</v>
      </c>
      <c r="J10" s="431">
        <f>I10/D10</f>
        <v>1.1741399093029795E-2</v>
      </c>
      <c r="K10" s="565">
        <v>1686290.03</v>
      </c>
      <c r="L10" s="48">
        <v>0.41289730392210633</v>
      </c>
      <c r="M10" s="224">
        <f t="shared" si="0"/>
        <v>-0.47639746764084234</v>
      </c>
      <c r="N10" s="565">
        <v>344991.41</v>
      </c>
      <c r="O10" s="48">
        <v>8.4473026899937242E-2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9"/>
      <c r="L11" s="49" t="s">
        <v>129</v>
      </c>
      <c r="M11" s="215" t="s">
        <v>129</v>
      </c>
      <c r="N11" s="569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4">SUM(D10:D11)</f>
        <v>2127827.34</v>
      </c>
      <c r="E12" s="84">
        <f t="shared" si="4"/>
        <v>1168566.79</v>
      </c>
      <c r="F12" s="90">
        <f>E12/D12</f>
        <v>0.54918308832332241</v>
      </c>
      <c r="G12" s="84">
        <f t="shared" si="4"/>
        <v>882945.73</v>
      </c>
      <c r="H12" s="90">
        <f>G12/D12</f>
        <v>0.41495177423559187</v>
      </c>
      <c r="I12" s="84">
        <f t="shared" si="4"/>
        <v>24983.67</v>
      </c>
      <c r="J12" s="170">
        <f>I12/D12</f>
        <v>1.1741399093029795E-2</v>
      </c>
      <c r="K12" s="568">
        <f t="shared" ref="K12" si="5">SUM(K10:K11)</f>
        <v>1686290.03</v>
      </c>
      <c r="L12" s="90">
        <v>0.41299999999999998</v>
      </c>
      <c r="M12" s="213">
        <f t="shared" si="0"/>
        <v>-0.47639746764084234</v>
      </c>
      <c r="N12" s="568">
        <f t="shared" ref="N12" si="6">SUM(N10:N11)</f>
        <v>344991.41</v>
      </c>
      <c r="O12" s="90">
        <v>8.4000000000000005E-2</v>
      </c>
      <c r="P12" s="213">
        <f>+I12/N12-1</f>
        <v>-0.92758176210822174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65"/>
      <c r="L13" s="86" t="s">
        <v>129</v>
      </c>
      <c r="M13" s="214" t="s">
        <v>129</v>
      </c>
      <c r="N13" s="565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9"/>
      <c r="L14" s="49" t="s">
        <v>129</v>
      </c>
      <c r="M14" s="215" t="s">
        <v>129</v>
      </c>
      <c r="N14" s="569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568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239721616.05000001</v>
      </c>
      <c r="E16" s="155">
        <f t="shared" si="10"/>
        <v>86093883.390000001</v>
      </c>
      <c r="F16" s="181">
        <f>E16/D16</f>
        <v>0.35914109377621978</v>
      </c>
      <c r="G16" s="155">
        <f t="shared" si="10"/>
        <v>84223671.570000008</v>
      </c>
      <c r="H16" s="181">
        <f>G16/D16</f>
        <v>0.35133949519359586</v>
      </c>
      <c r="I16" s="155">
        <f t="shared" si="10"/>
        <v>72489384</v>
      </c>
      <c r="J16" s="173">
        <f>I16/D16</f>
        <v>0.3023898520060056</v>
      </c>
      <c r="K16" s="576">
        <f t="shared" ref="K16" si="11">+K9+K12+K15</f>
        <v>107403058.52000001</v>
      </c>
      <c r="L16" s="181">
        <v>0.45844106728648254</v>
      </c>
      <c r="M16" s="607">
        <f>+G16/K16-1</f>
        <v>-0.21581682374234867</v>
      </c>
      <c r="N16" s="576">
        <f t="shared" ref="N16" si="12">+N9+N12+N15</f>
        <v>94928256.790000007</v>
      </c>
      <c r="O16" s="181">
        <v>0.40519340843863411</v>
      </c>
      <c r="P16" s="607">
        <f>+I16/N16-1</f>
        <v>-0.23637717102126099</v>
      </c>
    </row>
    <row r="20" spans="5:5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35"/>
  <sheetViews>
    <sheetView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523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P137"/>
  <sheetViews>
    <sheetView zoomScaleNormal="100" workbookViewId="0">
      <selection activeCell="D16" sqref="D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4081915.07</v>
      </c>
      <c r="F5" s="48">
        <f>E5/D5</f>
        <v>0.34138641930011288</v>
      </c>
      <c r="G5" s="30">
        <v>4038205.07</v>
      </c>
      <c r="H5" s="48">
        <f>G5/D5</f>
        <v>0.33773078214654317</v>
      </c>
      <c r="I5" s="30">
        <v>4038205.07</v>
      </c>
      <c r="J5" s="153">
        <f>I5/D5</f>
        <v>0.33773078214654317</v>
      </c>
      <c r="K5" s="578">
        <v>4831876.54</v>
      </c>
      <c r="L5" s="48">
        <v>0.48611029199188099</v>
      </c>
      <c r="M5" s="210">
        <f>+G5/K5-1</f>
        <v>-0.16425739843096243</v>
      </c>
      <c r="N5" s="30">
        <v>4831876.54</v>
      </c>
      <c r="O5" s="48">
        <v>0.48611029199188099</v>
      </c>
      <c r="P5" s="210">
        <f>+I5/N5-1</f>
        <v>-0.16425739843096243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9041775.0199999996</v>
      </c>
      <c r="E6" s="32">
        <v>5774596.0199999996</v>
      </c>
      <c r="F6" s="48">
        <f>E6/D6</f>
        <v>0.63865734407534502</v>
      </c>
      <c r="G6" s="32">
        <v>4366319</v>
      </c>
      <c r="H6" s="48">
        <f>G6/D6</f>
        <v>0.48290507011531464</v>
      </c>
      <c r="I6" s="32">
        <v>1179023.58</v>
      </c>
      <c r="J6" s="153">
        <f>I6/D6</f>
        <v>0.13039735863722035</v>
      </c>
      <c r="K6" s="579">
        <v>3638036.9</v>
      </c>
      <c r="L6" s="280">
        <v>0.62454539483360239</v>
      </c>
      <c r="M6" s="211">
        <f>+G6/K6-1</f>
        <v>0.20018546265982073</v>
      </c>
      <c r="N6" s="32">
        <v>956509.87</v>
      </c>
      <c r="O6" s="280">
        <v>0.16420499594750887</v>
      </c>
      <c r="P6" s="211">
        <f>+I6/N6-1</f>
        <v>0.23263085617715595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32262322.739999998</v>
      </c>
      <c r="E8" s="34">
        <v>20395984.210000001</v>
      </c>
      <c r="F8" s="390">
        <f>E8/D8</f>
        <v>0.63219205803531064</v>
      </c>
      <c r="G8" s="34">
        <v>19908928.59</v>
      </c>
      <c r="H8" s="390">
        <f>G8/D8</f>
        <v>0.61709532665843025</v>
      </c>
      <c r="I8" s="34">
        <v>7666117.6799999997</v>
      </c>
      <c r="J8" s="392">
        <f>I8/D8</f>
        <v>0.237618281293035</v>
      </c>
      <c r="K8" s="580">
        <v>20354074.949999999</v>
      </c>
      <c r="L8" s="390">
        <v>0.78292038497651406</v>
      </c>
      <c r="M8" s="520">
        <f>+G8/K8-1</f>
        <v>-2.1870134658219853E-2</v>
      </c>
      <c r="N8" s="694">
        <v>7135428.8399999999</v>
      </c>
      <c r="O8" s="390">
        <v>0.2744645830433734</v>
      </c>
      <c r="P8" s="520">
        <f>+I8/N8-1</f>
        <v>7.437378353842572E-2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53260973.719999999</v>
      </c>
      <c r="E9" s="84">
        <f t="shared" si="0"/>
        <v>30252495.300000001</v>
      </c>
      <c r="F9" s="90">
        <f>E9/D9</f>
        <v>0.56800492343683728</v>
      </c>
      <c r="G9" s="84">
        <f t="shared" si="0"/>
        <v>28313452.66</v>
      </c>
      <c r="H9" s="90">
        <f>G9/D9</f>
        <v>0.53159847975832319</v>
      </c>
      <c r="I9" s="84">
        <f t="shared" si="0"/>
        <v>12883346.33</v>
      </c>
      <c r="J9" s="170">
        <f>I9/D9</f>
        <v>0.24189092744960805</v>
      </c>
      <c r="K9" s="568">
        <f t="shared" ref="K9" si="1">SUM(K5:K8)</f>
        <v>28823988.390000001</v>
      </c>
      <c r="L9" s="90">
        <v>0.69018657483282664</v>
      </c>
      <c r="M9" s="213">
        <f t="shared" ref="M9" si="2">+G9/K9-1</f>
        <v>-1.7712182057952885E-2</v>
      </c>
      <c r="N9" s="84">
        <f t="shared" ref="N9" si="3">SUM(N5:N8)</f>
        <v>12923815.25</v>
      </c>
      <c r="O9" s="90">
        <v>0.30945904017447984</v>
      </c>
      <c r="P9" s="213">
        <f>+I9/N9-1</f>
        <v>-3.1313446700655945E-3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6977152.5099999998</v>
      </c>
      <c r="E10" s="30">
        <v>6724248.1100000003</v>
      </c>
      <c r="F10" s="48">
        <f>E10/D10</f>
        <v>0.96375249077076586</v>
      </c>
      <c r="G10" s="30">
        <v>6724248.1100000003</v>
      </c>
      <c r="H10" s="48">
        <f>G10/D10</f>
        <v>0.96375249077076586</v>
      </c>
      <c r="I10" s="30">
        <v>4647.3999999999996</v>
      </c>
      <c r="J10" s="153">
        <f>I10/D10</f>
        <v>6.6608834955794879E-4</v>
      </c>
      <c r="K10" s="565">
        <v>1451473.09</v>
      </c>
      <c r="L10" s="48">
        <v>0.61006173573561484</v>
      </c>
      <c r="M10" s="210">
        <f>+G10/K10-1</f>
        <v>3.6327060117938528</v>
      </c>
      <c r="N10" s="30">
        <v>1018217.82</v>
      </c>
      <c r="O10" s="48">
        <v>0.42796227839548423</v>
      </c>
      <c r="P10" s="210">
        <f>+I10/N10-1</f>
        <v>-0.9954357506726802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194447</v>
      </c>
      <c r="E11" s="34">
        <v>194447</v>
      </c>
      <c r="F11" s="78">
        <f>E11/D11</f>
        <v>1</v>
      </c>
      <c r="G11" s="56">
        <v>194447</v>
      </c>
      <c r="H11" s="78">
        <f>G11/D11</f>
        <v>1</v>
      </c>
      <c r="I11" s="56">
        <v>0</v>
      </c>
      <c r="J11" s="172">
        <f>I11/D11</f>
        <v>0</v>
      </c>
      <c r="K11" s="569">
        <v>0</v>
      </c>
      <c r="L11" s="390">
        <v>0</v>
      </c>
      <c r="M11" s="245" t="s">
        <v>129</v>
      </c>
      <c r="N11" s="56">
        <v>0</v>
      </c>
      <c r="O11" s="390">
        <v>0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 t="shared" ref="D12:I12" si="4">SUM(D10:D11)</f>
        <v>7171599.5099999998</v>
      </c>
      <c r="E12" s="84">
        <f t="shared" si="4"/>
        <v>6918695.1100000003</v>
      </c>
      <c r="F12" s="90">
        <f>E12/D12</f>
        <v>0.96473528678681064</v>
      </c>
      <c r="G12" s="84">
        <f t="shared" si="4"/>
        <v>6918695.1100000003</v>
      </c>
      <c r="H12" s="90">
        <f>G12/D12</f>
        <v>0.96473528678681064</v>
      </c>
      <c r="I12" s="84">
        <f t="shared" si="4"/>
        <v>4647.3999999999996</v>
      </c>
      <c r="J12" s="170">
        <f>I12/D12</f>
        <v>6.4802837826062598E-4</v>
      </c>
      <c r="K12" s="568">
        <f t="shared" ref="K12" si="5">SUM(K10:K11)</f>
        <v>1451473.09</v>
      </c>
      <c r="L12" s="90">
        <v>0.15294129384004509</v>
      </c>
      <c r="M12" s="213">
        <f>+G12/K12-1</f>
        <v>3.7666712925418411</v>
      </c>
      <c r="N12" s="84">
        <f t="shared" ref="N12" si="6">SUM(N10:N11)</f>
        <v>1018217.82</v>
      </c>
      <c r="O12" s="90">
        <v>0.10728931309487118</v>
      </c>
      <c r="P12" s="213">
        <f>+I12/N12-1</f>
        <v>-0.9954357506726802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65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60432573.229999997</v>
      </c>
      <c r="E16" s="155">
        <f t="shared" si="10"/>
        <v>37171190.410000004</v>
      </c>
      <c r="F16" s="181">
        <f>E16/D16</f>
        <v>0.61508534922930347</v>
      </c>
      <c r="G16" s="155">
        <f t="shared" si="10"/>
        <v>35232147.770000003</v>
      </c>
      <c r="H16" s="181">
        <f>G16/D16</f>
        <v>0.58299929800953809</v>
      </c>
      <c r="I16" s="155">
        <f t="shared" si="10"/>
        <v>12887993.73</v>
      </c>
      <c r="J16" s="173">
        <f>I16/D16</f>
        <v>0.21326236897028455</v>
      </c>
      <c r="K16" s="576">
        <f t="shared" ref="K16" si="11">+K9+K12+K15</f>
        <v>30275461.48</v>
      </c>
      <c r="L16" s="181">
        <v>0.59070616419638289</v>
      </c>
      <c r="M16" s="607">
        <f>+G16/K16-1</f>
        <v>0.16371959493579946</v>
      </c>
      <c r="N16" s="155">
        <f t="shared" ref="N16" si="12">+N9+N12+N15</f>
        <v>13942033.07</v>
      </c>
      <c r="O16" s="181">
        <v>0.27202376027593483</v>
      </c>
      <c r="P16" s="607">
        <f>+I16/N16-1</f>
        <v>-7.5601552134318628E-2</v>
      </c>
    </row>
    <row r="19" spans="5:7" x14ac:dyDescent="0.25">
      <c r="G19" s="690"/>
    </row>
    <row r="20" spans="5:7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view="pageLayout" zoomScaleNormal="100" workbookViewId="0">
      <selection activeCell="A2" sqref="A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524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1517039.96</v>
      </c>
      <c r="E5" s="180">
        <v>526066.16</v>
      </c>
      <c r="F5" s="48">
        <f>E5/D5</f>
        <v>0.34677145880850763</v>
      </c>
      <c r="G5" s="180">
        <v>526066.16</v>
      </c>
      <c r="H5" s="48">
        <f>G5/D5</f>
        <v>0.34677145880850763</v>
      </c>
      <c r="I5" s="180">
        <v>526066.16</v>
      </c>
      <c r="J5" s="153">
        <f>I5/D5</f>
        <v>0.34677145880850763</v>
      </c>
      <c r="K5" s="180">
        <v>813410.03</v>
      </c>
      <c r="L5" s="48">
        <v>0.46142056820865446</v>
      </c>
      <c r="M5" s="210">
        <f>+G5/K5-1</f>
        <v>-0.35325833147152119</v>
      </c>
      <c r="N5" s="689">
        <v>813410.03</v>
      </c>
      <c r="O5" s="48">
        <v>0.46142056820865446</v>
      </c>
      <c r="P5" s="210">
        <f>+I5/N5-1</f>
        <v>-0.35325833147152119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207235932.65000001</v>
      </c>
      <c r="F6" s="48">
        <f>E6/D6</f>
        <v>0.93490589372942656</v>
      </c>
      <c r="G6" s="34">
        <v>206169968.99000001</v>
      </c>
      <c r="H6" s="48">
        <f>G6/D6</f>
        <v>0.93009699936689094</v>
      </c>
      <c r="I6" s="34">
        <v>30382078.149999999</v>
      </c>
      <c r="J6" s="153">
        <f>I6/D6</f>
        <v>0.13706302552345054</v>
      </c>
      <c r="K6" s="34">
        <v>205637128.28</v>
      </c>
      <c r="L6" s="280">
        <v>0.95862235725531886</v>
      </c>
      <c r="M6" s="210">
        <f>+G6/K6-1</f>
        <v>2.5911697681095802E-3</v>
      </c>
      <c r="N6" s="34">
        <v>30625888.82</v>
      </c>
      <c r="O6" s="280">
        <v>0.14276926535218057</v>
      </c>
      <c r="P6" s="210">
        <f t="shared" ref="P6:P12" si="0">+I6/N6-1</f>
        <v>-7.9609336869526093E-3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60102707.159999996</v>
      </c>
      <c r="F8" s="390">
        <f>E8/D8</f>
        <v>0.99274925236795042</v>
      </c>
      <c r="G8" s="80">
        <v>60022707.159999996</v>
      </c>
      <c r="H8" s="78">
        <f t="shared" ref="H8" si="1">G8/D8</f>
        <v>0.99142784865849665</v>
      </c>
      <c r="I8" s="34">
        <v>14248839.970000001</v>
      </c>
      <c r="J8" s="392">
        <f>I8/D8</f>
        <v>0.2353558748971345</v>
      </c>
      <c r="K8" s="34">
        <v>62458061.130000003</v>
      </c>
      <c r="L8" s="390">
        <v>0.53344421144927012</v>
      </c>
      <c r="M8" s="520">
        <f>+G8/K8-1</f>
        <v>-3.8991827891216024E-2</v>
      </c>
      <c r="N8" s="34">
        <v>18454260.620000001</v>
      </c>
      <c r="O8" s="390">
        <v>0.15761485909441356</v>
      </c>
      <c r="P8" s="210">
        <f t="shared" si="0"/>
        <v>-0.22788345394029663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267864705.97</v>
      </c>
      <c r="F9" s="90">
        <f>E9/D9</f>
        <v>0.94410396316048462</v>
      </c>
      <c r="G9" s="84">
        <f>SUM(G5:G8)</f>
        <v>266718742.31</v>
      </c>
      <c r="H9" s="90">
        <f>G9/D9</f>
        <v>0.94006495089447495</v>
      </c>
      <c r="I9" s="84">
        <f t="shared" si="2"/>
        <v>45156984.280000001</v>
      </c>
      <c r="J9" s="170">
        <f>I9/D9</f>
        <v>0.15915828727319697</v>
      </c>
      <c r="K9" s="84">
        <f>SUM(K5:K8)</f>
        <v>268908599.44</v>
      </c>
      <c r="L9" s="90">
        <v>0.80700000000000005</v>
      </c>
      <c r="M9" s="213">
        <f t="shared" ref="M9" si="3">+G9/K9-1</f>
        <v>-8.1434998157751126E-3</v>
      </c>
      <c r="N9" s="84">
        <f t="shared" ref="N9" si="4">SUM(N5:N8)</f>
        <v>49893559.469999999</v>
      </c>
      <c r="O9" s="90">
        <v>0.15</v>
      </c>
      <c r="P9" s="213">
        <f>+I9/N9-1</f>
        <v>-9.4933599452811213E-2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3196109.16</v>
      </c>
      <c r="E10" s="30">
        <v>2529447.46</v>
      </c>
      <c r="F10" s="48">
        <f>E10/D10</f>
        <v>0.79141460237234196</v>
      </c>
      <c r="G10" s="136">
        <v>2529447.46</v>
      </c>
      <c r="H10" s="48">
        <f>G10/D10</f>
        <v>0.79141460237234196</v>
      </c>
      <c r="I10" s="136">
        <v>0</v>
      </c>
      <c r="J10" s="153">
        <f>I10/D10</f>
        <v>0</v>
      </c>
      <c r="K10" s="136">
        <v>7786.29</v>
      </c>
      <c r="L10" s="48">
        <v>7.2238222504921554E-2</v>
      </c>
      <c r="M10" s="224">
        <f>+G10/K10-1</f>
        <v>323.85913830591977</v>
      </c>
      <c r="N10" s="136">
        <v>7480.02</v>
      </c>
      <c r="O10" s="48">
        <v>6.9396766508987379E-2</v>
      </c>
      <c r="P10" s="224">
        <f t="shared" si="0"/>
        <v>-1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/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0</v>
      </c>
      <c r="O11" s="28">
        <v>0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5">SUM(D10:D11)</f>
        <v>3196109.16</v>
      </c>
      <c r="E12" s="84">
        <f t="shared" si="5"/>
        <v>2529447.46</v>
      </c>
      <c r="F12" s="90">
        <f>E12/D12</f>
        <v>0.79141460237234196</v>
      </c>
      <c r="G12" s="84">
        <f>SUM(G10:G11)</f>
        <v>2529447.46</v>
      </c>
      <c r="H12" s="90">
        <f>G12/D12</f>
        <v>0.79141460237234196</v>
      </c>
      <c r="I12" s="84">
        <f t="shared" si="5"/>
        <v>0</v>
      </c>
      <c r="J12" s="170">
        <f>I12/D12</f>
        <v>0</v>
      </c>
      <c r="K12" s="84">
        <f>SUM(K10:K11)</f>
        <v>207786.29</v>
      </c>
      <c r="L12" s="90">
        <v>0.6750992385008443</v>
      </c>
      <c r="M12" s="225">
        <f>+G12/K12-1</f>
        <v>11.17331258958423</v>
      </c>
      <c r="N12" s="84">
        <f t="shared" ref="N12" si="6">SUM(N10:N11)</f>
        <v>7480.02</v>
      </c>
      <c r="O12" s="90">
        <v>2.4302641940289155E-2</v>
      </c>
      <c r="P12" s="225">
        <f t="shared" si="0"/>
        <v>-1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286919847.67000002</v>
      </c>
      <c r="E16" s="155">
        <f t="shared" si="10"/>
        <v>270394153.43000001</v>
      </c>
      <c r="F16" s="181">
        <f>E16/D16</f>
        <v>0.94240309837677394</v>
      </c>
      <c r="G16" s="155">
        <f t="shared" si="10"/>
        <v>269248189.76999998</v>
      </c>
      <c r="H16" s="181">
        <f>G16/D16</f>
        <v>0.93840907820247754</v>
      </c>
      <c r="I16" s="155">
        <f t="shared" si="10"/>
        <v>45156984.280000001</v>
      </c>
      <c r="J16" s="173">
        <f>I16/D16</f>
        <v>0.15738536266036629</v>
      </c>
      <c r="K16" s="155">
        <f t="shared" ref="K16" si="11">+K9+K12+K15</f>
        <v>269116385.73000002</v>
      </c>
      <c r="L16" s="181">
        <v>0.80653860349216278</v>
      </c>
      <c r="M16" s="607">
        <f>+G16/K16-1</f>
        <v>4.8976594138783192E-4</v>
      </c>
      <c r="N16" s="155">
        <f t="shared" ref="N16" si="12">+N9+N12+N15</f>
        <v>49901039.490000002</v>
      </c>
      <c r="O16" s="181">
        <v>0.14955282114798885</v>
      </c>
      <c r="P16" s="607">
        <f>+I16/N16-1</f>
        <v>-9.5069266261491259E-2</v>
      </c>
    </row>
    <row r="20" spans="5:5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topLeftCell="B1" zoomScaleNormal="100" workbookViewId="0">
      <selection activeCell="I12" sqref="I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topLeftCell="A12" zoomScaleNormal="100" workbookViewId="0">
      <selection activeCell="F31" sqref="F31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536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D16" sqref="D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526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601736.19999999995</v>
      </c>
      <c r="E5" s="30">
        <v>202162.73</v>
      </c>
      <c r="F5" s="48">
        <f>E5/D5</f>
        <v>0.3359657105555558</v>
      </c>
      <c r="G5" s="30">
        <v>202162.73</v>
      </c>
      <c r="H5" s="48">
        <f>G5/D5</f>
        <v>0.3359657105555558</v>
      </c>
      <c r="I5" s="30">
        <v>202162.73</v>
      </c>
      <c r="J5" s="153">
        <f>I5/D5</f>
        <v>0.3359657105555558</v>
      </c>
      <c r="K5" s="204">
        <v>316646.3</v>
      </c>
      <c r="L5" s="48">
        <v>0.23108372432295216</v>
      </c>
      <c r="M5" s="210">
        <f>G5/K5-1</f>
        <v>-0.36155031655193814</v>
      </c>
      <c r="N5" s="30">
        <v>316646.3</v>
      </c>
      <c r="O5" s="48">
        <v>0.23108372432295216</v>
      </c>
      <c r="P5" s="210">
        <f>I5/N5-1</f>
        <v>-0.36155031655193814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4205260.74</v>
      </c>
      <c r="E6" s="32">
        <v>3219172.06</v>
      </c>
      <c r="F6" s="48">
        <f>E6/D6</f>
        <v>0.76551069220977719</v>
      </c>
      <c r="G6" s="32">
        <v>3062873.83</v>
      </c>
      <c r="H6" s="48">
        <f>G6/D6</f>
        <v>0.72834338210381688</v>
      </c>
      <c r="I6" s="32">
        <v>574647.34</v>
      </c>
      <c r="J6" s="153">
        <f>I6/D6</f>
        <v>0.13664963376325626</v>
      </c>
      <c r="K6" s="32">
        <v>3043614.48</v>
      </c>
      <c r="L6" s="280">
        <v>0.76139500911098001</v>
      </c>
      <c r="M6" s="210">
        <f>G6/K6-1</f>
        <v>6.3277889254884645E-3</v>
      </c>
      <c r="N6" s="32">
        <v>448728.74</v>
      </c>
      <c r="O6" s="280">
        <v>0.11225463189433196</v>
      </c>
      <c r="P6" s="210">
        <f>I6/N6-1</f>
        <v>0.2806118458113469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>
        <v>0</v>
      </c>
      <c r="M8" s="245" t="s">
        <v>129</v>
      </c>
      <c r="N8" s="180">
        <v>0</v>
      </c>
      <c r="O8" s="390">
        <v>0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1">SUM(D5:D8)</f>
        <v>4842046.9400000004</v>
      </c>
      <c r="E9" s="84">
        <f t="shared" si="1"/>
        <v>3456334.79</v>
      </c>
      <c r="F9" s="90">
        <f>E9/D9</f>
        <v>0.71381686977202241</v>
      </c>
      <c r="G9" s="84">
        <f t="shared" si="1"/>
        <v>3265036.56</v>
      </c>
      <c r="H9" s="90">
        <f>G9/D9</f>
        <v>0.67430915074937292</v>
      </c>
      <c r="I9" s="84">
        <f t="shared" si="1"/>
        <v>776810.07</v>
      </c>
      <c r="J9" s="170">
        <f>I9/D9</f>
        <v>0.16043009901097735</v>
      </c>
      <c r="K9" s="84">
        <f t="shared" ref="K9" si="2">SUM(K5:K8)</f>
        <v>3360260.78</v>
      </c>
      <c r="L9" s="90">
        <v>0.59299999999999997</v>
      </c>
      <c r="M9" s="213">
        <f t="shared" ref="M9" si="3">G9/K9-1</f>
        <v>-2.8338342240211367E-2</v>
      </c>
      <c r="N9" s="84">
        <f t="shared" ref="N9" si="4">SUM(N5:N8)</f>
        <v>765375.04</v>
      </c>
      <c r="O9" s="90">
        <v>0.13500000000000001</v>
      </c>
      <c r="P9" s="213">
        <f>I9/N9-1</f>
        <v>1.494042711400656E-2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9" t="s">
        <v>129</v>
      </c>
      <c r="N11" s="137"/>
      <c r="O11" s="49" t="s">
        <v>129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4842046.9400000004</v>
      </c>
      <c r="E16" s="155">
        <f t="shared" si="11"/>
        <v>3456334.79</v>
      </c>
      <c r="F16" s="181">
        <f>E16/D16</f>
        <v>0.71381686977202241</v>
      </c>
      <c r="G16" s="155">
        <f t="shared" si="11"/>
        <v>3265036.56</v>
      </c>
      <c r="H16" s="181">
        <f>G16/D16</f>
        <v>0.67430915074937292</v>
      </c>
      <c r="I16" s="155">
        <f t="shared" si="11"/>
        <v>776810.07</v>
      </c>
      <c r="J16" s="173">
        <f>I16/D16</f>
        <v>0.16043009901097735</v>
      </c>
      <c r="K16" s="155">
        <f t="shared" ref="K16" si="12">+K9+K12+K15</f>
        <v>3360260.78</v>
      </c>
      <c r="L16" s="181">
        <v>0.59288064814554331</v>
      </c>
      <c r="M16" s="607">
        <f t="shared" ref="M16" si="13">G16/K16-1</f>
        <v>-2.8338342240211367E-2</v>
      </c>
      <c r="N16" s="155">
        <f t="shared" ref="N16" si="14">+N9+N12+N15</f>
        <v>765375.04</v>
      </c>
      <c r="O16" s="181">
        <v>0.13504191474972999</v>
      </c>
      <c r="P16" s="607">
        <f>I16/N16-1</f>
        <v>1.494042711400656E-2</v>
      </c>
    </row>
    <row r="21" spans="5:5" x14ac:dyDescent="0.25">
      <c r="E21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31"/>
  <sheetViews>
    <sheetView topLeftCell="A13" zoomScaleNormal="100" workbookViewId="0">
      <selection activeCell="E21" sqref="E21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537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I19" sqref="I19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4386001.22</v>
      </c>
      <c r="E5" s="30">
        <v>1365580.53</v>
      </c>
      <c r="F5" s="48">
        <f>E5/D5</f>
        <v>0.3113497834366768</v>
      </c>
      <c r="G5" s="30">
        <v>1365580.53</v>
      </c>
      <c r="H5" s="48">
        <f>G5/D5</f>
        <v>0.3113497834366768</v>
      </c>
      <c r="I5" s="30">
        <v>1365580.53</v>
      </c>
      <c r="J5" s="153">
        <f>I5/D5</f>
        <v>0.3113497834366768</v>
      </c>
      <c r="K5" s="706">
        <v>1980911.6</v>
      </c>
      <c r="L5" s="48">
        <v>0.45699165078444082</v>
      </c>
      <c r="M5" s="210">
        <f>G5/K5-1</f>
        <v>-0.31063025225355845</v>
      </c>
      <c r="N5" s="689">
        <v>1980911.6</v>
      </c>
      <c r="O5" s="48">
        <v>0.45699165078444082</v>
      </c>
      <c r="P5" s="210">
        <f>I5/N5-1</f>
        <v>-0.31063025225355845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26335486.800000001</v>
      </c>
      <c r="E6" s="32">
        <v>22164741.100000001</v>
      </c>
      <c r="F6" s="48">
        <f>E6/D6</f>
        <v>0.84163020293970803</v>
      </c>
      <c r="G6" s="32">
        <v>21664473.120000001</v>
      </c>
      <c r="H6" s="48">
        <f>G6/D6</f>
        <v>0.82263423814896031</v>
      </c>
      <c r="I6" s="32">
        <v>3822159.59</v>
      </c>
      <c r="J6" s="178">
        <f>I6/D6</f>
        <v>0.14513343227815328</v>
      </c>
      <c r="K6" s="706">
        <v>18181084.43</v>
      </c>
      <c r="L6" s="280">
        <v>0.7679329881969349</v>
      </c>
      <c r="M6" s="210">
        <f>G6/K6-1</f>
        <v>0.19159410998896065</v>
      </c>
      <c r="N6" s="32">
        <v>2194525.58</v>
      </c>
      <c r="O6" s="280">
        <v>9.2692412975281024E-2</v>
      </c>
      <c r="P6" s="210">
        <f>I6/N6-1</f>
        <v>0.74167921524068081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6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6283900</v>
      </c>
      <c r="E8" s="34">
        <v>6088542.0499999998</v>
      </c>
      <c r="F8" s="390">
        <f t="shared" ref="F8" si="0">E8/D8</f>
        <v>0.9689113528222919</v>
      </c>
      <c r="G8" s="34">
        <v>6088542.0499999998</v>
      </c>
      <c r="H8" s="78">
        <f t="shared" ref="H8" si="1">G8/D8</f>
        <v>0.9689113528222919</v>
      </c>
      <c r="I8" s="34">
        <v>0</v>
      </c>
      <c r="J8" s="172">
        <f>I8/D8</f>
        <v>0</v>
      </c>
      <c r="K8" s="706">
        <v>5979026</v>
      </c>
      <c r="L8" s="390">
        <v>0.96851019190964627</v>
      </c>
      <c r="M8" s="520">
        <f t="shared" ref="M8:M11" si="2">G8/K8-1</f>
        <v>1.8316704091937419E-2</v>
      </c>
      <c r="N8" s="32">
        <v>60500</v>
      </c>
      <c r="O8" s="390">
        <v>9.8000688758559679E-3</v>
      </c>
      <c r="P8" s="210" t="s">
        <v>129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37005388.019999996</v>
      </c>
      <c r="E9" s="84">
        <f>SUM(E5:E8)</f>
        <v>29618863.680000003</v>
      </c>
      <c r="F9" s="90">
        <f>E9/D9</f>
        <v>0.80039327419002182</v>
      </c>
      <c r="G9" s="84">
        <f>SUM(G5:G8)</f>
        <v>29118595.700000003</v>
      </c>
      <c r="H9" s="90">
        <f>G9/D9</f>
        <v>0.78687448660888293</v>
      </c>
      <c r="I9" s="84">
        <f>SUM(I5:I8)</f>
        <v>5187740.12</v>
      </c>
      <c r="J9" s="170">
        <f>I9/D9</f>
        <v>0.1401887778394926</v>
      </c>
      <c r="K9" s="705">
        <f>SUM(K5:K8)</f>
        <v>26141022.030000001</v>
      </c>
      <c r="L9" s="90">
        <v>0.76472728510359445</v>
      </c>
      <c r="M9" s="213">
        <f t="shared" si="2"/>
        <v>0.11390425617571021</v>
      </c>
      <c r="N9" s="84">
        <f>SUM(N5:N8)</f>
        <v>4235937.18</v>
      </c>
      <c r="O9" s="90">
        <v>0.1239177540883154</v>
      </c>
      <c r="P9" s="213">
        <f>I9/N9-1</f>
        <v>0.22469713302027783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16383255.77</v>
      </c>
      <c r="E10" s="30">
        <v>12907013.970000001</v>
      </c>
      <c r="F10" s="48">
        <f>E10/D10</f>
        <v>0.78781740035057768</v>
      </c>
      <c r="G10" s="136">
        <v>8781226.3900000006</v>
      </c>
      <c r="H10" s="48">
        <f>G10/D10</f>
        <v>0.5359878715975146</v>
      </c>
      <c r="I10" s="136">
        <v>91768.94</v>
      </c>
      <c r="J10" s="153">
        <f>I10/D10</f>
        <v>5.6013860302444639E-3</v>
      </c>
      <c r="K10" s="704">
        <v>2967274.01</v>
      </c>
      <c r="L10" s="48">
        <v>0.40970135606523772</v>
      </c>
      <c r="M10" s="224">
        <f t="shared" si="2"/>
        <v>1.959358104578957</v>
      </c>
      <c r="N10" s="136">
        <v>1307116.23</v>
      </c>
      <c r="O10" s="48">
        <v>0.18047786964099119</v>
      </c>
      <c r="P10" s="224">
        <f>I10/N10-1</f>
        <v>-0.92979282339719704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703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3">SUM(D10:D11)</f>
        <v>16383255.77</v>
      </c>
      <c r="E12" s="84">
        <f t="shared" si="3"/>
        <v>12907013.970000001</v>
      </c>
      <c r="F12" s="90">
        <f>E12/D12</f>
        <v>0.78781740035057768</v>
      </c>
      <c r="G12" s="84">
        <f t="shared" si="3"/>
        <v>8781226.3900000006</v>
      </c>
      <c r="H12" s="90">
        <f>G12/D12</f>
        <v>0.5359878715975146</v>
      </c>
      <c r="I12" s="84">
        <f t="shared" si="3"/>
        <v>91768.94</v>
      </c>
      <c r="J12" s="170">
        <f>I12/D12</f>
        <v>5.6013860302444639E-3</v>
      </c>
      <c r="K12" s="705">
        <f>SUM(K10:K11)</f>
        <v>3014956.01</v>
      </c>
      <c r="L12" s="90">
        <v>0.41356223463234287</v>
      </c>
      <c r="M12" s="225">
        <f t="shared" ref="M12" si="4">G12/K12-1</f>
        <v>1.9125553941332636</v>
      </c>
      <c r="N12" s="84">
        <f t="shared" ref="N12" si="5">SUM(N10:N11)</f>
        <v>1307116.23</v>
      </c>
      <c r="O12" s="90">
        <v>0.17929744487482704</v>
      </c>
      <c r="P12" s="225">
        <f>I12/N12-1</f>
        <v>-0.92979282339719704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02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7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705">
        <v>0</v>
      </c>
      <c r="L15" s="58" t="s">
        <v>129</v>
      </c>
      <c r="M15" s="639" t="s">
        <v>129</v>
      </c>
      <c r="N15" s="84">
        <f t="shared" ref="N15" si="7">SUM(N13:N14)</f>
        <v>0</v>
      </c>
      <c r="O15" s="228" t="s">
        <v>129</v>
      </c>
      <c r="P15" s="639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53388643.789999992</v>
      </c>
      <c r="E16" s="155">
        <f t="shared" si="8"/>
        <v>42525877.650000006</v>
      </c>
      <c r="F16" s="181">
        <f>E16/D16</f>
        <v>0.79653414342705886</v>
      </c>
      <c r="G16" s="155">
        <f t="shared" si="8"/>
        <v>37899822.090000004</v>
      </c>
      <c r="H16" s="181">
        <f>G16/D16</f>
        <v>0.70988546251663476</v>
      </c>
      <c r="I16" s="155">
        <f t="shared" si="8"/>
        <v>5279509.0600000005</v>
      </c>
      <c r="J16" s="173">
        <f>I16/D16</f>
        <v>9.8888240742104852E-2</v>
      </c>
      <c r="K16" s="708">
        <f>SUM(K9,K12,K15)</f>
        <v>29155978.039999999</v>
      </c>
      <c r="L16" s="181">
        <v>0.70299974816575084</v>
      </c>
      <c r="M16" s="640">
        <f>G16/K16-1</f>
        <v>0.29989884194603422</v>
      </c>
      <c r="N16" s="155">
        <f t="shared" ref="N16" si="9">+N9+N12+N15</f>
        <v>5543053.4100000001</v>
      </c>
      <c r="O16" s="181">
        <v>0.13365235582058718</v>
      </c>
      <c r="P16" s="640">
        <f>I16/N16-1</f>
        <v>-4.7544977561383428E-2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7"/>
  <sheetViews>
    <sheetView topLeftCell="A12"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538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37"/>
  <sheetViews>
    <sheetView zoomScaleNormal="100" workbookViewId="0">
      <selection activeCell="D16" sqref="D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528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73"/>
      <c r="M2" s="773"/>
      <c r="N2" s="773"/>
      <c r="O2" s="773"/>
      <c r="P2" s="77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3721484.69</v>
      </c>
      <c r="F5" s="48">
        <f>E5/D5</f>
        <v>0.33125604039618828</v>
      </c>
      <c r="G5" s="30">
        <v>3721484.69</v>
      </c>
      <c r="H5" s="48">
        <f>G5/D5</f>
        <v>0.33125604039618828</v>
      </c>
      <c r="I5" s="30">
        <v>3721484.69</v>
      </c>
      <c r="J5" s="153">
        <f>I5/D5</f>
        <v>0.33125604039618828</v>
      </c>
      <c r="K5" s="565">
        <v>4570589.04</v>
      </c>
      <c r="L5" s="48">
        <v>0.43683973409702526</v>
      </c>
      <c r="M5" s="210">
        <f>+G5/K5-1</f>
        <v>-0.18577569380422798</v>
      </c>
      <c r="N5" s="565">
        <v>4570589.04</v>
      </c>
      <c r="O5" s="48">
        <v>0.43683973409702526</v>
      </c>
      <c r="P5" s="210">
        <f>+I5/N5-1</f>
        <v>-0.18577569380422798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22651623.32</v>
      </c>
      <c r="E6" s="32">
        <v>17485376.75</v>
      </c>
      <c r="F6" s="48">
        <f t="shared" ref="F6:F12" si="0">E6/D6</f>
        <v>0.771925989717544</v>
      </c>
      <c r="G6" s="32">
        <v>15538082.390000001</v>
      </c>
      <c r="H6" s="48">
        <f t="shared" ref="H6:H12" si="1">G6/D6</f>
        <v>0.68595889003155119</v>
      </c>
      <c r="I6" s="32">
        <v>5892948.1299999999</v>
      </c>
      <c r="J6" s="153">
        <f t="shared" ref="J6:J12" si="2">I6/D6</f>
        <v>0.26015566508193194</v>
      </c>
      <c r="K6" s="566">
        <v>17562558.550000001</v>
      </c>
      <c r="L6" s="280">
        <v>0.64288038300682859</v>
      </c>
      <c r="M6" s="210">
        <f>+G6/K6-1</f>
        <v>-0.11527227961896247</v>
      </c>
      <c r="N6" s="566">
        <v>6100756.8899999997</v>
      </c>
      <c r="O6" s="280">
        <v>0.22331922281760866</v>
      </c>
      <c r="P6" s="210">
        <f>+I6/N6-1</f>
        <v>-3.4062783314743772E-2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48837288.399999999</v>
      </c>
      <c r="E8" s="34">
        <v>40189788.990000002</v>
      </c>
      <c r="F8" s="78">
        <f t="shared" si="0"/>
        <v>0.82293244172008539</v>
      </c>
      <c r="G8" s="34">
        <v>31817262.100000001</v>
      </c>
      <c r="H8" s="78">
        <f t="shared" si="1"/>
        <v>0.65149526401633717</v>
      </c>
      <c r="I8" s="34">
        <v>9548675.5800000001</v>
      </c>
      <c r="J8" s="172">
        <f t="shared" si="2"/>
        <v>0.19552018330321549</v>
      </c>
      <c r="K8" s="569">
        <v>29887266.940000001</v>
      </c>
      <c r="L8" s="390">
        <v>0.66449045714150179</v>
      </c>
      <c r="M8" s="520">
        <f>+G8/K8-1</f>
        <v>6.4575833042029185E-2</v>
      </c>
      <c r="N8" s="569">
        <v>10647623.5</v>
      </c>
      <c r="O8" s="390">
        <v>0.2367310541037245</v>
      </c>
      <c r="P8" s="520">
        <f>+I8/N8-1</f>
        <v>-0.10321062911362333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82723377.620000005</v>
      </c>
      <c r="E9" s="84">
        <f t="shared" si="3"/>
        <v>61396650.430000007</v>
      </c>
      <c r="F9" s="90">
        <f>E9/D9</f>
        <v>0.74219225805833344</v>
      </c>
      <c r="G9" s="84">
        <f t="shared" si="3"/>
        <v>51076829.180000007</v>
      </c>
      <c r="H9" s="90">
        <f>G9/D9</f>
        <v>0.6174412922865371</v>
      </c>
      <c r="I9" s="84">
        <f t="shared" si="3"/>
        <v>19163108.399999999</v>
      </c>
      <c r="J9" s="170">
        <f>I9/D9</f>
        <v>0.2316528767481919</v>
      </c>
      <c r="K9" s="568">
        <f>SUM(K5:K8)</f>
        <v>52020414.530000001</v>
      </c>
      <c r="L9" s="90">
        <v>0.62857621094979454</v>
      </c>
      <c r="M9" s="213">
        <f>+G9/K9-1</f>
        <v>-1.8138751075423065E-2</v>
      </c>
      <c r="N9" s="568">
        <f>SUM(N5:N8)</f>
        <v>21318969.43</v>
      </c>
      <c r="O9" s="90">
        <v>0.25760265747086314</v>
      </c>
      <c r="P9" s="213">
        <f>+I9/N9-1</f>
        <v>-0.10112407342572005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4987637.5</v>
      </c>
      <c r="E10" s="180">
        <v>1300000</v>
      </c>
      <c r="F10" s="417">
        <f t="shared" si="0"/>
        <v>0.26064444338627257</v>
      </c>
      <c r="G10" s="136">
        <v>1300000</v>
      </c>
      <c r="H10" s="417">
        <f t="shared" si="1"/>
        <v>0.26064444338627257</v>
      </c>
      <c r="I10" s="56">
        <v>1300000</v>
      </c>
      <c r="J10" s="348">
        <f t="shared" si="2"/>
        <v>0.26064444338627257</v>
      </c>
      <c r="K10" s="565"/>
      <c r="L10" s="417" t="s">
        <v>129</v>
      </c>
      <c r="M10" s="224" t="s">
        <v>129</v>
      </c>
      <c r="N10" s="565"/>
      <c r="O10" s="417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0</v>
      </c>
      <c r="E11" s="34">
        <v>0</v>
      </c>
      <c r="F11" s="417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9"/>
      <c r="L11" s="28" t="s">
        <v>129</v>
      </c>
      <c r="M11" s="559" t="s">
        <v>129</v>
      </c>
      <c r="N11" s="569"/>
      <c r="O11" s="28" t="s">
        <v>129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4987637.5</v>
      </c>
      <c r="E12" s="84">
        <f t="shared" si="4"/>
        <v>1300000</v>
      </c>
      <c r="F12" s="514">
        <f t="shared" si="0"/>
        <v>0.26064444338627257</v>
      </c>
      <c r="G12" s="84">
        <f t="shared" si="4"/>
        <v>1300000</v>
      </c>
      <c r="H12" s="514">
        <f t="shared" si="1"/>
        <v>0.26064444338627257</v>
      </c>
      <c r="I12" s="84">
        <f t="shared" si="4"/>
        <v>1300000</v>
      </c>
      <c r="J12" s="171">
        <f t="shared" si="2"/>
        <v>0.26064444338627257</v>
      </c>
      <c r="K12" s="568"/>
      <c r="L12" s="514" t="s">
        <v>129</v>
      </c>
      <c r="M12" s="225" t="s">
        <v>129</v>
      </c>
      <c r="N12" s="568"/>
      <c r="O12" s="514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8"/>
      <c r="L15" s="682" t="s">
        <v>129</v>
      </c>
      <c r="M15" s="641" t="s">
        <v>129</v>
      </c>
      <c r="N15" s="568"/>
      <c r="O15" s="682" t="s">
        <v>129</v>
      </c>
      <c r="P15" s="641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87711015.120000005</v>
      </c>
      <c r="E16" s="155">
        <f t="shared" si="6"/>
        <v>62696650.430000007</v>
      </c>
      <c r="F16" s="181">
        <f>E16/D16</f>
        <v>0.7148093126527254</v>
      </c>
      <c r="G16" s="155">
        <f t="shared" si="6"/>
        <v>52376829.180000007</v>
      </c>
      <c r="H16" s="181">
        <f>G16/D16</f>
        <v>0.59715224032399739</v>
      </c>
      <c r="I16" s="155">
        <f t="shared" si="6"/>
        <v>20463108.399999999</v>
      </c>
      <c r="J16" s="173">
        <f>I16/D16</f>
        <v>0.23330146586496373</v>
      </c>
      <c r="K16" s="576">
        <f>SUM(K9,K12,K15)</f>
        <v>52020414.530000001</v>
      </c>
      <c r="L16" s="181">
        <v>0.62452010746774989</v>
      </c>
      <c r="M16" s="607">
        <f>+G16/K16-1</f>
        <v>6.8514380982962475E-3</v>
      </c>
      <c r="N16" s="576">
        <f>SUM(N15,N12,N9)</f>
        <v>21318969.43</v>
      </c>
      <c r="O16" s="181">
        <v>0.25594038801530622</v>
      </c>
      <c r="P16" s="607">
        <f>+I16/N16-1</f>
        <v>-4.0145516077134347E-2</v>
      </c>
    </row>
    <row r="25" spans="15:18" x14ac:dyDescent="0.25">
      <c r="R25" s="482"/>
    </row>
    <row r="26" spans="15:18" x14ac:dyDescent="0.25">
      <c r="R26" s="482"/>
    </row>
    <row r="27" spans="15:18" x14ac:dyDescent="0.25">
      <c r="O27" s="482"/>
      <c r="R27" s="482"/>
    </row>
    <row r="28" spans="15:18" x14ac:dyDescent="0.25">
      <c r="O28" s="48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Abril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opLeftCell="A15"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7"/>
  <sheetViews>
    <sheetView zoomScaleNormal="100" workbookViewId="0">
      <selection activeCell="C16" sqref="C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529</v>
      </c>
    </row>
    <row r="2" spans="1:19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488145.95</v>
      </c>
      <c r="E5" s="30">
        <v>162654.35999999999</v>
      </c>
      <c r="F5" s="48">
        <f>E5/D5</f>
        <v>0.33320845947815397</v>
      </c>
      <c r="G5" s="30">
        <v>150614.35999999999</v>
      </c>
      <c r="H5" s="48">
        <f>G5/D5</f>
        <v>0.30854370501281425</v>
      </c>
      <c r="I5" s="30">
        <v>150614.35999999999</v>
      </c>
      <c r="J5" s="153">
        <f>I5/D5</f>
        <v>0.30854370501281425</v>
      </c>
      <c r="K5" s="565">
        <v>755753.67</v>
      </c>
      <c r="L5" s="48">
        <v>0.5756306180837546</v>
      </c>
      <c r="M5" s="210">
        <f>+G5/K5-1</f>
        <v>-0.80070972066864066</v>
      </c>
      <c r="N5" s="565">
        <v>755753.67</v>
      </c>
      <c r="O5" s="48">
        <v>0.5756306180837546</v>
      </c>
      <c r="P5" s="210">
        <f>+I5/N5-1</f>
        <v>-0.80070972066864066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1976303.68</v>
      </c>
      <c r="E6" s="32">
        <v>541739.84</v>
      </c>
      <c r="F6" s="48">
        <f t="shared" ref="F6:F8" si="0">E6/D6</f>
        <v>0.2741177104927518</v>
      </c>
      <c r="G6" s="32">
        <v>328400.65000000002</v>
      </c>
      <c r="H6" s="48">
        <f t="shared" ref="H6:H8" si="1">G6/D6</f>
        <v>0.16616912336063658</v>
      </c>
      <c r="I6" s="32">
        <v>108194.34</v>
      </c>
      <c r="J6" s="153">
        <f t="shared" ref="J6:J8" si="2">I6/D6</f>
        <v>5.4745807081632313E-2</v>
      </c>
      <c r="K6" s="566">
        <v>41361.050000000003</v>
      </c>
      <c r="L6" s="280">
        <v>0.67077157855985625</v>
      </c>
      <c r="M6" s="210">
        <f>+G6/K6-1</f>
        <v>6.9398528325562339</v>
      </c>
      <c r="N6" s="566">
        <v>6640.21</v>
      </c>
      <c r="O6" s="280">
        <v>0.10768740502644258</v>
      </c>
      <c r="P6" s="210">
        <f>+I6/N6-1</f>
        <v>15.29381299687811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44108354.990000002</v>
      </c>
      <c r="E8" s="34">
        <v>13690011.869999999</v>
      </c>
      <c r="F8" s="390">
        <f t="shared" si="0"/>
        <v>0.31037230640552615</v>
      </c>
      <c r="G8" s="34">
        <v>8144720.4100000001</v>
      </c>
      <c r="H8" s="78">
        <f t="shared" si="1"/>
        <v>0.18465255418948462</v>
      </c>
      <c r="I8" s="34">
        <v>7435087.3499999996</v>
      </c>
      <c r="J8" s="172">
        <f t="shared" si="2"/>
        <v>0.16856414961940069</v>
      </c>
      <c r="K8" s="569">
        <v>17134782.670000002</v>
      </c>
      <c r="L8" s="390">
        <v>0.2471820715847981</v>
      </c>
      <c r="M8" s="520">
        <f>+G8/K8-1</f>
        <v>-0.52466742258365628</v>
      </c>
      <c r="N8" s="569">
        <v>13740868.939999999</v>
      </c>
      <c r="O8" s="390">
        <v>0.19822232446000487</v>
      </c>
      <c r="P8" s="520">
        <f>+I8/N8-1</f>
        <v>-0.45890704711138885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3">SUM(D5:D8)</f>
        <v>46572804.620000005</v>
      </c>
      <c r="E9" s="84">
        <f t="shared" si="3"/>
        <v>14394406.069999998</v>
      </c>
      <c r="F9" s="90">
        <f>E9/D9</f>
        <v>0.30907320672327587</v>
      </c>
      <c r="G9" s="84">
        <f t="shared" si="3"/>
        <v>8623735.4199999999</v>
      </c>
      <c r="H9" s="90">
        <f>G9/D9</f>
        <v>0.18516676181225006</v>
      </c>
      <c r="I9" s="84">
        <f t="shared" si="3"/>
        <v>7693896.0499999998</v>
      </c>
      <c r="J9" s="170">
        <f>I9/D9</f>
        <v>0.16520147568471685</v>
      </c>
      <c r="K9" s="568">
        <f>SUM(K5:K8)</f>
        <v>17931897.390000001</v>
      </c>
      <c r="L9" s="90">
        <v>0.25365132245044331</v>
      </c>
      <c r="M9" s="213">
        <f t="shared" ref="M9:M10" si="4">+G9/K9-1</f>
        <v>-0.51908405271105562</v>
      </c>
      <c r="N9" s="568">
        <f>SUM(N5:N8)</f>
        <v>14503262.82</v>
      </c>
      <c r="O9" s="90">
        <v>0.20515240044764418</v>
      </c>
      <c r="P9" s="213">
        <f>+I9/N9-1</f>
        <v>-0.46950585220105667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65">
        <v>2392.81</v>
      </c>
      <c r="L10" s="48">
        <v>0.19457789588727409</v>
      </c>
      <c r="M10" s="210">
        <f t="shared" si="4"/>
        <v>-1</v>
      </c>
      <c r="N10" s="565">
        <v>2392.81</v>
      </c>
      <c r="O10" s="48">
        <v>0.19457789588727409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69"/>
      <c r="L11" s="521" t="s">
        <v>129</v>
      </c>
      <c r="M11" s="559" t="s">
        <v>129</v>
      </c>
      <c r="N11" s="569"/>
      <c r="O11" s="521" t="s">
        <v>129</v>
      </c>
      <c r="P11" s="496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2392.81</v>
      </c>
      <c r="L12" s="90">
        <v>0.19457789588727409</v>
      </c>
      <c r="M12" s="629">
        <f t="shared" ref="M12" si="6">+G12/K12-1</f>
        <v>-1</v>
      </c>
      <c r="N12" s="568">
        <f>SUM(N10:N11)</f>
        <v>2392.81</v>
      </c>
      <c r="O12" s="90">
        <v>0.19457789588727409</v>
      </c>
      <c r="P12" s="213">
        <f>+I12/N12-1</f>
        <v>-1</v>
      </c>
      <c r="S12" s="485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  <c r="S13" s="485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  <c r="S14" s="485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8">
        <v>0</v>
      </c>
      <c r="L15" s="514" t="s">
        <v>129</v>
      </c>
      <c r="M15" s="641" t="s">
        <v>129</v>
      </c>
      <c r="N15" s="568">
        <f>SUM(N13:N14)</f>
        <v>0</v>
      </c>
      <c r="O15" s="514" t="s">
        <v>129</v>
      </c>
      <c r="P15" s="641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46572804.620000005</v>
      </c>
      <c r="E16" s="155">
        <f t="shared" si="8"/>
        <v>14394406.069999998</v>
      </c>
      <c r="F16" s="181">
        <f>E16/D16</f>
        <v>0.30907320672327587</v>
      </c>
      <c r="G16" s="155">
        <f t="shared" si="8"/>
        <v>8623735.4199999999</v>
      </c>
      <c r="H16" s="181">
        <f>G16/D16</f>
        <v>0.18516676181225006</v>
      </c>
      <c r="I16" s="155">
        <f t="shared" si="8"/>
        <v>7693896.0499999998</v>
      </c>
      <c r="J16" s="173">
        <f>I16/D16</f>
        <v>0.16520147568471685</v>
      </c>
      <c r="K16" s="576">
        <f>K9+K12+K15</f>
        <v>17934290.199999999</v>
      </c>
      <c r="L16" s="265">
        <v>0.25364104838750456</v>
      </c>
      <c r="M16" s="607">
        <f>+G16/K16-1</f>
        <v>-0.51914821697264601</v>
      </c>
      <c r="N16" s="576">
        <f>N9+N12+N15</f>
        <v>14505655.630000001</v>
      </c>
      <c r="O16" s="265">
        <v>0.20515056132755721</v>
      </c>
      <c r="P16" s="607">
        <f>+I16/N16-1</f>
        <v>-0.4695933609448304</v>
      </c>
      <c r="S16" s="484"/>
    </row>
    <row r="17" spans="2:16" x14ac:dyDescent="0.25">
      <c r="P17" s="522"/>
    </row>
    <row r="25" spans="2:16" x14ac:dyDescent="0.25">
      <c r="B25" s="34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Abril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8" zoomScaleNormal="100" workbookViewId="0">
      <selection activeCell="H17" sqref="H17"/>
    </sheetView>
  </sheetViews>
  <sheetFormatPr defaultRowHeight="13.2" x14ac:dyDescent="0.25"/>
  <sheetData>
    <row r="1" spans="1:1" ht="13.8" x14ac:dyDescent="0.25">
      <c r="A1" s="7" t="s">
        <v>529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P137"/>
  <sheetViews>
    <sheetView tabSelected="1" zoomScaleNormal="100" workbookViewId="0">
      <selection activeCell="A15" sqref="A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416227.17</v>
      </c>
      <c r="F5" s="48">
        <f>E5/D5</f>
        <v>3.3759276596926027E-2</v>
      </c>
      <c r="G5" s="30">
        <v>416227.17</v>
      </c>
      <c r="H5" s="48">
        <f>G5/D5</f>
        <v>3.3759276596926027E-2</v>
      </c>
      <c r="I5" s="30">
        <v>416227.17</v>
      </c>
      <c r="J5" s="153">
        <f>I5/D5</f>
        <v>3.3759276596926027E-2</v>
      </c>
      <c r="K5" s="578">
        <v>9749587.9000000004</v>
      </c>
      <c r="L5" s="48">
        <v>0.95800241548656428</v>
      </c>
      <c r="M5" s="210">
        <f>+G5/K5-1</f>
        <v>-0.95730822940731675</v>
      </c>
      <c r="N5" s="578">
        <v>9749587.9000000004</v>
      </c>
      <c r="O5" s="48">
        <v>0.95800241548656428</v>
      </c>
      <c r="P5" s="210">
        <f>+I5/N5-1</f>
        <v>-0.95730822940731675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997457.74</v>
      </c>
      <c r="F6" s="48">
        <f t="shared" ref="F6:F17" si="0">E6/D6</f>
        <v>0.34217634749437398</v>
      </c>
      <c r="G6" s="30">
        <v>997457.74</v>
      </c>
      <c r="H6" s="280">
        <f t="shared" ref="H6:H17" si="1">G6/D6</f>
        <v>0.34217634749437398</v>
      </c>
      <c r="I6" s="30">
        <v>376703.94</v>
      </c>
      <c r="J6" s="178">
        <f t="shared" ref="J6:J17" si="2">I6/D6</f>
        <v>0.12922770871068665</v>
      </c>
      <c r="K6" s="579">
        <v>561839.09</v>
      </c>
      <c r="L6" s="412">
        <v>0.13779969003947182</v>
      </c>
      <c r="M6" s="210">
        <f t="shared" ref="M6:M17" si="3">+G6/K6-1</f>
        <v>0.77534414702259324</v>
      </c>
      <c r="N6" s="579">
        <v>429494.1</v>
      </c>
      <c r="O6" s="412">
        <v>0.10534004291830588</v>
      </c>
      <c r="P6" s="210">
        <f>+I6/N6-1</f>
        <v>-0.12291242184700557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4884929.8099999996</v>
      </c>
      <c r="F7" s="48">
        <f t="shared" si="0"/>
        <v>0.22103754796380087</v>
      </c>
      <c r="G7" s="30">
        <v>4884929.8099999996</v>
      </c>
      <c r="H7" s="280">
        <f t="shared" si="1"/>
        <v>0.22103754796380087</v>
      </c>
      <c r="I7" s="30">
        <v>4884929.8099999996</v>
      </c>
      <c r="J7" s="178">
        <f t="shared" si="2"/>
        <v>0.22103754796380087</v>
      </c>
      <c r="K7" s="579">
        <v>6491807.9199999999</v>
      </c>
      <c r="L7" s="130">
        <v>0.1870420153570187</v>
      </c>
      <c r="M7" s="212">
        <f t="shared" si="3"/>
        <v>-0.24752397634093903</v>
      </c>
      <c r="N7" s="579">
        <v>6491807.9199999999</v>
      </c>
      <c r="O7" s="130">
        <v>0.1870420153570187</v>
      </c>
      <c r="P7" s="212">
        <f t="shared" ref="P7:P17" si="4">+I7/N7-1</f>
        <v>-0.24752397634093903</v>
      </c>
    </row>
    <row r="8" spans="1:16" ht="15" customHeight="1" x14ac:dyDescent="0.25">
      <c r="A8" s="235">
        <v>4</v>
      </c>
      <c r="B8" s="560" t="s">
        <v>3</v>
      </c>
      <c r="C8" s="159">
        <v>246750409.25999999</v>
      </c>
      <c r="D8" s="204">
        <v>246960603.63999999</v>
      </c>
      <c r="E8" s="30">
        <v>201839124.16</v>
      </c>
      <c r="F8" s="48">
        <f t="shared" si="0"/>
        <v>0.817292803730855</v>
      </c>
      <c r="G8" s="30">
        <v>201839124.16</v>
      </c>
      <c r="H8" s="48">
        <f t="shared" si="1"/>
        <v>0.817292803730855</v>
      </c>
      <c r="I8" s="30">
        <v>68864143.390000001</v>
      </c>
      <c r="J8" s="178">
        <f t="shared" si="2"/>
        <v>0.27884667584626094</v>
      </c>
      <c r="K8" s="635">
        <v>195284058.21000001</v>
      </c>
      <c r="L8" s="414">
        <v>0.71194135800323233</v>
      </c>
      <c r="M8" s="443">
        <f t="shared" si="3"/>
        <v>3.3566825731115024E-2</v>
      </c>
      <c r="N8" s="635">
        <v>83258986.819999993</v>
      </c>
      <c r="O8" s="414">
        <v>0.30353484399049968</v>
      </c>
      <c r="P8" s="443">
        <f t="shared" si="4"/>
        <v>-0.17289236849735656</v>
      </c>
    </row>
    <row r="9" spans="1:16" ht="15" customHeight="1" x14ac:dyDescent="0.25">
      <c r="A9" s="55">
        <v>5</v>
      </c>
      <c r="B9" s="55" t="s">
        <v>453</v>
      </c>
      <c r="C9" s="176">
        <v>13197818.9</v>
      </c>
      <c r="D9" s="516">
        <v>9829606.0399999991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7">
        <v>0</v>
      </c>
      <c r="L9" s="78">
        <v>0</v>
      </c>
      <c r="M9" s="496" t="s">
        <v>129</v>
      </c>
      <c r="N9" s="567">
        <v>0</v>
      </c>
      <c r="O9" s="78">
        <v>0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 t="shared" ref="D10:E10" si="5">SUM(D5:D9)</f>
        <v>294134517.72000003</v>
      </c>
      <c r="E10" s="84">
        <f t="shared" si="5"/>
        <v>208137738.88</v>
      </c>
      <c r="F10" s="90">
        <f t="shared" si="0"/>
        <v>0.70762772249034622</v>
      </c>
      <c r="G10" s="84">
        <f>SUM(G5:G9)</f>
        <v>208137738.88</v>
      </c>
      <c r="H10" s="90">
        <f t="shared" si="1"/>
        <v>0.70762772249034622</v>
      </c>
      <c r="I10" s="84">
        <f>SUM(I5:I9)</f>
        <v>74542004.310000002</v>
      </c>
      <c r="J10" s="170">
        <f t="shared" si="2"/>
        <v>0.25342827794512685</v>
      </c>
      <c r="K10" s="568">
        <f>SUM(K5:K9)</f>
        <v>212087293.12</v>
      </c>
      <c r="L10" s="90">
        <v>0.64960326266145463</v>
      </c>
      <c r="M10" s="213">
        <f t="shared" si="3"/>
        <v>-1.8622304909919007E-2</v>
      </c>
      <c r="N10" s="568">
        <f>SUM(N5:N9)</f>
        <v>99929876.739999995</v>
      </c>
      <c r="O10" s="90">
        <v>0.30607573425406448</v>
      </c>
      <c r="P10" s="213">
        <f t="shared" si="4"/>
        <v>-0.25405687726459203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340464296.05000001</v>
      </c>
      <c r="E11" s="30">
        <v>123474901.04000001</v>
      </c>
      <c r="F11" s="48">
        <f t="shared" si="0"/>
        <v>0.36266622513001096</v>
      </c>
      <c r="G11" s="30">
        <v>123474901.04000001</v>
      </c>
      <c r="H11" s="48">
        <f t="shared" si="1"/>
        <v>0.36266622513001096</v>
      </c>
      <c r="I11" s="30">
        <v>51056476.289999999</v>
      </c>
      <c r="J11" s="153">
        <f t="shared" si="2"/>
        <v>0.14996132305897336</v>
      </c>
      <c r="K11" s="565">
        <v>84118136.829999998</v>
      </c>
      <c r="L11" s="48">
        <v>0.3530953847151917</v>
      </c>
      <c r="M11" s="224">
        <f t="shared" si="3"/>
        <v>0.46787489230222423</v>
      </c>
      <c r="N11" s="565">
        <v>50075015.909999996</v>
      </c>
      <c r="O11" s="48">
        <v>0.21019553777200314</v>
      </c>
      <c r="P11" s="224">
        <f t="shared" si="4"/>
        <v>1.9599801660851845E-2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29952640.530000001</v>
      </c>
      <c r="E12" s="34">
        <v>15220568.17</v>
      </c>
      <c r="F12" s="390">
        <f t="shared" si="0"/>
        <v>0.50815446987905344</v>
      </c>
      <c r="G12" s="34">
        <v>15220568.17</v>
      </c>
      <c r="H12" s="390">
        <f t="shared" si="1"/>
        <v>0.50815446987905344</v>
      </c>
      <c r="I12" s="180">
        <v>101159.34</v>
      </c>
      <c r="J12" s="392">
        <f t="shared" si="2"/>
        <v>3.3773095864012624E-3</v>
      </c>
      <c r="K12" s="569">
        <v>1085625.49</v>
      </c>
      <c r="L12" s="390">
        <v>0.26602017946021339</v>
      </c>
      <c r="M12" s="224">
        <f t="shared" si="3"/>
        <v>13.020091007627316</v>
      </c>
      <c r="N12" s="569">
        <v>56316.62</v>
      </c>
      <c r="O12" s="390">
        <v>1.379974723971583E-2</v>
      </c>
      <c r="P12" s="224">
        <f t="shared" si="4"/>
        <v>0.79626085514365008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370416936.58000004</v>
      </c>
      <c r="E13" s="84">
        <f t="shared" si="6"/>
        <v>138695469.21000001</v>
      </c>
      <c r="F13" s="90">
        <f t="shared" si="0"/>
        <v>0.37443069015837382</v>
      </c>
      <c r="G13" s="84">
        <f t="shared" si="6"/>
        <v>138695469.21000001</v>
      </c>
      <c r="H13" s="90">
        <f t="shared" si="1"/>
        <v>0.37443069015837382</v>
      </c>
      <c r="I13" s="84">
        <f t="shared" si="6"/>
        <v>51157635.630000003</v>
      </c>
      <c r="J13" s="170">
        <f t="shared" si="2"/>
        <v>0.13810825202089899</v>
      </c>
      <c r="K13" s="568">
        <f t="shared" ref="K13" si="7">SUM(K11:K12)</f>
        <v>85203762.319999993</v>
      </c>
      <c r="L13" s="90">
        <v>0.3516288724068703</v>
      </c>
      <c r="M13" s="213">
        <f t="shared" si="3"/>
        <v>0.62780921209912144</v>
      </c>
      <c r="N13" s="568">
        <f t="shared" ref="N13" si="8">SUM(N11:N12)</f>
        <v>50131332.529999994</v>
      </c>
      <c r="O13" s="90">
        <v>0.20688785858508971</v>
      </c>
      <c r="P13" s="213">
        <f t="shared" si="4"/>
        <v>2.047228845125626E-2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10900399.48</v>
      </c>
      <c r="J14" s="153">
        <f t="shared" si="2"/>
        <v>0.38992557370198577</v>
      </c>
      <c r="K14" s="565">
        <v>10043728.939999999</v>
      </c>
      <c r="L14" s="48">
        <v>0.4247946237874608</v>
      </c>
      <c r="M14" s="224">
        <f t="shared" si="3"/>
        <v>1.2855134031524353</v>
      </c>
      <c r="N14" s="565">
        <v>10043728.939999999</v>
      </c>
      <c r="O14" s="48">
        <v>0.4247946237874608</v>
      </c>
      <c r="P14" s="224">
        <f t="shared" si="4"/>
        <v>8.5294072064035609E-2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36075104.229999997</v>
      </c>
      <c r="F15" s="390">
        <f t="shared" si="0"/>
        <v>0.28244356414171068</v>
      </c>
      <c r="G15" s="34">
        <v>36075104.229999997</v>
      </c>
      <c r="H15" s="390">
        <f t="shared" si="1"/>
        <v>0.28244356414171068</v>
      </c>
      <c r="I15" s="34">
        <v>36075104.229999997</v>
      </c>
      <c r="J15" s="392">
        <f t="shared" si="2"/>
        <v>0.28244356414171068</v>
      </c>
      <c r="K15" s="569">
        <v>125715125.72</v>
      </c>
      <c r="L15" s="390">
        <v>0.79713482115758916</v>
      </c>
      <c r="M15" s="520">
        <f t="shared" si="3"/>
        <v>-0.71304086104683573</v>
      </c>
      <c r="N15" s="569">
        <v>125715125.72</v>
      </c>
      <c r="O15" s="390">
        <v>0.79713482115758916</v>
      </c>
      <c r="P15" s="520">
        <f t="shared" si="4"/>
        <v>-0.71304086104683573</v>
      </c>
    </row>
    <row r="16" spans="1:16" ht="15" customHeight="1" thickBot="1" x14ac:dyDescent="0.3">
      <c r="A16" s="9"/>
      <c r="B16" s="2" t="s">
        <v>10</v>
      </c>
      <c r="C16" s="519">
        <f>SUM(C14:C15)</f>
        <v>155680077.11000001</v>
      </c>
      <c r="D16" s="152">
        <f t="shared" ref="D16:I16" si="9">SUM(D14:D15)</f>
        <v>155680077.11000001</v>
      </c>
      <c r="E16" s="84">
        <f t="shared" si="9"/>
        <v>59030181.339999996</v>
      </c>
      <c r="F16" s="90">
        <f t="shared" si="0"/>
        <v>0.37917620825875237</v>
      </c>
      <c r="G16" s="84">
        <f t="shared" si="9"/>
        <v>59030181.339999996</v>
      </c>
      <c r="H16" s="90">
        <f t="shared" si="1"/>
        <v>0.37917620825875237</v>
      </c>
      <c r="I16" s="84">
        <f t="shared" si="9"/>
        <v>46975503.709999993</v>
      </c>
      <c r="J16" s="170">
        <f t="shared" si="2"/>
        <v>0.30174383634720431</v>
      </c>
      <c r="K16" s="568">
        <f t="shared" ref="K16" si="10">SUM(K14:K15)</f>
        <v>135758854.66</v>
      </c>
      <c r="L16" s="90">
        <v>0.74859117074074899</v>
      </c>
      <c r="M16" s="641">
        <f t="shared" si="3"/>
        <v>-0.56518356399044767</v>
      </c>
      <c r="N16" s="568">
        <f t="shared" ref="N16" si="11">SUM(N14:N15)</f>
        <v>135758854.66</v>
      </c>
      <c r="O16" s="90">
        <v>0.74859117074074899</v>
      </c>
      <c r="P16" s="641">
        <f t="shared" si="4"/>
        <v>-0.65397834397139432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820231531.41000009</v>
      </c>
      <c r="E17" s="155">
        <f t="shared" si="12"/>
        <v>405863389.43000001</v>
      </c>
      <c r="F17" s="181">
        <f t="shared" si="0"/>
        <v>0.49481563910657023</v>
      </c>
      <c r="G17" s="155">
        <f t="shared" si="12"/>
        <v>405863389.43000001</v>
      </c>
      <c r="H17" s="181">
        <f t="shared" si="1"/>
        <v>0.49481563910657023</v>
      </c>
      <c r="I17" s="155">
        <f t="shared" si="12"/>
        <v>172675143.64999998</v>
      </c>
      <c r="J17" s="173">
        <f t="shared" si="2"/>
        <v>0.21052000202085228</v>
      </c>
      <c r="K17" s="576">
        <f t="shared" ref="K17" si="13">+K10+K13+K16</f>
        <v>433049910.10000002</v>
      </c>
      <c r="L17" s="181">
        <v>0.57728326330295288</v>
      </c>
      <c r="M17" s="607">
        <f t="shared" si="3"/>
        <v>-6.2779185576374075E-2</v>
      </c>
      <c r="N17" s="576">
        <f t="shared" ref="N17" si="14">+N10+N13+N16</f>
        <v>285820063.92999995</v>
      </c>
      <c r="O17" s="181">
        <v>0.38101644954704489</v>
      </c>
      <c r="P17" s="607">
        <f t="shared" si="4"/>
        <v>-0.39586066395853248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138"/>
  <sheetViews>
    <sheetView topLeftCell="C51" zoomScaleNormal="100" workbookViewId="0">
      <selection activeCell="K67" sqref="K67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6.332031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767</v>
      </c>
      <c r="D2" s="740" t="s">
        <v>779</v>
      </c>
      <c r="E2" s="741"/>
      <c r="F2" s="741"/>
      <c r="G2" s="741"/>
      <c r="H2" s="742"/>
      <c r="I2" s="737" t="s">
        <v>780</v>
      </c>
      <c r="J2" s="738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8">
        <v>668207000</v>
      </c>
      <c r="E5" s="284">
        <v>238249512.71000001</v>
      </c>
      <c r="F5" s="372">
        <f>+E5/D5</f>
        <v>0.35655045922895151</v>
      </c>
      <c r="G5" s="284">
        <v>199159470.53</v>
      </c>
      <c r="H5" s="364">
        <f>G5/E5</f>
        <v>0.83592813376461828</v>
      </c>
      <c r="I5" s="284">
        <v>241182008.58000001</v>
      </c>
      <c r="J5" s="372">
        <v>0.38687479802450075</v>
      </c>
      <c r="K5" s="285">
        <f>+E5/I5-1</f>
        <v>-1.2158850020636214E-2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38326174.210000001</v>
      </c>
      <c r="F6" s="327">
        <f t="shared" ref="F6:F68" si="0">+E6/D6</f>
        <v>0.67073320452383567</v>
      </c>
      <c r="G6" s="132">
        <v>17685169.170000002</v>
      </c>
      <c r="H6" s="364">
        <f t="shared" ref="H6:H14" si="1">G6/E6</f>
        <v>0.46143841733583774</v>
      </c>
      <c r="I6" s="132">
        <v>38507293.07</v>
      </c>
      <c r="J6" s="327">
        <v>0.65689684527465031</v>
      </c>
      <c r="K6" s="293">
        <f t="shared" ref="K6:K68" si="2">+E6/I6-1</f>
        <v>-4.7034949891376909E-3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79383014.890000001</v>
      </c>
      <c r="F7" s="327">
        <f t="shared" si="0"/>
        <v>0.45971967830110555</v>
      </c>
      <c r="G7" s="132">
        <v>74935701.219999999</v>
      </c>
      <c r="H7" s="364">
        <f t="shared" si="1"/>
        <v>0.94397650837320068</v>
      </c>
      <c r="I7" s="132">
        <v>60744741.189999998</v>
      </c>
      <c r="J7" s="327">
        <v>0.50279554679093486</v>
      </c>
      <c r="K7" s="293">
        <f t="shared" si="2"/>
        <v>0.30682941987854417</v>
      </c>
      <c r="L7" s="289">
        <v>116</v>
      </c>
      <c r="M7" s="339"/>
      <c r="N7" s="455"/>
      <c r="O7" s="456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6300577.9800000004</v>
      </c>
      <c r="F8" s="327">
        <f t="shared" si="0"/>
        <v>6.9638644841338485E-2</v>
      </c>
      <c r="G8" s="132">
        <v>3501606.1</v>
      </c>
      <c r="H8" s="364">
        <f t="shared" si="1"/>
        <v>0.55575950509860994</v>
      </c>
      <c r="I8" s="132">
        <v>8365556.9199999999</v>
      </c>
      <c r="J8" s="327">
        <v>9.328437283565949E-2</v>
      </c>
      <c r="K8" s="293">
        <f t="shared" si="2"/>
        <v>-0.24684297288840862</v>
      </c>
      <c r="L8" s="289">
        <v>130</v>
      </c>
      <c r="M8" s="339"/>
      <c r="N8" s="455"/>
      <c r="O8" s="456"/>
    </row>
    <row r="9" spans="1:17" s="287" customFormat="1" ht="15" customHeight="1" x14ac:dyDescent="0.25">
      <c r="A9" s="290"/>
      <c r="B9" s="290" t="s">
        <v>357</v>
      </c>
      <c r="C9" s="291">
        <v>10</v>
      </c>
      <c r="D9" s="292">
        <v>10</v>
      </c>
      <c r="E9" s="132">
        <v>0</v>
      </c>
      <c r="F9" s="327">
        <v>0</v>
      </c>
      <c r="G9" s="132">
        <v>0</v>
      </c>
      <c r="H9" s="364" t="s">
        <v>129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9819076.8699999992</v>
      </c>
      <c r="F10" s="373">
        <f t="shared" si="0"/>
        <v>0.44281138886029708</v>
      </c>
      <c r="G10" s="294">
        <v>9235759.4600000009</v>
      </c>
      <c r="H10" s="543">
        <f t="shared" si="1"/>
        <v>0.94059345723403032</v>
      </c>
      <c r="I10" s="294">
        <v>9066881.4800000004</v>
      </c>
      <c r="J10" s="373">
        <v>0.54075752847855907</v>
      </c>
      <c r="K10" s="295">
        <f t="shared" si="2"/>
        <v>8.2960761278198403E-2</v>
      </c>
      <c r="L10" s="289">
        <v>290</v>
      </c>
      <c r="M10" s="339"/>
      <c r="N10" s="455"/>
      <c r="O10" s="456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372078356.66000003</v>
      </c>
      <c r="F11" s="90">
        <f>+E11/D11</f>
        <v>0.3681485789445002</v>
      </c>
      <c r="G11" s="84">
        <f>SUM(G5:G10)</f>
        <v>304517706.47999996</v>
      </c>
      <c r="H11" s="170">
        <f t="shared" si="1"/>
        <v>0.81842359553921584</v>
      </c>
      <c r="I11" s="84">
        <f>SUM(I5:I10)</f>
        <v>357866481.24000007</v>
      </c>
      <c r="J11" s="43">
        <v>0.39400000000000002</v>
      </c>
      <c r="K11" s="144">
        <f>+E11/I11-1</f>
        <v>3.9712787212583089E-2</v>
      </c>
      <c r="M11" s="339"/>
      <c r="N11" s="455"/>
      <c r="O11" s="456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8">
        <v>90056137.609999999</v>
      </c>
      <c r="E12" s="326">
        <v>29976658.32</v>
      </c>
      <c r="F12" s="655">
        <f t="shared" si="0"/>
        <v>0.33286635553723032</v>
      </c>
      <c r="G12" s="326">
        <v>22133692.139999997</v>
      </c>
      <c r="H12" s="355">
        <f t="shared" si="1"/>
        <v>0.73836422671678226</v>
      </c>
      <c r="I12" s="284">
        <v>29976658.32</v>
      </c>
      <c r="J12" s="372">
        <v>0.33223571371255728</v>
      </c>
      <c r="K12" s="285">
        <f t="shared" si="2"/>
        <v>0</v>
      </c>
      <c r="L12" s="286" t="s">
        <v>165</v>
      </c>
      <c r="M12" s="339"/>
      <c r="N12" s="455"/>
      <c r="O12" s="456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1007970486.3199999</v>
      </c>
      <c r="E13" s="656">
        <v>324254159.40000004</v>
      </c>
      <c r="F13" s="654">
        <f t="shared" si="0"/>
        <v>0.32169013259884199</v>
      </c>
      <c r="G13" s="656">
        <v>239659419.36000001</v>
      </c>
      <c r="H13" s="365">
        <f t="shared" si="1"/>
        <v>0.73910977673645217</v>
      </c>
      <c r="I13" s="294">
        <v>324254159.40000004</v>
      </c>
      <c r="J13" s="373">
        <v>0.34625222029806368</v>
      </c>
      <c r="K13" s="295">
        <f t="shared" si="2"/>
        <v>0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354230817.72000003</v>
      </c>
      <c r="F14" s="90">
        <f>+E14/D14</f>
        <v>0.32260676562846491</v>
      </c>
      <c r="G14" s="84">
        <f>SUM(G12:G13)</f>
        <v>261793111.5</v>
      </c>
      <c r="H14" s="171">
        <f t="shared" si="1"/>
        <v>0.73904668482834557</v>
      </c>
      <c r="I14" s="84">
        <f>SUM(I12:I13)</f>
        <v>354230817.72000003</v>
      </c>
      <c r="J14" s="43">
        <v>0.34499999999999997</v>
      </c>
      <c r="K14" s="144">
        <f t="shared" si="2"/>
        <v>0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8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5">
      <c r="A18" s="281"/>
      <c r="B18" s="344" t="s">
        <v>162</v>
      </c>
      <c r="C18" s="486">
        <v>15107000</v>
      </c>
      <c r="D18" s="368">
        <v>15107000</v>
      </c>
      <c r="E18" s="341">
        <v>4964929.54</v>
      </c>
      <c r="F18" s="375">
        <f t="shared" si="0"/>
        <v>0.32865092606076651</v>
      </c>
      <c r="G18" s="341">
        <v>3638207.45</v>
      </c>
      <c r="H18" s="355">
        <f t="shared" ref="H18:H23" si="3">+G18/E18</f>
        <v>0.73278128535133258</v>
      </c>
      <c r="I18" s="341">
        <v>5002895.79</v>
      </c>
      <c r="J18" s="401">
        <v>0.32276747032258063</v>
      </c>
      <c r="K18" s="384">
        <f t="shared" si="2"/>
        <v>-7.5888548540005152E-3</v>
      </c>
      <c r="L18" s="289">
        <v>301</v>
      </c>
      <c r="M18" s="339"/>
      <c r="N18" s="454"/>
      <c r="O18" s="456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284">
        <v>1537549.65</v>
      </c>
      <c r="F19" s="374">
        <f t="shared" si="0"/>
        <v>0.15410941665831412</v>
      </c>
      <c r="G19" s="284">
        <v>1519859.42</v>
      </c>
      <c r="H19" s="355">
        <f t="shared" si="3"/>
        <v>0.9884945308920593</v>
      </c>
      <c r="I19" s="284">
        <v>3460420.7</v>
      </c>
      <c r="J19" s="335">
        <v>0.57027368160843772</v>
      </c>
      <c r="K19" s="385">
        <f t="shared" si="2"/>
        <v>-0.55567551367381429</v>
      </c>
      <c r="L19" s="289">
        <v>321</v>
      </c>
      <c r="M19" s="339"/>
      <c r="N19" s="455"/>
      <c r="O19" s="456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26">
        <v>3991094.08</v>
      </c>
      <c r="F20" s="374">
        <f t="shared" si="0"/>
        <v>0.25093329628988792</v>
      </c>
      <c r="G20" s="326">
        <v>2890805.14</v>
      </c>
      <c r="H20" s="355">
        <f t="shared" si="3"/>
        <v>0.7243139555357212</v>
      </c>
      <c r="I20" s="284">
        <v>3773430.11</v>
      </c>
      <c r="J20" s="335">
        <v>0.22518530212735854</v>
      </c>
      <c r="K20" s="385">
        <f t="shared" si="2"/>
        <v>5.7683318268746175E-2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657">
        <v>6962525.5999999996</v>
      </c>
      <c r="F21" s="374">
        <f t="shared" si="0"/>
        <v>0.20706395836431227</v>
      </c>
      <c r="G21" s="657">
        <v>4216365.25</v>
      </c>
      <c r="H21" s="355">
        <f t="shared" si="3"/>
        <v>0.60557985596491026</v>
      </c>
      <c r="I21" s="284">
        <v>6678518.5199999996</v>
      </c>
      <c r="J21" s="335">
        <v>0.21854506102948393</v>
      </c>
      <c r="K21" s="385">
        <f t="shared" si="2"/>
        <v>4.2525461170690892E-2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657">
        <v>5275112.72</v>
      </c>
      <c r="F22" s="374">
        <f t="shared" si="0"/>
        <v>0.63182569409510114</v>
      </c>
      <c r="G22" s="326">
        <v>4039763.84</v>
      </c>
      <c r="H22" s="355">
        <f t="shared" si="3"/>
        <v>0.76581564308259942</v>
      </c>
      <c r="I22" s="284">
        <v>4987886.78</v>
      </c>
      <c r="J22" s="335">
        <v>0.5849521268734047</v>
      </c>
      <c r="K22" s="385">
        <f t="shared" si="2"/>
        <v>5.7584695216357673E-2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9" t="s">
        <v>172</v>
      </c>
      <c r="C23" s="492">
        <v>3208129.9999999963</v>
      </c>
      <c r="D23" s="324">
        <v>3208130</v>
      </c>
      <c r="E23" s="659">
        <v>2516711.3200000003</v>
      </c>
      <c r="F23" s="380">
        <f t="shared" si="0"/>
        <v>0.78447921998173398</v>
      </c>
      <c r="G23" s="659">
        <v>1562517.0700000008</v>
      </c>
      <c r="H23" s="445">
        <f t="shared" si="3"/>
        <v>0.62085669404467114</v>
      </c>
      <c r="I23" s="324">
        <v>1478664.6999999997</v>
      </c>
      <c r="J23" s="402">
        <v>0.48806982580029773</v>
      </c>
      <c r="K23" s="386">
        <f t="shared" si="2"/>
        <v>0.70201623126595281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7">
        <v>18467000</v>
      </c>
      <c r="D24" s="368">
        <v>18467000</v>
      </c>
      <c r="E24" s="284">
        <v>502734.2</v>
      </c>
      <c r="F24" s="374">
        <f t="shared" si="0"/>
        <v>2.722338224941788E-2</v>
      </c>
      <c r="G24" s="284">
        <v>279129.75</v>
      </c>
      <c r="H24" s="355">
        <f>+G24/E24</f>
        <v>0.55522331681433246</v>
      </c>
      <c r="I24" s="284">
        <v>538999.64</v>
      </c>
      <c r="J24" s="335">
        <v>3.0564198468953786E-2</v>
      </c>
      <c r="K24" s="285">
        <f t="shared" si="2"/>
        <v>-6.7282864975568457E-2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284">
        <v>324403.07</v>
      </c>
      <c r="F25" s="374">
        <f t="shared" si="0"/>
        <v>5.7722966192170821E-2</v>
      </c>
      <c r="G25" s="284">
        <v>126362.17</v>
      </c>
      <c r="H25" s="355">
        <f>+G25/E25</f>
        <v>0.38952211518836732</v>
      </c>
      <c r="I25" s="284">
        <v>2306911.36</v>
      </c>
      <c r="J25" s="335">
        <v>0.36857506949992008</v>
      </c>
      <c r="K25" s="285">
        <f t="shared" si="2"/>
        <v>-0.85937774826337499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2989289.9699999988</v>
      </c>
      <c r="E26" s="284">
        <v>996750.74</v>
      </c>
      <c r="F26" s="380">
        <f t="shared" si="0"/>
        <v>0.33344063306110128</v>
      </c>
      <c r="G26" s="284">
        <v>928162.82</v>
      </c>
      <c r="H26" s="355">
        <f t="shared" ref="H26:H68" si="4">+G26/E26</f>
        <v>0.93118849352446931</v>
      </c>
      <c r="I26" s="324">
        <v>1044554.1799999999</v>
      </c>
      <c r="J26" s="335">
        <v>0.26967630396497372</v>
      </c>
      <c r="K26" s="285">
        <f t="shared" si="2"/>
        <v>-4.5764442778832182E-2</v>
      </c>
      <c r="L26" s="345" t="s">
        <v>351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506</v>
      </c>
      <c r="C27" s="487">
        <v>10</v>
      </c>
      <c r="D27" s="301">
        <v>10</v>
      </c>
      <c r="E27" s="302">
        <v>0</v>
      </c>
      <c r="F27" s="374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6">
        <v>9100000</v>
      </c>
      <c r="D28" s="292">
        <v>9100000</v>
      </c>
      <c r="E28" s="284">
        <v>1200905.92</v>
      </c>
      <c r="F28" s="374">
        <f t="shared" si="0"/>
        <v>0.1319676835164835</v>
      </c>
      <c r="G28" s="284">
        <v>179352.72</v>
      </c>
      <c r="H28" s="355">
        <f>+G28/E28</f>
        <v>0.14934785232801584</v>
      </c>
      <c r="I28" s="284">
        <v>1517458.7</v>
      </c>
      <c r="J28" s="335">
        <v>0.24876372131147539</v>
      </c>
      <c r="K28" s="285">
        <f t="shared" si="2"/>
        <v>-0.20860717988568656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2">
        <v>420149.99000000022</v>
      </c>
      <c r="D29" s="324">
        <v>420149.99000000022</v>
      </c>
      <c r="E29" s="325">
        <v>102181.89000000013</v>
      </c>
      <c r="F29" s="347">
        <f t="shared" si="0"/>
        <v>0.24320336173279469</v>
      </c>
      <c r="G29" s="297">
        <v>35693.81</v>
      </c>
      <c r="H29" s="366">
        <f t="shared" si="4"/>
        <v>0.34931640039149747</v>
      </c>
      <c r="I29" s="297">
        <v>90344.760000000009</v>
      </c>
      <c r="J29" s="402">
        <v>0.23145145257980224</v>
      </c>
      <c r="K29" s="298">
        <f t="shared" si="2"/>
        <v>0.13102176595521553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231673.28</v>
      </c>
      <c r="F30" s="374">
        <f t="shared" si="0"/>
        <v>0.20553351520430549</v>
      </c>
      <c r="G30" s="125">
        <v>229170.16</v>
      </c>
      <c r="H30" s="355">
        <f t="shared" si="4"/>
        <v>0.98919547390186735</v>
      </c>
      <c r="I30" s="284">
        <v>824107.36</v>
      </c>
      <c r="J30" s="401">
        <v>0.94689722326161807</v>
      </c>
      <c r="K30" s="387">
        <f t="shared" si="2"/>
        <v>-0.71887973431034524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187">
        <v>54686190</v>
      </c>
      <c r="E31" s="310">
        <v>19202328.329999998</v>
      </c>
      <c r="F31" s="374">
        <f t="shared" si="0"/>
        <v>0.35113670069171027</v>
      </c>
      <c r="G31" s="125">
        <v>9897619.5500000007</v>
      </c>
      <c r="H31" s="355">
        <f t="shared" si="4"/>
        <v>0.51543851245043271</v>
      </c>
      <c r="I31" s="284">
        <v>32860969.960000001</v>
      </c>
      <c r="J31" s="335">
        <v>0.63732528185914306</v>
      </c>
      <c r="K31" s="285">
        <f t="shared" si="2"/>
        <v>-0.41564937512879196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187">
        <v>12205000</v>
      </c>
      <c r="E32" s="310">
        <v>3321158.07</v>
      </c>
      <c r="F32" s="374">
        <f t="shared" si="0"/>
        <v>0.27211454895534615</v>
      </c>
      <c r="G32" s="125">
        <v>3321158.07</v>
      </c>
      <c r="H32" s="355">
        <f t="shared" si="4"/>
        <v>1</v>
      </c>
      <c r="I32" s="284">
        <v>3589471.06</v>
      </c>
      <c r="J32" s="335">
        <v>0.33521395778856927</v>
      </c>
      <c r="K32" s="285">
        <f t="shared" si="2"/>
        <v>-7.4750007874419322E-2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187">
        <v>8093000</v>
      </c>
      <c r="E33" s="310">
        <v>2946106.54</v>
      </c>
      <c r="F33" s="316">
        <f t="shared" si="0"/>
        <v>0.36403145187198815</v>
      </c>
      <c r="G33" s="125">
        <v>2281955.48</v>
      </c>
      <c r="H33" s="355">
        <f t="shared" si="4"/>
        <v>0.77456651652523056</v>
      </c>
      <c r="I33" s="125">
        <v>-946659.19</v>
      </c>
      <c r="J33" s="335">
        <v>-0.13215959653776349</v>
      </c>
      <c r="K33" s="285">
        <f t="shared" si="2"/>
        <v>-4.1121089523252827</v>
      </c>
      <c r="L33" s="289">
        <v>393</v>
      </c>
      <c r="N33"/>
    </row>
    <row r="34" spans="1:18" s="287" customFormat="1" ht="15" customHeight="1" x14ac:dyDescent="0.25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>
        <f t="shared" si="0"/>
        <v>0</v>
      </c>
      <c r="G34" s="125">
        <v>0</v>
      </c>
      <c r="H34" s="35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415</v>
      </c>
      <c r="C35" s="291">
        <v>4478472.4000000004</v>
      </c>
      <c r="D35" s="187">
        <v>4478472.4000000004</v>
      </c>
      <c r="E35" s="310">
        <v>0</v>
      </c>
      <c r="F35" s="316">
        <f t="shared" si="0"/>
        <v>0</v>
      </c>
      <c r="G35" s="125">
        <v>0</v>
      </c>
      <c r="H35" s="498" t="s">
        <v>129</v>
      </c>
      <c r="I35" s="310">
        <v>0</v>
      </c>
      <c r="J35" s="335" t="s">
        <v>129</v>
      </c>
      <c r="K35" s="285" t="s">
        <v>129</v>
      </c>
      <c r="L35" s="289">
        <v>397</v>
      </c>
      <c r="N35"/>
    </row>
    <row r="36" spans="1:18" s="287" customFormat="1" ht="15" customHeight="1" x14ac:dyDescent="0.25">
      <c r="A36" s="309"/>
      <c r="B36" s="719" t="s">
        <v>776</v>
      </c>
      <c r="C36" s="291">
        <v>0</v>
      </c>
      <c r="D36" s="544">
        <v>0</v>
      </c>
      <c r="E36" s="399">
        <v>6165.03</v>
      </c>
      <c r="F36" s="376" t="s">
        <v>129</v>
      </c>
      <c r="G36" s="311">
        <v>6165.03</v>
      </c>
      <c r="H36" s="36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44">
        <v>10046099.98</v>
      </c>
      <c r="E37" s="399">
        <v>873066.57</v>
      </c>
      <c r="F37" s="376">
        <f t="shared" si="0"/>
        <v>8.6906020419677321E-2</v>
      </c>
      <c r="G37" s="311">
        <v>348465.01</v>
      </c>
      <c r="H37" s="367">
        <f t="shared" si="4"/>
        <v>0.39912765185820825</v>
      </c>
      <c r="I37" s="311">
        <v>1000540.75</v>
      </c>
      <c r="J37" s="404">
        <v>8.52549551553171E-2</v>
      </c>
      <c r="K37" s="312">
        <f t="shared" si="2"/>
        <v>-0.1274052855918163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54955396.549999997</v>
      </c>
      <c r="F38" s="377">
        <f>+E38/D38</f>
        <v>0.19618756029305726</v>
      </c>
      <c r="G38" s="174">
        <f>SUM(G15:G37)</f>
        <v>35500752.740000002</v>
      </c>
      <c r="H38" s="175">
        <f t="shared" si="4"/>
        <v>0.64599211303480264</v>
      </c>
      <c r="I38" s="152">
        <f>SUM(I15:I37)</f>
        <v>68208515.180000007</v>
      </c>
      <c r="J38" s="43">
        <v>0.26200000000000001</v>
      </c>
      <c r="K38" s="182">
        <f>+E38/I38-1</f>
        <v>-0.19430299274255525</v>
      </c>
      <c r="L38" s="701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767</v>
      </c>
      <c r="D40" s="743" t="s">
        <v>779</v>
      </c>
      <c r="E40" s="741"/>
      <c r="F40" s="741"/>
      <c r="G40" s="741"/>
      <c r="H40" s="742"/>
      <c r="I40" s="739" t="s">
        <v>780</v>
      </c>
      <c r="J40" s="738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766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5">
        <v>11438669.410000086</v>
      </c>
      <c r="D43" s="297">
        <v>11438669.410000086</v>
      </c>
      <c r="E43" s="297">
        <v>1340225.8799999356</v>
      </c>
      <c r="F43" s="347">
        <f t="shared" ref="F43:F59" si="5">+E43/D43</f>
        <v>0.11716623953029565</v>
      </c>
      <c r="G43" s="369">
        <v>983286.08999997377</v>
      </c>
      <c r="H43" s="463">
        <f t="shared" ref="H43:H44" si="6">G43/E43</f>
        <v>0.73367191655784247</v>
      </c>
      <c r="I43" s="297">
        <v>4254133.4800000004</v>
      </c>
      <c r="J43" s="402">
        <v>0.70450547653681372</v>
      </c>
      <c r="K43" s="502">
        <f t="shared" ref="K43:K44" si="7">+E43/I43-1</f>
        <v>-0.68495913767145467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170</v>
      </c>
      <c r="E44" s="297">
        <v>40000</v>
      </c>
      <c r="F44" s="347" t="s">
        <v>129</v>
      </c>
      <c r="G44" s="297">
        <v>40000</v>
      </c>
      <c r="H44" s="463">
        <f t="shared" si="6"/>
        <v>1</v>
      </c>
      <c r="I44" s="297">
        <v>150000</v>
      </c>
      <c r="J44" s="402">
        <v>0.99893446989877466</v>
      </c>
      <c r="K44" s="502">
        <f t="shared" si="7"/>
        <v>-0.73333333333333339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1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10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v>55432683.120000005</v>
      </c>
      <c r="E48" s="125">
        <v>14626115.809999999</v>
      </c>
      <c r="F48" s="316">
        <f t="shared" si="5"/>
        <v>0.26385365071247874</v>
      </c>
      <c r="G48" s="125">
        <v>5730611.3900000006</v>
      </c>
      <c r="H48" s="314">
        <f t="shared" ref="H48" si="8">G48/E48</f>
        <v>0.39180678345797953</v>
      </c>
      <c r="I48" s="125">
        <v>1256217.49</v>
      </c>
      <c r="J48" s="328">
        <v>2.79175094639195E-2</v>
      </c>
      <c r="K48" s="388">
        <f t="shared" ref="K48" si="9">+E48/I48-1</f>
        <v>10.642980555859001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417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710" t="s">
        <v>129</v>
      </c>
      <c r="I49" s="125">
        <v>0</v>
      </c>
      <c r="J49" s="328" t="s">
        <v>129</v>
      </c>
      <c r="K49" s="499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10" t="s">
        <v>129</v>
      </c>
      <c r="I50" s="125">
        <v>0</v>
      </c>
      <c r="J50" s="328" t="s">
        <v>129</v>
      </c>
      <c r="K50" s="499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400" t="s">
        <v>195</v>
      </c>
      <c r="C52" s="306">
        <v>716307</v>
      </c>
      <c r="D52" s="125">
        <v>716307</v>
      </c>
      <c r="E52" s="319">
        <v>2365075.65</v>
      </c>
      <c r="F52" s="378">
        <f t="shared" si="5"/>
        <v>3.3017625822447636</v>
      </c>
      <c r="G52" s="319">
        <v>2365075.65</v>
      </c>
      <c r="H52" s="371">
        <f t="shared" ref="H52" si="10">G52/E52</f>
        <v>1</v>
      </c>
      <c r="I52" s="319">
        <v>-63112.94</v>
      </c>
      <c r="J52" s="328">
        <v>-0.16329561831330289</v>
      </c>
      <c r="K52" s="502" t="s">
        <v>129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500" t="s">
        <v>129</v>
      </c>
      <c r="I53" s="302">
        <v>0</v>
      </c>
      <c r="J53" s="403">
        <v>0</v>
      </c>
      <c r="K53" s="503" t="s">
        <v>129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408</v>
      </c>
      <c r="C54" s="321">
        <v>10</v>
      </c>
      <c r="D54" s="322">
        <v>10</v>
      </c>
      <c r="E54" s="323">
        <v>10</v>
      </c>
      <c r="F54" s="379" t="s">
        <v>129</v>
      </c>
      <c r="G54" s="323">
        <v>0</v>
      </c>
      <c r="H54" s="711" t="s">
        <v>129</v>
      </c>
      <c r="I54" s="323">
        <v>0</v>
      </c>
      <c r="J54" s="336" t="s">
        <v>129</v>
      </c>
      <c r="K54" s="709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418</v>
      </c>
      <c r="C55" s="282">
        <v>0</v>
      </c>
      <c r="D55" s="283">
        <v>0</v>
      </c>
      <c r="E55" s="284">
        <v>0</v>
      </c>
      <c r="F55" s="374" t="s">
        <v>129</v>
      </c>
      <c r="G55" s="284">
        <v>0</v>
      </c>
      <c r="H55" s="712" t="s">
        <v>129</v>
      </c>
      <c r="I55" s="284">
        <v>0</v>
      </c>
      <c r="J55" s="335" t="s">
        <v>129</v>
      </c>
      <c r="K55" s="499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>
        <v>0</v>
      </c>
      <c r="E56" s="284">
        <v>0</v>
      </c>
      <c r="F56" s="374" t="s">
        <v>129</v>
      </c>
      <c r="G56" s="284">
        <v>0</v>
      </c>
      <c r="H56" s="355" t="s">
        <v>129</v>
      </c>
      <c r="I56" s="284">
        <v>4036234.07</v>
      </c>
      <c r="J56" s="335">
        <v>7.1974816658978327E-2</v>
      </c>
      <c r="K56" s="388">
        <f t="shared" ref="K56" si="11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263834.56</v>
      </c>
      <c r="J57" s="405">
        <v>0.58891642857142856</v>
      </c>
      <c r="K57" s="504" t="s">
        <v>129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1039935.91</v>
      </c>
      <c r="E58" s="302">
        <v>-49100.24</v>
      </c>
      <c r="F58" s="361">
        <f t="shared" si="5"/>
        <v>-4.7214678835352457E-2</v>
      </c>
      <c r="G58" s="302">
        <v>-49100.24</v>
      </c>
      <c r="H58" s="371" t="s">
        <v>129</v>
      </c>
      <c r="I58" s="302">
        <v>773596.15</v>
      </c>
      <c r="J58" s="403">
        <v>25786.538333333334</v>
      </c>
      <c r="K58" s="505" t="s">
        <v>129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3">
        <v>400</v>
      </c>
      <c r="D59" s="393">
        <v>258224.78000000003</v>
      </c>
      <c r="E59" s="326">
        <v>265619.75</v>
      </c>
      <c r="F59" s="381">
        <f t="shared" si="5"/>
        <v>1.0286377240789981</v>
      </c>
      <c r="G59" s="326">
        <v>240619.75</v>
      </c>
      <c r="H59" s="356">
        <f t="shared" ref="H59" si="12">G59/E59</f>
        <v>0.90588049269679682</v>
      </c>
      <c r="I59" s="326">
        <v>23245.13</v>
      </c>
      <c r="J59" s="404">
        <v>0.31750280963487587</v>
      </c>
      <c r="K59" s="547">
        <f t="shared" ref="K59" si="13">+E59/I59-1</f>
        <v>10.426898881615202</v>
      </c>
      <c r="L59" s="289" t="s">
        <v>761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75794667.280000091</v>
      </c>
      <c r="E60" s="84">
        <f>SUM(E43:E59)</f>
        <v>18587946.849999934</v>
      </c>
      <c r="F60" s="90">
        <f t="shared" si="0"/>
        <v>0.24524082652586204</v>
      </c>
      <c r="G60" s="84">
        <f>SUM(G43:G59)</f>
        <v>9310492.6399999745</v>
      </c>
      <c r="H60" s="170">
        <f t="shared" si="4"/>
        <v>0.50088870573675048</v>
      </c>
      <c r="I60" s="84">
        <f>SUM(I43:I59)</f>
        <v>10694147.940000001</v>
      </c>
      <c r="J60" s="43">
        <v>9.2999999999999999E-2</v>
      </c>
      <c r="K60" s="144">
        <f t="shared" si="2"/>
        <v>0.73814192157135361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954844.42</v>
      </c>
      <c r="F61" s="374">
        <f t="shared" ref="F61:F65" si="14">+E61/D61</f>
        <v>0.25806605945945948</v>
      </c>
      <c r="G61" s="284">
        <v>954844.42</v>
      </c>
      <c r="H61" s="355">
        <f t="shared" ref="H61:H65" si="15">+G61/E61</f>
        <v>1</v>
      </c>
      <c r="I61" s="284">
        <v>216002.47</v>
      </c>
      <c r="J61" s="335">
        <v>5.8379045945945944E-2</v>
      </c>
      <c r="K61" s="285">
        <f t="shared" si="2"/>
        <v>3.4205254689911646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595237.26</v>
      </c>
      <c r="F62" s="374">
        <f t="shared" si="14"/>
        <v>0.41249697507293781</v>
      </c>
      <c r="G62" s="284">
        <v>380802.09</v>
      </c>
      <c r="H62" s="355">
        <f t="shared" si="15"/>
        <v>0.63974840889496742</v>
      </c>
      <c r="I62" s="284">
        <v>548454.93000000005</v>
      </c>
      <c r="J62" s="335">
        <v>0.27130550471422782</v>
      </c>
      <c r="K62" s="285">
        <f t="shared" si="2"/>
        <v>8.5298403644580079E-2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2545112.09</v>
      </c>
      <c r="F63" s="374">
        <f t="shared" si="14"/>
        <v>0.70717201722700751</v>
      </c>
      <c r="G63" s="284">
        <v>642155.81999999995</v>
      </c>
      <c r="H63" s="355">
        <f t="shared" si="15"/>
        <v>0.25230944543585898</v>
      </c>
      <c r="I63" s="284">
        <v>3185042.94</v>
      </c>
      <c r="J63" s="335">
        <v>1.0422260929319371</v>
      </c>
      <c r="K63" s="285">
        <f t="shared" si="2"/>
        <v>-0.20091749532268477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v>4146409.66</v>
      </c>
      <c r="F64" s="374">
        <f t="shared" si="14"/>
        <v>0.13482058087909571</v>
      </c>
      <c r="G64" s="284">
        <v>1940018.1999999997</v>
      </c>
      <c r="H64" s="355">
        <f t="shared" si="15"/>
        <v>0.46787904695359978</v>
      </c>
      <c r="I64" s="284">
        <v>4114257.69</v>
      </c>
      <c r="J64" s="335">
        <v>0.13404971336368801</v>
      </c>
      <c r="K64" s="285">
        <f t="shared" si="2"/>
        <v>7.8147681605233998E-3</v>
      </c>
      <c r="L64" s="289" t="s">
        <v>416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1402725.71</v>
      </c>
      <c r="F65" s="374">
        <f t="shared" si="14"/>
        <v>0.53949743852064946</v>
      </c>
      <c r="G65" s="284">
        <v>654683.59</v>
      </c>
      <c r="H65" s="355">
        <f t="shared" si="15"/>
        <v>0.46672245709391041</v>
      </c>
      <c r="I65" s="284">
        <v>745857.06</v>
      </c>
      <c r="J65" s="335">
        <v>0.27976214160327678</v>
      </c>
      <c r="K65" s="285">
        <f t="shared" si="2"/>
        <v>0.88068972625934494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7">
        <v>20.009999999999998</v>
      </c>
      <c r="D66" s="292">
        <v>20.009999999999998</v>
      </c>
      <c r="E66" s="294">
        <v>0</v>
      </c>
      <c r="F66" s="545" t="s">
        <v>129</v>
      </c>
      <c r="G66" s="294">
        <v>0</v>
      </c>
      <c r="H66" s="365" t="s">
        <v>129</v>
      </c>
      <c r="I66" s="292">
        <v>0</v>
      </c>
      <c r="J66" s="546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41" t="s">
        <v>42</v>
      </c>
      <c r="C67" s="519">
        <f>SUM(C61:C66)</f>
        <v>42097109.999999993</v>
      </c>
      <c r="D67" s="152">
        <f>SUM(D61:D66)</f>
        <v>42097109.999999993</v>
      </c>
      <c r="E67" s="84">
        <f>SUM(E61:E66)</f>
        <v>9644329.1400000006</v>
      </c>
      <c r="F67" s="90">
        <f t="shared" si="0"/>
        <v>0.22909717887997544</v>
      </c>
      <c r="G67" s="84">
        <f>SUM(G61:G66)</f>
        <v>4572504.12</v>
      </c>
      <c r="H67" s="170">
        <f t="shared" si="4"/>
        <v>0.47411323832110525</v>
      </c>
      <c r="I67" s="84">
        <f>SUM(I61:I66)</f>
        <v>8809615.0899999999</v>
      </c>
      <c r="J67" s="43">
        <v>0.20907757399325877</v>
      </c>
      <c r="K67" s="231">
        <f>+E67/I67-1</f>
        <v>9.4750342832515377E-2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2506709456.6300001</v>
      </c>
      <c r="E68" s="155">
        <f>+E11+E14+E38+E60+E67</f>
        <v>809496846.91999996</v>
      </c>
      <c r="F68" s="181">
        <f t="shared" si="0"/>
        <v>0.32293205930945063</v>
      </c>
      <c r="G68" s="155">
        <f>+G11+G14+G38+G60+G67</f>
        <v>615694567.48000002</v>
      </c>
      <c r="H68" s="173">
        <f t="shared" si="4"/>
        <v>0.76058921022684012</v>
      </c>
      <c r="I68" s="147">
        <f>+I11+I14+I38+I60+I67</f>
        <v>799809577.1700002</v>
      </c>
      <c r="J68" s="183">
        <v>0.34015574727988029</v>
      </c>
      <c r="K68" s="146">
        <f t="shared" si="2"/>
        <v>1.2111970182048459E-2</v>
      </c>
      <c r="L68" s="14"/>
    </row>
    <row r="69" spans="1:14" x14ac:dyDescent="0.25">
      <c r="D69" s="46"/>
      <c r="F69" s="382"/>
    </row>
    <row r="72" spans="1:14" x14ac:dyDescent="0.25">
      <c r="B72" s="254"/>
    </row>
    <row r="73" spans="1:14" x14ac:dyDescent="0.25">
      <c r="E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87"/>
      <c r="O137" s="688">
        <v>0.58699999999999997</v>
      </c>
    </row>
    <row r="138" spans="12:15" x14ac:dyDescent="0.25">
      <c r="L138" s="687"/>
      <c r="O138" s="688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opLeftCell="A13" zoomScaleNormal="100" workbookViewId="0">
      <selection activeCell="E9" sqref="E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P137"/>
  <sheetViews>
    <sheetView zoomScaleNormal="100" workbookViewId="0">
      <selection activeCell="A16" sqref="A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530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15000445.85</v>
      </c>
      <c r="E5" s="180">
        <v>5167548.2</v>
      </c>
      <c r="F5" s="48">
        <f>E5/D5</f>
        <v>0.34449297385384048</v>
      </c>
      <c r="G5" s="30">
        <v>5097559.08</v>
      </c>
      <c r="H5" s="48">
        <f>G5/D5</f>
        <v>0.33982717120371458</v>
      </c>
      <c r="I5" s="180">
        <v>5097559.08</v>
      </c>
      <c r="J5" s="153">
        <f>I5/D5</f>
        <v>0.33982717120371458</v>
      </c>
      <c r="K5" s="180">
        <v>5074978.0199999996</v>
      </c>
      <c r="L5" s="48">
        <v>0.45711727231020882</v>
      </c>
      <c r="M5" s="210">
        <f>+G5/K5-1</f>
        <v>4.4494892216302429E-3</v>
      </c>
      <c r="N5" s="180">
        <v>5074978.0199999996</v>
      </c>
      <c r="O5" s="48">
        <v>0.45711727231020882</v>
      </c>
      <c r="P5" s="210">
        <f>+I5/N5-1</f>
        <v>4.4494892216302429E-3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22853965.010000002</v>
      </c>
      <c r="E6" s="34">
        <v>14471374.07</v>
      </c>
      <c r="F6" s="48">
        <f>E6/D6</f>
        <v>0.63321065135384136</v>
      </c>
      <c r="G6" s="34">
        <v>12278849.98</v>
      </c>
      <c r="H6" s="48">
        <f>G6/D6</f>
        <v>0.53727438431918728</v>
      </c>
      <c r="I6" s="34">
        <v>3300112.93</v>
      </c>
      <c r="J6" s="153">
        <f>I6/D6</f>
        <v>0.14440001673915226</v>
      </c>
      <c r="K6" s="34">
        <v>7352746.5300000003</v>
      </c>
      <c r="L6" s="280">
        <v>0.81602504451546209</v>
      </c>
      <c r="M6" s="210">
        <f>+G6/K6-1</f>
        <v>0.66996780453412419</v>
      </c>
      <c r="N6" s="34">
        <v>900233.76</v>
      </c>
      <c r="O6" s="280">
        <v>9.9910052805576827E-2</v>
      </c>
      <c r="P6" s="210">
        <f>+I6/N6-1</f>
        <v>2.6658400036008425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35821935.759999998</v>
      </c>
      <c r="E8" s="34">
        <v>30906347.91</v>
      </c>
      <c r="F8" s="390">
        <f>E8/D8</f>
        <v>0.86277715746760641</v>
      </c>
      <c r="G8" s="34">
        <v>27897347.809999999</v>
      </c>
      <c r="H8" s="390">
        <f>G8/D8</f>
        <v>0.77877834399868284</v>
      </c>
      <c r="I8" s="34">
        <v>5895052.71</v>
      </c>
      <c r="J8" s="392">
        <f>I8/D8</f>
        <v>0.16456544251253497</v>
      </c>
      <c r="K8" s="34">
        <v>127247828.52</v>
      </c>
      <c r="L8" s="390">
        <v>0.95967709508317889</v>
      </c>
      <c r="M8" s="520">
        <f>+G8/K8-1</f>
        <v>-0.78076366304659361</v>
      </c>
      <c r="N8" s="34">
        <v>56865627.799999997</v>
      </c>
      <c r="O8" s="390">
        <v>0.4288689334184424</v>
      </c>
      <c r="P8" s="520">
        <f>+I8/N8-1</f>
        <v>-0.89633363882425998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73676346.620000005</v>
      </c>
      <c r="E9" s="84">
        <f>SUM(E5:E8)</f>
        <v>50545270.18</v>
      </c>
      <c r="F9" s="90">
        <f>E9/D9</f>
        <v>0.68604474161425233</v>
      </c>
      <c r="G9" s="84">
        <f t="shared" ref="G9:I9" si="0">SUM(G5:G8)</f>
        <v>45273756.870000005</v>
      </c>
      <c r="H9" s="90">
        <f>G9/D9</f>
        <v>0.61449513917279519</v>
      </c>
      <c r="I9" s="84">
        <f t="shared" si="0"/>
        <v>14292724.719999999</v>
      </c>
      <c r="J9" s="170">
        <f>I9/D9</f>
        <v>0.19399339646572716</v>
      </c>
      <c r="K9" s="84">
        <f t="shared" ref="K9" si="1">SUM(K5:K8)</f>
        <v>139675553.06999999</v>
      </c>
      <c r="L9" s="90">
        <v>0.91466372997524448</v>
      </c>
      <c r="M9" s="213">
        <f>+G9/K9-1</f>
        <v>-0.67586484624613918</v>
      </c>
      <c r="N9" s="84">
        <f t="shared" ref="N9" si="2">SUM(N5:N8)</f>
        <v>62840839.579999998</v>
      </c>
      <c r="O9" s="90">
        <v>0.41151250495648944</v>
      </c>
      <c r="P9" s="213">
        <f>+I9/N9-1</f>
        <v>-0.77255675106306398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424810</v>
      </c>
      <c r="E10" s="30">
        <v>38099.33</v>
      </c>
      <c r="F10" s="390">
        <f>E10/D10</f>
        <v>8.9685577081518794E-2</v>
      </c>
      <c r="G10" s="136">
        <v>38099.33</v>
      </c>
      <c r="H10" s="48">
        <f>G10/D10</f>
        <v>8.9685577081518794E-2</v>
      </c>
      <c r="I10" s="136">
        <v>0</v>
      </c>
      <c r="J10" s="517">
        <f>I10/D10</f>
        <v>0</v>
      </c>
      <c r="K10" s="136">
        <v>0</v>
      </c>
      <c r="L10" s="48" t="s">
        <v>129</v>
      </c>
      <c r="M10" s="224" t="s">
        <v>129</v>
      </c>
      <c r="N10" s="136">
        <v>0</v>
      </c>
      <c r="O10" s="417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16">
        <v>411190</v>
      </c>
      <c r="E11" s="180">
        <v>411190</v>
      </c>
      <c r="F11" s="390">
        <f>E11/D11</f>
        <v>1</v>
      </c>
      <c r="G11" s="180">
        <v>111190</v>
      </c>
      <c r="H11" s="390">
        <f>G11/D11</f>
        <v>0.27041027262336148</v>
      </c>
      <c r="I11" s="137">
        <v>0</v>
      </c>
      <c r="J11" s="392">
        <f>I11/D11</f>
        <v>0</v>
      </c>
      <c r="K11" s="180">
        <v>4376793</v>
      </c>
      <c r="L11" s="390">
        <v>1</v>
      </c>
      <c r="M11" s="496">
        <f>+G11/K11-1</f>
        <v>-0.97459555432482181</v>
      </c>
      <c r="N11" s="137">
        <v>1000000</v>
      </c>
      <c r="O11" s="390">
        <v>0.22847779184439382</v>
      </c>
      <c r="P11" s="496">
        <f>+I11/N11-1</f>
        <v>-1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836000</v>
      </c>
      <c r="E12" s="84">
        <f t="shared" si="3"/>
        <v>449289.33</v>
      </c>
      <c r="F12" s="90">
        <f>E12/D12</f>
        <v>0.53742742822966505</v>
      </c>
      <c r="G12" s="84">
        <f t="shared" si="3"/>
        <v>149289.33000000002</v>
      </c>
      <c r="H12" s="90">
        <f>G12/D12</f>
        <v>0.17857575358851677</v>
      </c>
      <c r="I12" s="84">
        <f t="shared" si="3"/>
        <v>0</v>
      </c>
      <c r="J12" s="170">
        <f>I12/D12</f>
        <v>0</v>
      </c>
      <c r="K12" s="152">
        <f t="shared" ref="K12" si="4">SUM(K10:K11)</f>
        <v>4376793</v>
      </c>
      <c r="L12" s="90">
        <v>0.79055653921913216</v>
      </c>
      <c r="M12" s="225">
        <f>+G12/K12-1</f>
        <v>-0.96589070353567097</v>
      </c>
      <c r="N12" s="84">
        <f t="shared" ref="N12" si="5">SUM(N10:N11)</f>
        <v>1000000</v>
      </c>
      <c r="O12" s="90">
        <v>0.18062461240893327</v>
      </c>
      <c r="P12" s="225">
        <f>+I12/N12-1</f>
        <v>-1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2" t="s">
        <v>129</v>
      </c>
      <c r="N15" s="84">
        <f t="shared" ref="N15" si="8">SUM(N13:N14)</f>
        <v>0</v>
      </c>
      <c r="O15" s="58" t="s">
        <v>129</v>
      </c>
      <c r="P15" s="642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74512346.620000005</v>
      </c>
      <c r="E16" s="155">
        <f t="shared" si="9"/>
        <v>50994559.509999998</v>
      </c>
      <c r="F16" s="181">
        <f>E16/D16</f>
        <v>0.68437731226025367</v>
      </c>
      <c r="G16" s="155">
        <f t="shared" si="9"/>
        <v>45423046.200000003</v>
      </c>
      <c r="H16" s="181">
        <f>G16/D16</f>
        <v>0.60960429057012033</v>
      </c>
      <c r="I16" s="155">
        <f t="shared" si="9"/>
        <v>14292724.719999999</v>
      </c>
      <c r="J16" s="173">
        <f>I16/D16</f>
        <v>0.19181686483302435</v>
      </c>
      <c r="K16" s="155">
        <f t="shared" ref="K16" si="10">+K9+K12+K15</f>
        <v>144052346.06999999</v>
      </c>
      <c r="L16" s="181">
        <v>0.9103216824922683</v>
      </c>
      <c r="M16" s="607">
        <f>+G16/K16-1</f>
        <v>-0.68467680368129935</v>
      </c>
      <c r="N16" s="155">
        <f t="shared" ref="N16" si="11">+N9+N12+N15</f>
        <v>63840839.579999998</v>
      </c>
      <c r="O16" s="181">
        <v>0.40343459918343971</v>
      </c>
      <c r="P16" s="607">
        <f>+I16/N16-1</f>
        <v>-0.7761194117428617</v>
      </c>
    </row>
    <row r="21" spans="10:14" x14ac:dyDescent="0.25">
      <c r="J21" s="97" t="s">
        <v>148</v>
      </c>
    </row>
    <row r="24" spans="10:14" x14ac:dyDescent="0.25">
      <c r="N24" s="69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2" zoomScaleNormal="100"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XFD138"/>
  <sheetViews>
    <sheetView topLeftCell="C1" zoomScaleNormal="100" workbookViewId="0">
      <selection activeCell="I20" sqref="I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643" t="s">
        <v>546</v>
      </c>
      <c r="M3" s="88" t="s">
        <v>547</v>
      </c>
      <c r="N3" s="217" t="s">
        <v>39</v>
      </c>
      <c r="O3" s="643" t="s">
        <v>40</v>
      </c>
      <c r="P3" s="611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1" t="s">
        <v>17</v>
      </c>
      <c r="O4" s="644" t="s">
        <v>18</v>
      </c>
      <c r="P4" s="587" t="s">
        <v>766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43703314.750000007</v>
      </c>
      <c r="E5" s="30">
        <v>14604256.130000001</v>
      </c>
      <c r="F5" s="48">
        <f>E5/D5</f>
        <v>0.3341681566613891</v>
      </c>
      <c r="G5" s="30">
        <v>14604256.130000001</v>
      </c>
      <c r="H5" s="48">
        <f>G5/D5</f>
        <v>0.3341681566613891</v>
      </c>
      <c r="I5" s="30">
        <v>14604256.130000001</v>
      </c>
      <c r="J5" s="153">
        <f>I5/D5</f>
        <v>0.3341681566613891</v>
      </c>
      <c r="K5" s="30">
        <v>18663680.869999997</v>
      </c>
      <c r="L5" s="48">
        <v>0.43532569966108242</v>
      </c>
      <c r="M5" s="210">
        <f>+G5/K5-1</f>
        <v>-0.21750397299844082</v>
      </c>
      <c r="N5" s="689">
        <v>18663680.869999997</v>
      </c>
      <c r="O5" s="48">
        <v>0.43532569966108242</v>
      </c>
      <c r="P5" s="210">
        <f>+I5/N5-1</f>
        <v>-0.21750397299844082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178860880.09</v>
      </c>
      <c r="E6" s="32">
        <v>164318325.98000002</v>
      </c>
      <c r="F6" s="48">
        <f>E6/D6</f>
        <v>0.91869348902519998</v>
      </c>
      <c r="G6" s="32">
        <v>158055077.43000001</v>
      </c>
      <c r="H6" s="48">
        <f>G6/D6</f>
        <v>0.88367605789745174</v>
      </c>
      <c r="I6" s="32">
        <v>29214100.990000006</v>
      </c>
      <c r="J6" s="153">
        <f>I6/D6</f>
        <v>0.16333421246333982</v>
      </c>
      <c r="K6" s="32">
        <v>147216923.60000002</v>
      </c>
      <c r="L6" s="280">
        <v>0.89255020956423137</v>
      </c>
      <c r="M6" s="210">
        <f>+G6/K6-1</f>
        <v>7.3620298298367581E-2</v>
      </c>
      <c r="N6" s="32">
        <v>27117995.950000003</v>
      </c>
      <c r="O6" s="280">
        <v>0.1644116204594733</v>
      </c>
      <c r="P6" s="210">
        <f>+I6/N6-1</f>
        <v>7.7295720666998635E-2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108156491.47</v>
      </c>
      <c r="E8" s="34">
        <v>103851147.81999999</v>
      </c>
      <c r="F8" s="390">
        <f>E8/D8</f>
        <v>0.96019338653201225</v>
      </c>
      <c r="G8" s="34">
        <v>99369383.330000013</v>
      </c>
      <c r="H8" s="390">
        <f>G8/D8</f>
        <v>0.91875561031454767</v>
      </c>
      <c r="I8" s="34">
        <v>36950638.030000001</v>
      </c>
      <c r="J8" s="392">
        <f>I8/D8</f>
        <v>0.34164050190412487</v>
      </c>
      <c r="K8" s="34">
        <v>75255210.210000008</v>
      </c>
      <c r="L8" s="390">
        <v>0.89815397620914228</v>
      </c>
      <c r="M8" s="520">
        <f>+G8/K8-1</f>
        <v>0.32043194155872134</v>
      </c>
      <c r="N8" s="34">
        <v>34300074.449999996</v>
      </c>
      <c r="O8" s="390">
        <v>0.40936365954690357</v>
      </c>
      <c r="P8" s="520">
        <f>+I8/N8-1</f>
        <v>7.7275738391290982E-2</v>
      </c>
    </row>
    <row r="9" spans="1:16384" ht="15" customHeight="1" x14ac:dyDescent="0.25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20" t="s">
        <v>129</v>
      </c>
      <c r="N9" s="34"/>
      <c r="O9" s="390" t="s">
        <v>129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5">
      <c r="A10" s="9"/>
      <c r="B10" s="518" t="s">
        <v>4</v>
      </c>
      <c r="C10" s="515">
        <f>SUM(C5:C9)</f>
        <v>328129038.38</v>
      </c>
      <c r="D10" s="152">
        <f>SUM(D5:D9)</f>
        <v>330720686.31</v>
      </c>
      <c r="E10" s="84">
        <f>SUM(E5:E9)</f>
        <v>282773729.93000001</v>
      </c>
      <c r="F10" s="90">
        <f>E10/D10</f>
        <v>0.85502280817397358</v>
      </c>
      <c r="G10" s="84">
        <f>SUM(G5:G9)</f>
        <v>272028716.88999999</v>
      </c>
      <c r="H10" s="90">
        <f>G10/D10</f>
        <v>0.82253311676734586</v>
      </c>
      <c r="I10" s="84">
        <f>SUM(I5:I9)</f>
        <v>80768995.150000006</v>
      </c>
      <c r="J10" s="170">
        <f>I10/D10</f>
        <v>0.24422117664055473</v>
      </c>
      <c r="K10" s="152">
        <f>SUM(K5:K9)</f>
        <v>241135814.68000004</v>
      </c>
      <c r="L10" s="90">
        <v>0.82693660639336941</v>
      </c>
      <c r="M10" s="213">
        <f t="shared" ref="M10" si="0">+G10/K10-1</f>
        <v>0.12811411797536776</v>
      </c>
      <c r="N10" s="700">
        <f>SUM(N5:N9)</f>
        <v>80081751.269999996</v>
      </c>
      <c r="O10" s="90">
        <v>0.2746275235685437</v>
      </c>
      <c r="P10" s="213">
        <f>+I10/N10-1</f>
        <v>8.5817788584934274E-3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16">
        <v>14167875.989999998</v>
      </c>
      <c r="E11" s="180">
        <v>4019747.5</v>
      </c>
      <c r="F11" s="48">
        <f>E11/D11</f>
        <v>0.28372266265156665</v>
      </c>
      <c r="G11" s="56">
        <v>2251864.4</v>
      </c>
      <c r="H11" s="48">
        <f>G11/D11</f>
        <v>0.15894156622978742</v>
      </c>
      <c r="I11" s="30">
        <v>431558.29000000004</v>
      </c>
      <c r="J11" s="153">
        <f>I11/D11</f>
        <v>3.0460337901362454E-2</v>
      </c>
      <c r="K11" s="150">
        <v>1599677.64</v>
      </c>
      <c r="L11" s="48">
        <v>0.13567588861879931</v>
      </c>
      <c r="M11" s="210">
        <f>+G11/K11-1</f>
        <v>0.40769886612905348</v>
      </c>
      <c r="N11" s="689">
        <v>173987.81000000003</v>
      </c>
      <c r="O11" s="48">
        <v>1.4756692311201414E-2</v>
      </c>
      <c r="P11" s="210">
        <f>+I11/N11-1</f>
        <v>1.4803938275905648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0</v>
      </c>
      <c r="J12" s="153">
        <f>I12/D12</f>
        <v>0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14381067.989999998</v>
      </c>
      <c r="E13" s="84">
        <f t="shared" si="1"/>
        <v>4232939.5</v>
      </c>
      <c r="F13" s="90">
        <f>E13/D13</f>
        <v>0.29434110894569249</v>
      </c>
      <c r="G13" s="84">
        <f t="shared" si="1"/>
        <v>2465056.4</v>
      </c>
      <c r="H13" s="90">
        <f>G13/D13</f>
        <v>0.17140982865209306</v>
      </c>
      <c r="I13" s="84">
        <f t="shared" si="1"/>
        <v>431558.29000000004</v>
      </c>
      <c r="J13" s="170">
        <f>I13/D13</f>
        <v>3.0008778923796751E-2</v>
      </c>
      <c r="K13" s="84">
        <f t="shared" ref="K13" si="2">SUM(K11:K12)</f>
        <v>1599677.64</v>
      </c>
      <c r="L13" s="90">
        <v>0.13567588861879931</v>
      </c>
      <c r="M13" s="213">
        <f t="shared" ref="M13" si="3">+G13/K13-1</f>
        <v>0.54097071707522271</v>
      </c>
      <c r="N13" s="84">
        <f t="shared" ref="N13" si="4">SUM(N11:N12)</f>
        <v>173987.81000000003</v>
      </c>
      <c r="O13" s="90">
        <v>1.4756692311201414E-2</v>
      </c>
      <c r="P13" s="213">
        <f>+I13/N13-1</f>
        <v>1.4803938275905648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41" t="s">
        <v>129</v>
      </c>
      <c r="N16" s="84">
        <f t="shared" ref="N16" si="7">SUM(N14:N15)</f>
        <v>0</v>
      </c>
      <c r="O16" s="263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345101754.30000001</v>
      </c>
      <c r="E17" s="155">
        <f t="shared" si="8"/>
        <v>287006669.43000001</v>
      </c>
      <c r="F17" s="181">
        <f>E17/D17</f>
        <v>0.83165810041203836</v>
      </c>
      <c r="G17" s="155">
        <f t="shared" si="8"/>
        <v>274493773.28999996</v>
      </c>
      <c r="H17" s="181">
        <f>G17/D17</f>
        <v>0.79539953034078203</v>
      </c>
      <c r="I17" s="155">
        <f t="shared" si="8"/>
        <v>81200553.440000013</v>
      </c>
      <c r="J17" s="173">
        <f>I17/D17</f>
        <v>0.23529452524721636</v>
      </c>
      <c r="K17" s="155">
        <f t="shared" ref="K17" si="9">+K10+K13+K16</f>
        <v>242735492.32000002</v>
      </c>
      <c r="L17" s="181">
        <v>0.80007277892997175</v>
      </c>
      <c r="M17" s="607">
        <f>+G17/K17-1</f>
        <v>0.13083492927409535</v>
      </c>
      <c r="N17" s="155">
        <f t="shared" ref="N17" si="10">+N10+N13+N16</f>
        <v>80255739.079999998</v>
      </c>
      <c r="O17" s="181">
        <v>0.26452840323064597</v>
      </c>
      <c r="P17" s="607">
        <f>+I17/N17-1</f>
        <v>1.1772545749758834E-2</v>
      </c>
    </row>
    <row r="19" spans="1:16" x14ac:dyDescent="0.25">
      <c r="C19" t="s">
        <v>786</v>
      </c>
    </row>
    <row r="20" spans="1:16" x14ac:dyDescent="0.25">
      <c r="D20" s="46">
        <f>D17-D5</f>
        <v>301398439.55000001</v>
      </c>
      <c r="E20" s="46">
        <f t="shared" ref="E20:I20" si="11">E17-E5</f>
        <v>272402413.30000001</v>
      </c>
      <c r="F20" s="46">
        <f t="shared" si="11"/>
        <v>0.49748994375064925</v>
      </c>
      <c r="G20" s="46">
        <f t="shared" si="11"/>
        <v>259889517.15999997</v>
      </c>
      <c r="H20" s="46">
        <f t="shared" si="11"/>
        <v>0.46123137367939293</v>
      </c>
      <c r="I20" s="46">
        <f t="shared" si="11"/>
        <v>66596297.31000001</v>
      </c>
      <c r="J20" s="775">
        <f>I20/D20</f>
        <v>0.22095767121233592</v>
      </c>
      <c r="N20" s="46">
        <f>N17-N5</f>
        <v>61592058.210000001</v>
      </c>
      <c r="P20" s="442">
        <f>I20/N20-1</f>
        <v>8.1248122654675736E-2</v>
      </c>
    </row>
    <row r="21" spans="1:16" x14ac:dyDescent="0.25">
      <c r="D21" s="46">
        <f>D10-D5</f>
        <v>287017371.56</v>
      </c>
      <c r="E21" s="46">
        <f t="shared" ref="E21:I21" si="12">E10-E5</f>
        <v>268169473.80000001</v>
      </c>
      <c r="F21" s="46">
        <f t="shared" si="12"/>
        <v>0.52085465151258448</v>
      </c>
      <c r="G21" s="46">
        <f t="shared" si="12"/>
        <v>257424460.75999999</v>
      </c>
      <c r="H21" s="46">
        <f t="shared" si="12"/>
        <v>0.48836496010595676</v>
      </c>
      <c r="I21" s="46">
        <f t="shared" si="12"/>
        <v>66164739.020000003</v>
      </c>
      <c r="J21" s="775">
        <f>I21/D21</f>
        <v>0.23052520709941937</v>
      </c>
      <c r="N21" s="46">
        <f>N10-N5</f>
        <v>61418070.399999999</v>
      </c>
      <c r="P21" s="442">
        <f>I21/N21-1</f>
        <v>7.7284561189991496E-2</v>
      </c>
    </row>
    <row r="137" spans="12:12" x14ac:dyDescent="0.25">
      <c r="L137" s="686"/>
    </row>
    <row r="138" spans="12:12" x14ac:dyDescent="0.25">
      <c r="L138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opLeftCell="B13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G19" sqref="G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782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4908551.22</v>
      </c>
      <c r="E5" s="30">
        <v>1652457.38</v>
      </c>
      <c r="F5" s="48">
        <f>E5/D5</f>
        <v>0.33664869855427526</v>
      </c>
      <c r="G5" s="30">
        <v>1652457.38</v>
      </c>
      <c r="H5" s="48">
        <f>G5/D5</f>
        <v>0.33664869855427526</v>
      </c>
      <c r="I5" s="30">
        <v>1652457.38</v>
      </c>
      <c r="J5" s="153">
        <f>I5/D5</f>
        <v>0.33664869855427526</v>
      </c>
      <c r="K5" s="578">
        <v>1973478.02</v>
      </c>
      <c r="L5" s="48">
        <v>0.4375</v>
      </c>
      <c r="M5" s="210">
        <f>+G5/K5-1</f>
        <v>-0.16266745144696371</v>
      </c>
      <c r="N5" s="578">
        <v>1973478.02</v>
      </c>
      <c r="O5" s="48">
        <v>0.4375</v>
      </c>
      <c r="P5" s="210">
        <f>+I5/N5-1</f>
        <v>-0.16266745144696371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30951597.48</v>
      </c>
      <c r="E6" s="30">
        <v>30019284.649999999</v>
      </c>
      <c r="F6" s="48">
        <f t="shared" ref="F6:F17" si="0">E6/D6</f>
        <v>0.96987836150937168</v>
      </c>
      <c r="G6" s="30">
        <v>28768012.879999999</v>
      </c>
      <c r="H6" s="280">
        <f t="shared" ref="H6:H17" si="1">G6/D6</f>
        <v>0.92945163488214244</v>
      </c>
      <c r="I6" s="30">
        <v>5261972.29</v>
      </c>
      <c r="J6" s="178">
        <f t="shared" ref="J6:J17" si="2">I6/D6</f>
        <v>0.17000648491245499</v>
      </c>
      <c r="K6" s="579">
        <v>27307639.82</v>
      </c>
      <c r="L6" s="412">
        <v>0.93640000000000001</v>
      </c>
      <c r="M6" s="210">
        <f t="shared" ref="M6:M17" si="3">+G6/K6-1</f>
        <v>5.3478552874804963E-2</v>
      </c>
      <c r="N6" s="579">
        <v>4600453.7</v>
      </c>
      <c r="O6" s="412">
        <v>0.15770000000000001</v>
      </c>
      <c r="P6" s="210">
        <f>+I6/N6-1</f>
        <v>0.14379420664531417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12984740.82</v>
      </c>
      <c r="D8" s="204">
        <v>12862319.02</v>
      </c>
      <c r="E8" s="30">
        <v>12316281.49</v>
      </c>
      <c r="F8" s="48">
        <f t="shared" si="0"/>
        <v>0.95754750530204158</v>
      </c>
      <c r="G8" s="30">
        <v>11796176.49</v>
      </c>
      <c r="H8" s="48">
        <f t="shared" si="1"/>
        <v>0.91711117347173376</v>
      </c>
      <c r="I8" s="30">
        <v>5991350.9100000001</v>
      </c>
      <c r="J8" s="178">
        <f t="shared" si="2"/>
        <v>0.46580643044880721</v>
      </c>
      <c r="K8" s="635">
        <v>11510949.26</v>
      </c>
      <c r="L8" s="414">
        <v>0.93579999999999997</v>
      </c>
      <c r="M8" s="443">
        <f t="shared" si="3"/>
        <v>2.4778775716712831E-2</v>
      </c>
      <c r="N8" s="635">
        <v>7005568.9400000004</v>
      </c>
      <c r="O8" s="414">
        <v>0.56950000000000001</v>
      </c>
      <c r="P8" s="443">
        <f t="shared" ref="P8:P17" si="4">+I8/N8-1</f>
        <v>-0.14477311388787795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 t="shared" ref="D10:E10" si="5">SUM(D5:D9)</f>
        <v>48722467.719999999</v>
      </c>
      <c r="E10" s="84">
        <f t="shared" si="5"/>
        <v>43988023.519999996</v>
      </c>
      <c r="F10" s="90">
        <f t="shared" si="0"/>
        <v>0.90282831675915776</v>
      </c>
      <c r="G10" s="84">
        <f>SUM(G5:G9)</f>
        <v>42216646.75</v>
      </c>
      <c r="H10" s="90">
        <f t="shared" si="1"/>
        <v>0.86647185016596695</v>
      </c>
      <c r="I10" s="84">
        <f>SUM(I5:I9)</f>
        <v>12905780.58</v>
      </c>
      <c r="J10" s="170">
        <f t="shared" si="2"/>
        <v>0.26488355750302706</v>
      </c>
      <c r="K10" s="568">
        <f>SUM(K5:K9)</f>
        <v>40792067.100000001</v>
      </c>
      <c r="L10" s="90">
        <v>0.88729999999999998</v>
      </c>
      <c r="M10" s="213">
        <f t="shared" si="3"/>
        <v>3.4922958096428536E-2</v>
      </c>
      <c r="N10" s="568">
        <f>SUM(N5:N9)</f>
        <v>13579500.66</v>
      </c>
      <c r="O10" s="90">
        <v>0.2954</v>
      </c>
      <c r="P10" s="213">
        <f t="shared" si="4"/>
        <v>-4.9613023105077869E-2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2863487.12</v>
      </c>
      <c r="E11" s="30">
        <v>276744.59999999998</v>
      </c>
      <c r="F11" s="48">
        <f t="shared" si="0"/>
        <v>9.6646008311711898E-2</v>
      </c>
      <c r="G11" s="30">
        <v>143370.79</v>
      </c>
      <c r="H11" s="48">
        <f t="shared" si="1"/>
        <v>5.0068599575192087E-2</v>
      </c>
      <c r="I11" s="30">
        <v>3408.57</v>
      </c>
      <c r="J11" s="153">
        <f t="shared" si="2"/>
        <v>1.1903563233069475E-3</v>
      </c>
      <c r="K11" s="565">
        <v>79588.649999999994</v>
      </c>
      <c r="L11" s="48">
        <v>0.109</v>
      </c>
      <c r="M11" s="224">
        <f t="shared" si="3"/>
        <v>0.80139743543834485</v>
      </c>
      <c r="N11" s="565">
        <v>4293.8100000000004</v>
      </c>
      <c r="O11" s="48">
        <v>5.8999999999999999E-3</v>
      </c>
      <c r="P11" s="224">
        <f t="shared" si="4"/>
        <v>-0.20616655138443485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6">SUM(D11:D12)</f>
        <v>2863487.12</v>
      </c>
      <c r="E13" s="84">
        <f t="shared" si="6"/>
        <v>276744.59999999998</v>
      </c>
      <c r="F13" s="90">
        <f t="shared" si="0"/>
        <v>9.6646008311711898E-2</v>
      </c>
      <c r="G13" s="84">
        <f t="shared" si="6"/>
        <v>143370.79</v>
      </c>
      <c r="H13" s="90">
        <f t="shared" si="1"/>
        <v>5.0068599575192087E-2</v>
      </c>
      <c r="I13" s="84">
        <f t="shared" si="6"/>
        <v>3408.57</v>
      </c>
      <c r="J13" s="170">
        <f t="shared" si="2"/>
        <v>1.1903563233069475E-3</v>
      </c>
      <c r="K13" s="568">
        <f>SUM(K11:K12)</f>
        <v>79588.649999999994</v>
      </c>
      <c r="L13" s="90">
        <v>0.109</v>
      </c>
      <c r="M13" s="213">
        <f t="shared" si="3"/>
        <v>0.80139743543834485</v>
      </c>
      <c r="N13" s="568">
        <f>SUM(N11:N12)</f>
        <v>4293.8100000000004</v>
      </c>
      <c r="O13" s="90">
        <v>5.8999999999999999E-3</v>
      </c>
      <c r="P13" s="213">
        <f t="shared" si="4"/>
        <v>-0.20616655138443485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51585954.839999996</v>
      </c>
      <c r="E17" s="155">
        <f t="shared" si="8"/>
        <v>44264768.119999997</v>
      </c>
      <c r="F17" s="181">
        <f t="shared" si="0"/>
        <v>0.85807790623033853</v>
      </c>
      <c r="G17" s="155">
        <f t="shared" si="8"/>
        <v>42360017.539999999</v>
      </c>
      <c r="H17" s="181">
        <f t="shared" si="1"/>
        <v>0.82115408489354624</v>
      </c>
      <c r="I17" s="155">
        <f t="shared" si="8"/>
        <v>12909189.15</v>
      </c>
      <c r="J17" s="173">
        <f t="shared" si="2"/>
        <v>0.25024619957194538</v>
      </c>
      <c r="K17" s="576">
        <f>K10+K13+K16</f>
        <v>40871655.75</v>
      </c>
      <c r="L17" s="181">
        <v>0.87509999999999999</v>
      </c>
      <c r="M17" s="607">
        <f t="shared" si="3"/>
        <v>3.6415500245545962E-2</v>
      </c>
      <c r="N17" s="576">
        <f>N10+N13+N16</f>
        <v>13583794.470000001</v>
      </c>
      <c r="O17" s="181">
        <v>0.2908</v>
      </c>
      <c r="P17" s="607">
        <f t="shared" si="4"/>
        <v>-4.9662509359213014E-2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3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D18" sqref="D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5198375.28</v>
      </c>
      <c r="E5" s="30">
        <v>1824570.37</v>
      </c>
      <c r="F5" s="48">
        <f>E5/D5</f>
        <v>0.35098858234028846</v>
      </c>
      <c r="G5" s="30">
        <v>1824570.37</v>
      </c>
      <c r="H5" s="48">
        <f>G5/D5</f>
        <v>0.35098858234028846</v>
      </c>
      <c r="I5" s="30">
        <v>1824570.37</v>
      </c>
      <c r="J5" s="153">
        <f>I5/D5</f>
        <v>0.35098858234028846</v>
      </c>
      <c r="K5" s="204">
        <v>2200872.29</v>
      </c>
      <c r="L5" s="48">
        <v>0.4234</v>
      </c>
      <c r="M5" s="210">
        <f>+G5/K5-1</f>
        <v>-0.17097853506075078</v>
      </c>
      <c r="N5" s="30">
        <v>2200872.29</v>
      </c>
      <c r="O5" s="48">
        <v>0.4234</v>
      </c>
      <c r="P5" s="210">
        <f>+I5/N5-1</f>
        <v>-0.17097853506075078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24100371.710000001</v>
      </c>
      <c r="E6" s="30">
        <v>22201416.649999999</v>
      </c>
      <c r="F6" s="48">
        <f t="shared" ref="F6:F17" si="0">E6/D6</f>
        <v>0.92120639951739558</v>
      </c>
      <c r="G6" s="30">
        <v>21824589.32</v>
      </c>
      <c r="H6" s="280">
        <f t="shared" ref="H6:H17" si="1">G6/D6</f>
        <v>0.90557065188103691</v>
      </c>
      <c r="I6" s="30">
        <v>4201175.99</v>
      </c>
      <c r="J6" s="178">
        <f t="shared" ref="J6:J17" si="2">I6/D6</f>
        <v>0.17431996653631696</v>
      </c>
      <c r="K6" s="204">
        <v>20363277.469999999</v>
      </c>
      <c r="L6" s="412">
        <v>0.89929999999999999</v>
      </c>
      <c r="M6" s="210">
        <f t="shared" ref="M6:M17" si="3">+G6/K6-1</f>
        <v>7.1762114529592136E-2</v>
      </c>
      <c r="N6" s="30">
        <v>3603077.87</v>
      </c>
      <c r="O6" s="412">
        <v>0.15909999999999999</v>
      </c>
      <c r="P6" s="210">
        <f>+I6/N6-1</f>
        <v>0.16599644569990946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30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13415073.300000001</v>
      </c>
      <c r="D8" s="204">
        <v>13425365.130000001</v>
      </c>
      <c r="E8" s="30">
        <v>13260198.18</v>
      </c>
      <c r="F8" s="48">
        <f t="shared" si="0"/>
        <v>0.98769739605584927</v>
      </c>
      <c r="G8" s="30">
        <v>12795405.779999999</v>
      </c>
      <c r="H8" s="48">
        <f t="shared" si="1"/>
        <v>0.95307692983393733</v>
      </c>
      <c r="I8" s="30">
        <v>5185535.95</v>
      </c>
      <c r="J8" s="178">
        <f t="shared" si="2"/>
        <v>0.38624915596615883</v>
      </c>
      <c r="K8" s="204">
        <v>11846447.65</v>
      </c>
      <c r="L8" s="414">
        <v>0.9446</v>
      </c>
      <c r="M8" s="443">
        <f t="shared" si="3"/>
        <v>8.0104868399093476E-2</v>
      </c>
      <c r="N8" s="30">
        <v>5951126.1399999997</v>
      </c>
      <c r="O8" s="414">
        <v>0.47449999999999998</v>
      </c>
      <c r="P8" s="443">
        <f t="shared" ref="P8:P17" si="4">+I8/N8-1</f>
        <v>-0.1286462716449831</v>
      </c>
    </row>
    <row r="9" spans="1:16" ht="15" customHeight="1" x14ac:dyDescent="0.25">
      <c r="A9" s="55">
        <v>5</v>
      </c>
      <c r="B9" s="55" t="s">
        <v>453</v>
      </c>
      <c r="C9" s="176">
        <v>300000</v>
      </c>
      <c r="D9" s="516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 t="shared" ref="D10:E10" si="5">SUM(D5:D9)</f>
        <v>42724112.120000005</v>
      </c>
      <c r="E10" s="84">
        <f t="shared" si="5"/>
        <v>37286185.200000003</v>
      </c>
      <c r="F10" s="90">
        <f t="shared" si="0"/>
        <v>0.87271995484127562</v>
      </c>
      <c r="G10" s="84">
        <f>SUM(G5:G9)</f>
        <v>36444565.469999999</v>
      </c>
      <c r="H10" s="90">
        <f t="shared" si="1"/>
        <v>0.85302101463542346</v>
      </c>
      <c r="I10" s="84">
        <f>SUM(I5:I9)</f>
        <v>11211282.310000001</v>
      </c>
      <c r="J10" s="170">
        <f t="shared" si="2"/>
        <v>0.26241112462467714</v>
      </c>
      <c r="K10" s="568">
        <f>SUM(K5:K9)</f>
        <v>34410597.409999996</v>
      </c>
      <c r="L10" s="90">
        <v>0.85209999999999997</v>
      </c>
      <c r="M10" s="213">
        <f t="shared" si="3"/>
        <v>5.9108769190066912E-2</v>
      </c>
      <c r="N10" s="568">
        <f>SUM(N5:N9)</f>
        <v>11755076.300000001</v>
      </c>
      <c r="O10" s="90">
        <v>0.29110000000000003</v>
      </c>
      <c r="P10" s="213">
        <f t="shared" si="4"/>
        <v>-4.6260353920459019E-2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872640</v>
      </c>
      <c r="E11" s="30">
        <v>559451.57999999996</v>
      </c>
      <c r="F11" s="48">
        <f t="shared" si="0"/>
        <v>0.64110237898789879</v>
      </c>
      <c r="G11" s="30">
        <v>234477.22</v>
      </c>
      <c r="H11" s="48">
        <f t="shared" si="1"/>
        <v>0.26869868445177852</v>
      </c>
      <c r="I11" s="30">
        <v>60584.71</v>
      </c>
      <c r="J11" s="153">
        <f t="shared" si="2"/>
        <v>6.9426922900623397E-2</v>
      </c>
      <c r="K11" s="565">
        <v>426.65</v>
      </c>
      <c r="L11" s="48">
        <v>1E-3</v>
      </c>
      <c r="M11" s="224">
        <f t="shared" si="3"/>
        <v>548.57745224422831</v>
      </c>
      <c r="N11" s="565">
        <v>426.65</v>
      </c>
      <c r="O11" s="48">
        <v>1E-3</v>
      </c>
      <c r="P11" s="224">
        <f t="shared" si="4"/>
        <v>141.00096097503808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6">SUM(D11:D12)</f>
        <v>872640</v>
      </c>
      <c r="E13" s="84">
        <f t="shared" si="6"/>
        <v>559451.57999999996</v>
      </c>
      <c r="F13" s="90" t="s">
        <v>129</v>
      </c>
      <c r="G13" s="84">
        <f t="shared" si="6"/>
        <v>234477.22</v>
      </c>
      <c r="H13" s="90" t="s">
        <v>129</v>
      </c>
      <c r="I13" s="84">
        <f t="shared" si="6"/>
        <v>60584.71</v>
      </c>
      <c r="J13" s="170" t="s">
        <v>129</v>
      </c>
      <c r="K13" s="568">
        <f>SUM(K11:K12)</f>
        <v>426.65</v>
      </c>
      <c r="L13" s="90">
        <v>1E-3</v>
      </c>
      <c r="M13" s="629">
        <f t="shared" si="3"/>
        <v>548.57745224422831</v>
      </c>
      <c r="N13" s="568">
        <f>SUM(N11:N12)</f>
        <v>426.65</v>
      </c>
      <c r="O13" s="90">
        <v>1E-3</v>
      </c>
      <c r="P13" s="213">
        <f t="shared" si="4"/>
        <v>141.00096097503808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43596752.120000005</v>
      </c>
      <c r="E17" s="155">
        <f t="shared" si="8"/>
        <v>37845636.780000001</v>
      </c>
      <c r="F17" s="181">
        <f t="shared" si="0"/>
        <v>0.86808385807800392</v>
      </c>
      <c r="G17" s="155">
        <f t="shared" si="8"/>
        <v>36679042.689999998</v>
      </c>
      <c r="H17" s="181">
        <f t="shared" si="1"/>
        <v>0.84132511956489275</v>
      </c>
      <c r="I17" s="155">
        <f t="shared" si="8"/>
        <v>11271867.020000001</v>
      </c>
      <c r="J17" s="173">
        <f t="shared" si="2"/>
        <v>0.25854832004398404</v>
      </c>
      <c r="K17" s="576">
        <f>K10+K13+K16</f>
        <v>34411024.059999995</v>
      </c>
      <c r="L17" s="181">
        <v>0.84360000000000002</v>
      </c>
      <c r="M17" s="607">
        <f t="shared" si="3"/>
        <v>6.5909652268570262E-2</v>
      </c>
      <c r="N17" s="576">
        <f>N10+N13+N16</f>
        <v>11755502.950000001</v>
      </c>
      <c r="O17" s="181">
        <v>0.28820000000000001</v>
      </c>
      <c r="P17" s="607">
        <f t="shared" si="4"/>
        <v>-4.114123675159298E-2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1" workbookViewId="0">
      <selection activeCell="O10" sqref="O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Abril&amp;R&amp;"Arial,Negreta"&amp;8&amp;K03+000Direcció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J11" sqref="J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4761555.16</v>
      </c>
      <c r="E5" s="30">
        <v>1623603.34</v>
      </c>
      <c r="F5" s="48">
        <f>E5/D5</f>
        <v>0.34098173505145324</v>
      </c>
      <c r="G5" s="30">
        <v>1623603.34</v>
      </c>
      <c r="H5" s="48">
        <f>G5/D5</f>
        <v>0.34098173505145324</v>
      </c>
      <c r="I5" s="30">
        <v>1623603.34</v>
      </c>
      <c r="J5" s="153">
        <f>I5/D5</f>
        <v>0.34098173505145324</v>
      </c>
      <c r="K5" s="578">
        <v>2033119.64</v>
      </c>
      <c r="L5" s="48">
        <v>0.43359999999999999</v>
      </c>
      <c r="M5" s="210">
        <f>+G5/K5-1</f>
        <v>-0.20142262754394513</v>
      </c>
      <c r="N5" s="578">
        <v>2033119.64</v>
      </c>
      <c r="O5" s="48">
        <v>0.43359999999999999</v>
      </c>
      <c r="P5" s="210">
        <f>+I5/N5-1</f>
        <v>-0.20142262754394513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21646348.120000001</v>
      </c>
      <c r="E6" s="30">
        <v>19669096.32</v>
      </c>
      <c r="F6" s="48">
        <f t="shared" ref="F6:F17" si="0">E6/D6</f>
        <v>0.90865656465290179</v>
      </c>
      <c r="G6" s="30">
        <v>19005778.379999999</v>
      </c>
      <c r="H6" s="280">
        <f t="shared" ref="H6:H17" si="1">G6/D6</f>
        <v>0.87801315374946476</v>
      </c>
      <c r="I6" s="30">
        <v>3448339.71</v>
      </c>
      <c r="J6" s="178">
        <f t="shared" ref="J6:J17" si="2">I6/D6</f>
        <v>0.1593035319807099</v>
      </c>
      <c r="K6" s="579">
        <v>17172475.620000001</v>
      </c>
      <c r="L6" s="412">
        <v>0.87529999999999997</v>
      </c>
      <c r="M6" s="210">
        <f t="shared" ref="M6:M17" si="3">+G6/K6-1</f>
        <v>0.10675821008968756</v>
      </c>
      <c r="N6" s="579">
        <v>3462972.64</v>
      </c>
      <c r="O6" s="412">
        <v>0.17649999999999999</v>
      </c>
      <c r="P6" s="210">
        <f>+I6/N6-1</f>
        <v>-4.2255401705975082E-3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10482732.210000001</v>
      </c>
      <c r="D8" s="204">
        <v>10578686.380000001</v>
      </c>
      <c r="E8" s="30">
        <v>10024756.449999999</v>
      </c>
      <c r="F8" s="48">
        <f t="shared" si="0"/>
        <v>0.94763717250874757</v>
      </c>
      <c r="G8" s="30">
        <v>9324756.9499999993</v>
      </c>
      <c r="H8" s="48">
        <f t="shared" si="1"/>
        <v>0.88146643307521877</v>
      </c>
      <c r="I8" s="30">
        <v>1421716.27</v>
      </c>
      <c r="J8" s="178">
        <f t="shared" si="2"/>
        <v>0.1343944057825448</v>
      </c>
      <c r="K8" s="635">
        <v>7670017.75</v>
      </c>
      <c r="L8" s="414">
        <v>0.87919999999999998</v>
      </c>
      <c r="M8" s="443">
        <f t="shared" si="3"/>
        <v>0.21574124779567816</v>
      </c>
      <c r="N8" s="635">
        <v>1833426.86</v>
      </c>
      <c r="O8" s="414">
        <v>0.2102</v>
      </c>
      <c r="P8" s="443">
        <f t="shared" ref="P8:P17" si="4">+I8/N8-1</f>
        <v>-0.2245579570051679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 t="shared" ref="D10:E10" si="5">SUM(D5:D9)</f>
        <v>36986589.660000004</v>
      </c>
      <c r="E10" s="84">
        <f t="shared" si="5"/>
        <v>31317456.109999999</v>
      </c>
      <c r="F10" s="90">
        <f t="shared" si="0"/>
        <v>0.84672462094738576</v>
      </c>
      <c r="G10" s="84">
        <f>SUM(G5:G9)</f>
        <v>29954138.669999998</v>
      </c>
      <c r="H10" s="90">
        <f t="shared" si="1"/>
        <v>0.80986484413280713</v>
      </c>
      <c r="I10" s="84">
        <f>SUM(I5:I9)</f>
        <v>6493659.3200000003</v>
      </c>
      <c r="J10" s="170">
        <f t="shared" si="2"/>
        <v>0.17556793907448887</v>
      </c>
      <c r="K10" s="568">
        <f>SUM(K5:K9)</f>
        <v>26875613.010000002</v>
      </c>
      <c r="L10" s="90">
        <v>0.81359999999999999</v>
      </c>
      <c r="M10" s="213">
        <f t="shared" si="3"/>
        <v>0.11454717921613633</v>
      </c>
      <c r="N10" s="568">
        <f>SUM(N5:N9)</f>
        <v>7329519.1400000006</v>
      </c>
      <c r="O10" s="90">
        <v>0.22189999999999999</v>
      </c>
      <c r="P10" s="213">
        <f t="shared" si="4"/>
        <v>-0.11404019882264749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1015352.68</v>
      </c>
      <c r="E11" s="30">
        <v>18046.89</v>
      </c>
      <c r="F11" s="48">
        <f t="shared" si="0"/>
        <v>1.7774011292312736E-2</v>
      </c>
      <c r="G11" s="30">
        <v>18046.89</v>
      </c>
      <c r="H11" s="48">
        <f t="shared" si="1"/>
        <v>1.7774011292312736E-2</v>
      </c>
      <c r="I11" s="30">
        <v>0</v>
      </c>
      <c r="J11" s="153">
        <f t="shared" si="2"/>
        <v>0</v>
      </c>
      <c r="K11" s="565"/>
      <c r="L11" s="48"/>
      <c r="M11" s="224" t="s">
        <v>129</v>
      </c>
      <c r="N11" s="565"/>
      <c r="O11" s="48"/>
      <c r="P11" s="224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6">SUM(D11:D12)</f>
        <v>1015352.68</v>
      </c>
      <c r="E13" s="84">
        <f t="shared" si="6"/>
        <v>18046.89</v>
      </c>
      <c r="F13" s="90">
        <f t="shared" si="0"/>
        <v>1.7774011292312736E-2</v>
      </c>
      <c r="G13" s="84">
        <f t="shared" si="6"/>
        <v>18046.89</v>
      </c>
      <c r="H13" s="90">
        <f t="shared" si="1"/>
        <v>1.7774011292312736E-2</v>
      </c>
      <c r="I13" s="84">
        <f t="shared" si="6"/>
        <v>0</v>
      </c>
      <c r="J13" s="170">
        <f t="shared" si="2"/>
        <v>0</v>
      </c>
      <c r="K13" s="568">
        <f>SUM(K11:K12)</f>
        <v>0</v>
      </c>
      <c r="L13" s="90"/>
      <c r="M13" s="213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38001942.340000004</v>
      </c>
      <c r="E17" s="155">
        <f t="shared" si="8"/>
        <v>31335503</v>
      </c>
      <c r="F17" s="181">
        <f t="shared" si="0"/>
        <v>0.8245763524307268</v>
      </c>
      <c r="G17" s="155">
        <f t="shared" si="8"/>
        <v>29972185.559999999</v>
      </c>
      <c r="H17" s="181">
        <f t="shared" si="1"/>
        <v>0.7887014114131724</v>
      </c>
      <c r="I17" s="155">
        <f t="shared" si="8"/>
        <v>6493659.3200000003</v>
      </c>
      <c r="J17" s="173">
        <f t="shared" si="2"/>
        <v>0.17087703733408696</v>
      </c>
      <c r="K17" s="576">
        <f>K10+K13+K16</f>
        <v>26875613.010000002</v>
      </c>
      <c r="L17" s="181">
        <v>0.78710000000000002</v>
      </c>
      <c r="M17" s="607">
        <f t="shared" si="3"/>
        <v>0.11521867608555802</v>
      </c>
      <c r="N17" s="576">
        <f>N10+N13+N16</f>
        <v>7329519.1400000006</v>
      </c>
      <c r="O17" s="181">
        <v>0.2147</v>
      </c>
      <c r="P17" s="607">
        <f t="shared" si="4"/>
        <v>-0.11404019882264749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opLeftCell="A16" zoomScaleNormal="100" workbookViewId="0">
      <selection activeCell="B24" sqref="B24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5">
      <c r="F10"/>
      <c r="H10"/>
      <c r="J10"/>
      <c r="M10" s="456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3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I20" sqref="I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3427940.35</v>
      </c>
      <c r="E5" s="30">
        <v>1137120.8400000001</v>
      </c>
      <c r="F5" s="48">
        <f>E5/D5</f>
        <v>0.33172130314344589</v>
      </c>
      <c r="G5" s="30">
        <v>1137120.8400000001</v>
      </c>
      <c r="H5" s="48">
        <f>G5/D5</f>
        <v>0.33172130314344589</v>
      </c>
      <c r="I5" s="30">
        <v>1137120.8400000001</v>
      </c>
      <c r="J5" s="153">
        <f>I5/D5</f>
        <v>0.33172130314344589</v>
      </c>
      <c r="K5" s="578">
        <v>1472818.04</v>
      </c>
      <c r="L5" s="48">
        <v>0.4335</v>
      </c>
      <c r="M5" s="210">
        <f>+G5/K5-1</f>
        <v>-0.2279284954983305</v>
      </c>
      <c r="N5" s="578">
        <v>1472818.04</v>
      </c>
      <c r="O5" s="48">
        <v>0.4335</v>
      </c>
      <c r="P5" s="210">
        <f>+I5/N5-1</f>
        <v>-0.2279284954983305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8675929.75</v>
      </c>
      <c r="E6" s="30">
        <v>8084709.9400000004</v>
      </c>
      <c r="F6" s="48">
        <f t="shared" ref="F6:F17" si="0">E6/D6</f>
        <v>0.93185516399553614</v>
      </c>
      <c r="G6" s="30">
        <v>7580535.3700000001</v>
      </c>
      <c r="H6" s="280">
        <f t="shared" ref="H6:H17" si="1">G6/D6</f>
        <v>0.87374328613022711</v>
      </c>
      <c r="I6" s="30">
        <v>1393934.17</v>
      </c>
      <c r="J6" s="178">
        <f t="shared" ref="J6:J17" si="2">I6/D6</f>
        <v>0.16066683458334824</v>
      </c>
      <c r="K6" s="579">
        <v>6877275.6399999997</v>
      </c>
      <c r="L6" s="412">
        <v>0.83740000000000003</v>
      </c>
      <c r="M6" s="210">
        <f t="shared" ref="M6:M17" si="3">+G6/K6-1</f>
        <v>0.10225847658477738</v>
      </c>
      <c r="N6" s="579">
        <v>1512696.55</v>
      </c>
      <c r="O6" s="412">
        <v>0.1842</v>
      </c>
      <c r="P6" s="210">
        <f>+I6/N6-1</f>
        <v>-7.8510379361941496E-2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4060522.45</v>
      </c>
      <c r="D8" s="204">
        <v>3939163.9</v>
      </c>
      <c r="E8" s="30">
        <v>3809053.83</v>
      </c>
      <c r="F8" s="48">
        <f t="shared" si="0"/>
        <v>0.96697013038731394</v>
      </c>
      <c r="G8" s="30">
        <v>3623447.45</v>
      </c>
      <c r="H8" s="48">
        <f t="shared" si="1"/>
        <v>0.91985191324483861</v>
      </c>
      <c r="I8" s="30">
        <v>1174200.76</v>
      </c>
      <c r="J8" s="178">
        <f t="shared" si="2"/>
        <v>0.29808375325535452</v>
      </c>
      <c r="K8" s="635">
        <v>3300420.7</v>
      </c>
      <c r="L8" s="414">
        <v>0.89149999999999996</v>
      </c>
      <c r="M8" s="443">
        <f t="shared" si="3"/>
        <v>9.7874416434244216E-2</v>
      </c>
      <c r="N8" s="635">
        <v>768918.02</v>
      </c>
      <c r="O8" s="414">
        <v>0.2077</v>
      </c>
      <c r="P8" s="443">
        <f t="shared" ref="P8:P17" si="4">+I8/N8-1</f>
        <v>0.52708185978005817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16043034</v>
      </c>
      <c r="E10" s="84">
        <f t="shared" si="5"/>
        <v>13030884.610000001</v>
      </c>
      <c r="F10" s="90">
        <f t="shared" si="0"/>
        <v>0.81224565191347231</v>
      </c>
      <c r="G10" s="84">
        <f>SUM(G5:G9)</f>
        <v>12341103.66</v>
      </c>
      <c r="H10" s="90">
        <f t="shared" si="1"/>
        <v>0.7692499847597406</v>
      </c>
      <c r="I10" s="84">
        <f>SUM(I5:I9)</f>
        <v>3705255.7699999996</v>
      </c>
      <c r="J10" s="170">
        <f t="shared" si="2"/>
        <v>0.23095729710477456</v>
      </c>
      <c r="K10" s="568">
        <f>SUM(K5:K9)</f>
        <v>11650514.379999999</v>
      </c>
      <c r="L10" s="90">
        <v>0.76080000000000003</v>
      </c>
      <c r="M10" s="213">
        <f t="shared" si="3"/>
        <v>5.9275432609697365E-2</v>
      </c>
      <c r="N10" s="568">
        <f>SUM(N5:N9)</f>
        <v>3754432.61</v>
      </c>
      <c r="O10" s="90">
        <v>0.2452</v>
      </c>
      <c r="P10" s="213">
        <f t="shared" si="4"/>
        <v>-1.3098341376275302E-2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791653.89</v>
      </c>
      <c r="E11" s="30">
        <v>52078.52</v>
      </c>
      <c r="F11" s="48">
        <f t="shared" si="0"/>
        <v>6.5784455376073497E-2</v>
      </c>
      <c r="G11" s="30">
        <v>37078.519999999997</v>
      </c>
      <c r="H11" s="48">
        <f t="shared" si="1"/>
        <v>4.6836781159503932E-2</v>
      </c>
      <c r="I11" s="30">
        <v>3441.24</v>
      </c>
      <c r="J11" s="153">
        <f t="shared" si="2"/>
        <v>4.346899628068523E-3</v>
      </c>
      <c r="K11" s="565">
        <v>234302.49</v>
      </c>
      <c r="L11" s="48">
        <v>0.22989999999999999</v>
      </c>
      <c r="M11" s="224">
        <f t="shared" si="3"/>
        <v>-0.84174935571534049</v>
      </c>
      <c r="N11" s="565">
        <v>49655.65</v>
      </c>
      <c r="O11" s="48">
        <v>4.87E-2</v>
      </c>
      <c r="P11" s="224">
        <f t="shared" si="4"/>
        <v>-0.93069791655128875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6">SUM(D11:D12)</f>
        <v>791653.89</v>
      </c>
      <c r="E13" s="84">
        <f t="shared" si="6"/>
        <v>52078.52</v>
      </c>
      <c r="F13" s="90">
        <f t="shared" si="0"/>
        <v>6.5784455376073497E-2</v>
      </c>
      <c r="G13" s="84">
        <f t="shared" si="6"/>
        <v>37078.519999999997</v>
      </c>
      <c r="H13" s="90">
        <v>0.7692499847597406</v>
      </c>
      <c r="I13" s="84">
        <f t="shared" si="6"/>
        <v>3441.24</v>
      </c>
      <c r="J13" s="170">
        <v>0.23095729710477456</v>
      </c>
      <c r="K13" s="568">
        <f>SUM(K11:K12)</f>
        <v>234302.49</v>
      </c>
      <c r="L13" s="90">
        <v>0.22989999999999999</v>
      </c>
      <c r="M13" s="213">
        <f t="shared" si="3"/>
        <v>-0.84174935571534049</v>
      </c>
      <c r="N13" s="568">
        <f>SUM(N11:N12)</f>
        <v>49655.65</v>
      </c>
      <c r="O13" s="90">
        <v>4.87E-2</v>
      </c>
      <c r="P13" s="213">
        <f t="shared" si="4"/>
        <v>-0.93069791655128875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16834687.890000001</v>
      </c>
      <c r="E17" s="155">
        <f t="shared" si="8"/>
        <v>13082963.130000001</v>
      </c>
      <c r="F17" s="181">
        <f t="shared" si="0"/>
        <v>0.77714319478244875</v>
      </c>
      <c r="G17" s="155">
        <f t="shared" si="8"/>
        <v>12378182.18</v>
      </c>
      <c r="H17" s="181">
        <f t="shared" si="1"/>
        <v>0.73527838834201276</v>
      </c>
      <c r="I17" s="155">
        <f t="shared" si="8"/>
        <v>3708697.01</v>
      </c>
      <c r="J17" s="173">
        <f t="shared" si="2"/>
        <v>0.22030090692700094</v>
      </c>
      <c r="K17" s="576">
        <f>K10+K13+K16</f>
        <v>11884816.869999999</v>
      </c>
      <c r="L17" s="181">
        <v>0.72770000000000001</v>
      </c>
      <c r="M17" s="607">
        <f t="shared" si="3"/>
        <v>4.1512234929371727E-2</v>
      </c>
      <c r="N17" s="576">
        <f>N10+N13+N16</f>
        <v>3804088.26</v>
      </c>
      <c r="O17" s="181">
        <v>0.2329</v>
      </c>
      <c r="P17" s="607">
        <f t="shared" si="4"/>
        <v>-2.5075982332754765E-2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3" workbookViewId="0">
      <selection activeCell="E27" sqref="E2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4117127.04</v>
      </c>
      <c r="E5" s="30">
        <v>1364508.73</v>
      </c>
      <c r="F5" s="48">
        <f>E5/D5</f>
        <v>0.33142254701958385</v>
      </c>
      <c r="G5" s="30">
        <v>1364508.73</v>
      </c>
      <c r="H5" s="48">
        <f>G5/D5</f>
        <v>0.33142254701958385</v>
      </c>
      <c r="I5" s="30">
        <v>1364508.73</v>
      </c>
      <c r="J5" s="153">
        <f>I5/D5</f>
        <v>0.33142254701958385</v>
      </c>
      <c r="K5" s="578">
        <v>1838928.01</v>
      </c>
      <c r="L5" s="48">
        <v>0.44109999999999999</v>
      </c>
      <c r="M5" s="210">
        <f>+G5/K5-1</f>
        <v>-0.25798686920865377</v>
      </c>
      <c r="N5" s="578">
        <v>1838928.01</v>
      </c>
      <c r="O5" s="48">
        <v>0.44109999999999999</v>
      </c>
      <c r="P5" s="210">
        <f>+I5/N5-1</f>
        <v>-0.25798686920865377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11736505.07</v>
      </c>
      <c r="E6" s="30">
        <v>10873668.15</v>
      </c>
      <c r="F6" s="48">
        <f t="shared" ref="F6:F17" si="0">E6/D6</f>
        <v>0.92648263560116195</v>
      </c>
      <c r="G6" s="30">
        <v>10607965.560000001</v>
      </c>
      <c r="H6" s="280">
        <f t="shared" ref="H6:H17" si="1">G6/D6</f>
        <v>0.90384364823522378</v>
      </c>
      <c r="I6" s="30">
        <v>1671635.81</v>
      </c>
      <c r="J6" s="178">
        <f t="shared" ref="J6:J17" si="2">I6/D6</f>
        <v>0.1424304594962357</v>
      </c>
      <c r="K6" s="579">
        <v>9916874.1199999992</v>
      </c>
      <c r="L6" s="412">
        <v>0.8518</v>
      </c>
      <c r="M6" s="210">
        <f t="shared" ref="M6:M17" si="3">+G6/K6-1</f>
        <v>6.9688435250603087E-2</v>
      </c>
      <c r="N6" s="579">
        <v>1801452.9</v>
      </c>
      <c r="O6" s="412">
        <v>0.1547</v>
      </c>
      <c r="P6" s="210">
        <f>+I6/N6-1</f>
        <v>-7.206243915674948E-2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5903469.7199999997</v>
      </c>
      <c r="D8" s="204">
        <v>5912111.1699999999</v>
      </c>
      <c r="E8" s="30">
        <v>5186111.8899999997</v>
      </c>
      <c r="F8" s="48">
        <f t="shared" si="0"/>
        <v>0.87720134836368435</v>
      </c>
      <c r="G8" s="30">
        <v>5044363.8899999997</v>
      </c>
      <c r="H8" s="48">
        <f t="shared" si="1"/>
        <v>0.85322547985849184</v>
      </c>
      <c r="I8" s="30">
        <v>2870356.74</v>
      </c>
      <c r="J8" s="178">
        <f t="shared" si="2"/>
        <v>0.48550452747998651</v>
      </c>
      <c r="K8" s="635">
        <v>3302067.06</v>
      </c>
      <c r="L8" s="414">
        <v>0.58320000000000005</v>
      </c>
      <c r="M8" s="443">
        <f t="shared" si="3"/>
        <v>0.52763823336767723</v>
      </c>
      <c r="N8" s="635">
        <v>2536454.92</v>
      </c>
      <c r="O8" s="414">
        <v>0.44800000000000001</v>
      </c>
      <c r="P8" s="443">
        <f t="shared" ref="P8:P17" si="4">+I8/N8-1</f>
        <v>0.1316411410930971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 t="shared" ref="D10:E10" si="5">SUM(D5:D9)</f>
        <v>21765743.280000001</v>
      </c>
      <c r="E10" s="84">
        <f t="shared" si="5"/>
        <v>17424288.77</v>
      </c>
      <c r="F10" s="90">
        <f t="shared" si="0"/>
        <v>0.80053727299130395</v>
      </c>
      <c r="G10" s="84">
        <f>SUM(G5:G9)</f>
        <v>17016838.18</v>
      </c>
      <c r="H10" s="90">
        <f t="shared" si="1"/>
        <v>0.78181746247261619</v>
      </c>
      <c r="I10" s="84">
        <f>SUM(I5:I9)</f>
        <v>5906501.2800000003</v>
      </c>
      <c r="J10" s="170">
        <f t="shared" si="2"/>
        <v>0.27136685405213506</v>
      </c>
      <c r="K10" s="568">
        <f>SUM(K5:K9)</f>
        <v>15057869.189999999</v>
      </c>
      <c r="L10" s="90">
        <v>0.70120000000000005</v>
      </c>
      <c r="M10" s="213">
        <f t="shared" si="3"/>
        <v>0.13009602921115571</v>
      </c>
      <c r="N10" s="568">
        <f>SUM(N5:N9)</f>
        <v>6176835.8300000001</v>
      </c>
      <c r="O10" s="90">
        <v>0.28760000000000002</v>
      </c>
      <c r="P10" s="213">
        <f t="shared" si="4"/>
        <v>-4.3765862885172369E-2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1147120.8400000001</v>
      </c>
      <c r="E11" s="30">
        <v>556933.35</v>
      </c>
      <c r="F11" s="48">
        <f t="shared" si="0"/>
        <v>0.48550538930144443</v>
      </c>
      <c r="G11" s="30">
        <v>157410.23999999999</v>
      </c>
      <c r="H11" s="48">
        <f t="shared" si="1"/>
        <v>0.13722202100347158</v>
      </c>
      <c r="I11" s="30">
        <v>28210.41</v>
      </c>
      <c r="J11" s="153">
        <f t="shared" si="2"/>
        <v>2.4592361167459914E-2</v>
      </c>
      <c r="K11" s="565">
        <v>57701.96</v>
      </c>
      <c r="L11" s="48">
        <v>9.9500000000000005E-2</v>
      </c>
      <c r="M11" s="224">
        <f t="shared" si="3"/>
        <v>1.7279877494629297</v>
      </c>
      <c r="N11" s="565">
        <v>51965.74</v>
      </c>
      <c r="O11" s="48">
        <v>8.9599999999999999E-2</v>
      </c>
      <c r="P11" s="224">
        <f t="shared" si="4"/>
        <v>-0.45713445050527524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6">SUM(D11:D12)</f>
        <v>1147120.8400000001</v>
      </c>
      <c r="E13" s="84">
        <f t="shared" si="6"/>
        <v>556933.35</v>
      </c>
      <c r="F13" s="90">
        <f t="shared" si="0"/>
        <v>0.48550538930144443</v>
      </c>
      <c r="G13" s="84">
        <f t="shared" si="6"/>
        <v>157410.23999999999</v>
      </c>
      <c r="H13" s="90">
        <f t="shared" si="1"/>
        <v>0.13722202100347158</v>
      </c>
      <c r="I13" s="84">
        <f t="shared" si="6"/>
        <v>28210.41</v>
      </c>
      <c r="J13" s="170">
        <f t="shared" si="2"/>
        <v>2.4592361167459914E-2</v>
      </c>
      <c r="K13" s="568">
        <f>SUM(K11:K12)</f>
        <v>57701.96</v>
      </c>
      <c r="L13" s="90">
        <v>9.9500000000000005E-2</v>
      </c>
      <c r="M13" s="213">
        <f t="shared" si="3"/>
        <v>1.7279877494629297</v>
      </c>
      <c r="N13" s="568">
        <f>SUM(N11:N12)</f>
        <v>51965.74</v>
      </c>
      <c r="O13" s="90">
        <v>8.9599999999999999E-2</v>
      </c>
      <c r="P13" s="213">
        <f t="shared" si="4"/>
        <v>-0.45713445050527524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8">+D10+D13+D16</f>
        <v>22912864.120000001</v>
      </c>
      <c r="E17" s="155">
        <f t="shared" si="8"/>
        <v>17981222.120000001</v>
      </c>
      <c r="F17" s="181">
        <f t="shared" si="0"/>
        <v>0.78476536262896501</v>
      </c>
      <c r="G17" s="155">
        <f t="shared" si="8"/>
        <v>17174248.419999998</v>
      </c>
      <c r="H17" s="181">
        <f t="shared" si="1"/>
        <v>0.74954612090633732</v>
      </c>
      <c r="I17" s="155">
        <f t="shared" si="8"/>
        <v>5934711.6900000004</v>
      </c>
      <c r="J17" s="173">
        <f t="shared" si="2"/>
        <v>0.25901221509971578</v>
      </c>
      <c r="K17" s="576">
        <f>K10+K13+K16</f>
        <v>15115571.15</v>
      </c>
      <c r="L17" s="181">
        <v>0.68540000000000001</v>
      </c>
      <c r="M17" s="607">
        <f t="shared" si="3"/>
        <v>0.13619579766921319</v>
      </c>
      <c r="N17" s="576">
        <f>N10+N13+N16</f>
        <v>6228801.5700000003</v>
      </c>
      <c r="O17" s="181">
        <v>0.28239999999999998</v>
      </c>
      <c r="P17" s="607">
        <f t="shared" si="4"/>
        <v>-4.721452059356579E-2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12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760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I19" sqref="I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4138812.57</v>
      </c>
      <c r="E5" s="30">
        <v>1340445.99</v>
      </c>
      <c r="F5" s="48">
        <f>E5/D5</f>
        <v>0.32387211726285059</v>
      </c>
      <c r="G5" s="30">
        <v>1340445.99</v>
      </c>
      <c r="H5" s="48">
        <f>G5/D5</f>
        <v>0.32387211726285059</v>
      </c>
      <c r="I5" s="30">
        <v>1340445.99</v>
      </c>
      <c r="J5" s="153">
        <f>I5/D5</f>
        <v>0.32387211726285059</v>
      </c>
      <c r="K5" s="578">
        <v>1788669.52</v>
      </c>
      <c r="L5" s="48">
        <v>0.43980000000000002</v>
      </c>
      <c r="M5" s="210">
        <f>+G5/K5-1</f>
        <v>-0.25059046681804031</v>
      </c>
      <c r="N5" s="578">
        <v>1788669.52</v>
      </c>
      <c r="O5" s="48">
        <v>0.43980000000000002</v>
      </c>
      <c r="P5" s="210">
        <f>+I5/N5-1</f>
        <v>-0.25059046681804031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12241727.67</v>
      </c>
      <c r="E6" s="30">
        <v>11002386.9</v>
      </c>
      <c r="F6" s="48">
        <f t="shared" ref="F6:F17" si="0">E6/D6</f>
        <v>0.89876095895866315</v>
      </c>
      <c r="G6" s="30">
        <v>10585302.66</v>
      </c>
      <c r="H6" s="280">
        <f t="shared" ref="H6:H17" si="1">G6/D6</f>
        <v>0.86469025821744983</v>
      </c>
      <c r="I6" s="30">
        <v>1906636.26</v>
      </c>
      <c r="J6" s="178">
        <f t="shared" ref="J6:J17" si="2">I6/D6</f>
        <v>0.15574895238622802</v>
      </c>
      <c r="K6" s="579">
        <v>10218345.140000001</v>
      </c>
      <c r="L6" s="412">
        <v>0.89370000000000005</v>
      </c>
      <c r="M6" s="210">
        <f t="shared" ref="M6:M17" si="3">+G6/K6-1</f>
        <v>3.5911638819434044E-2</v>
      </c>
      <c r="N6" s="579">
        <v>1801704.17</v>
      </c>
      <c r="O6" s="412">
        <v>0.15759999999999999</v>
      </c>
      <c r="P6" s="210">
        <f>+I6/N6-1</f>
        <v>5.8240465747492864E-2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8849400</v>
      </c>
      <c r="D8" s="204">
        <v>8862426.2599999998</v>
      </c>
      <c r="E8" s="30">
        <v>8630179.8000000007</v>
      </c>
      <c r="F8" s="48">
        <f t="shared" si="0"/>
        <v>0.97379425755583116</v>
      </c>
      <c r="G8" s="30">
        <v>8308584.7999999998</v>
      </c>
      <c r="H8" s="48">
        <f t="shared" si="1"/>
        <v>0.93750679060657138</v>
      </c>
      <c r="I8" s="30">
        <v>2628792.48</v>
      </c>
      <c r="J8" s="178">
        <f t="shared" si="2"/>
        <v>0.29662221189527843</v>
      </c>
      <c r="K8" s="635">
        <v>5670742.3799999999</v>
      </c>
      <c r="L8" s="414">
        <v>0.92549999999999999</v>
      </c>
      <c r="M8" s="443">
        <f t="shared" si="3"/>
        <v>0.46516703514928492</v>
      </c>
      <c r="N8" s="635">
        <v>2553153.7200000002</v>
      </c>
      <c r="O8" s="414">
        <v>0.41670000000000001</v>
      </c>
      <c r="P8" s="443">
        <f t="shared" ref="P8:P17" si="4">+I8/N8-1</f>
        <v>2.9625619251785418E-2</v>
      </c>
    </row>
    <row r="9" spans="1:16" ht="15" customHeight="1" x14ac:dyDescent="0.25">
      <c r="A9" s="55">
        <v>5</v>
      </c>
      <c r="B9" s="55" t="s">
        <v>453</v>
      </c>
      <c r="C9" s="176">
        <v>150000</v>
      </c>
      <c r="D9" s="516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25242966.5</v>
      </c>
      <c r="E10" s="84">
        <f t="shared" si="5"/>
        <v>20973012.690000001</v>
      </c>
      <c r="F10" s="90">
        <f t="shared" si="0"/>
        <v>0.8308457997597074</v>
      </c>
      <c r="G10" s="84">
        <f>SUM(G5:G9)</f>
        <v>20234333.449999999</v>
      </c>
      <c r="H10" s="90">
        <f t="shared" si="1"/>
        <v>0.80158302511711532</v>
      </c>
      <c r="I10" s="84">
        <f>SUM(I5:I9)</f>
        <v>5875874.7300000004</v>
      </c>
      <c r="J10" s="170">
        <f t="shared" si="2"/>
        <v>0.23277274998562472</v>
      </c>
      <c r="K10" s="568">
        <f>SUM(K5:K9)</f>
        <v>17677757.039999999</v>
      </c>
      <c r="L10" s="90">
        <v>0.81730000000000003</v>
      </c>
      <c r="M10" s="213">
        <f t="shared" si="3"/>
        <v>0.14462108536819218</v>
      </c>
      <c r="N10" s="568">
        <f>SUM(N5:N9)</f>
        <v>6143527.4100000001</v>
      </c>
      <c r="O10" s="90">
        <v>0.28410000000000002</v>
      </c>
      <c r="P10" s="213">
        <f t="shared" si="4"/>
        <v>-4.3566612816658634E-2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533716.47</v>
      </c>
      <c r="E11" s="30">
        <v>237685.13</v>
      </c>
      <c r="F11" s="48">
        <f t="shared" si="0"/>
        <v>0.44533969506318594</v>
      </c>
      <c r="G11" s="30">
        <v>105911.23</v>
      </c>
      <c r="H11" s="48">
        <f t="shared" si="1"/>
        <v>0.19844099995640008</v>
      </c>
      <c r="I11" s="30">
        <v>1323.39</v>
      </c>
      <c r="J11" s="153">
        <f t="shared" si="2"/>
        <v>2.4795749698337025E-3</v>
      </c>
      <c r="K11" s="565"/>
      <c r="L11" s="48"/>
      <c r="M11" s="224" t="s">
        <v>129</v>
      </c>
      <c r="N11" s="565"/>
      <c r="O11" s="48"/>
      <c r="P11" s="224" t="s">
        <v>129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6">SUM(D11:D12)</f>
        <v>533716.47</v>
      </c>
      <c r="E13" s="84">
        <f t="shared" si="6"/>
        <v>237685.13</v>
      </c>
      <c r="F13" s="90">
        <f t="shared" si="0"/>
        <v>0.44533969506318594</v>
      </c>
      <c r="G13" s="84">
        <f t="shared" si="6"/>
        <v>105911.23</v>
      </c>
      <c r="H13" s="90">
        <f t="shared" si="1"/>
        <v>0.19844099995640008</v>
      </c>
      <c r="I13" s="84">
        <f t="shared" si="6"/>
        <v>1323.39</v>
      </c>
      <c r="J13" s="170">
        <f t="shared" si="2"/>
        <v>2.4795749698337025E-3</v>
      </c>
      <c r="K13" s="568">
        <f>SUM(K11:K12)</f>
        <v>0</v>
      </c>
      <c r="L13" s="90"/>
      <c r="M13" s="213" t="s">
        <v>129</v>
      </c>
      <c r="N13" s="568">
        <f>SUM(N11:N12)</f>
        <v>0</v>
      </c>
      <c r="O13" s="90"/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8">+D10+D13+D16</f>
        <v>25776682.969999999</v>
      </c>
      <c r="E17" s="155">
        <f t="shared" si="8"/>
        <v>21210697.82</v>
      </c>
      <c r="F17" s="181">
        <f t="shared" si="0"/>
        <v>0.82286374258029682</v>
      </c>
      <c r="G17" s="155">
        <f t="shared" si="8"/>
        <v>20340244.68</v>
      </c>
      <c r="H17" s="181">
        <f t="shared" si="1"/>
        <v>0.78909472966994409</v>
      </c>
      <c r="I17" s="155">
        <f t="shared" si="8"/>
        <v>5877198.1200000001</v>
      </c>
      <c r="J17" s="173">
        <f t="shared" si="2"/>
        <v>0.22800443822970293</v>
      </c>
      <c r="K17" s="576">
        <f>K10+K13+K16</f>
        <v>17677757.039999999</v>
      </c>
      <c r="L17" s="181">
        <v>0.75829999999999997</v>
      </c>
      <c r="M17" s="607">
        <f t="shared" si="3"/>
        <v>0.15061229962463618</v>
      </c>
      <c r="N17" s="576">
        <f>N10+N13+N16</f>
        <v>6143527.4100000001</v>
      </c>
      <c r="O17" s="181">
        <v>0.26350000000000001</v>
      </c>
      <c r="P17" s="607">
        <f t="shared" si="4"/>
        <v>-4.3351200739576434E-2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2" workbookViewId="0">
      <selection activeCell="E1" sqref="E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754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1414261.43</v>
      </c>
      <c r="F5" s="48">
        <f>E5/D5</f>
        <v>0.3315621365022301</v>
      </c>
      <c r="G5" s="30">
        <v>1414261.43</v>
      </c>
      <c r="H5" s="48">
        <f>G5/D5</f>
        <v>0.3315621365022301</v>
      </c>
      <c r="I5" s="30">
        <v>1414261.43</v>
      </c>
      <c r="J5" s="153">
        <f>I5/D5</f>
        <v>0.3315621365022301</v>
      </c>
      <c r="K5" s="578">
        <v>1732162.94</v>
      </c>
      <c r="L5" s="48">
        <v>0.44719999999999999</v>
      </c>
      <c r="M5" s="210">
        <f>+G5/K5-1</f>
        <v>-0.18352864078710751</v>
      </c>
      <c r="N5" s="578">
        <v>1732162.94</v>
      </c>
      <c r="O5" s="48">
        <v>0.44719999999999999</v>
      </c>
      <c r="P5" s="210">
        <f>+I5/N5-1</f>
        <v>-0.18352864078710751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13990300.99</v>
      </c>
      <c r="E6" s="30">
        <v>13051074.939999999</v>
      </c>
      <c r="F6" s="48">
        <f t="shared" ref="F6:F17" si="0">E6/D6</f>
        <v>0.93286591541730646</v>
      </c>
      <c r="G6" s="30">
        <v>12181904.93</v>
      </c>
      <c r="H6" s="280">
        <f t="shared" ref="H6:H17" si="1">G6/D6</f>
        <v>0.87073930280037526</v>
      </c>
      <c r="I6" s="30">
        <v>2463262.21</v>
      </c>
      <c r="J6" s="178">
        <f t="shared" ref="J6:J17" si="2">I6/D6</f>
        <v>0.17606927912134934</v>
      </c>
      <c r="K6" s="579">
        <v>11443686.26</v>
      </c>
      <c r="L6" s="412">
        <v>0.89890000000000003</v>
      </c>
      <c r="M6" s="210">
        <f t="shared" ref="M6:M17" si="3">+G6/K6-1</f>
        <v>6.4508817633383897E-2</v>
      </c>
      <c r="N6" s="579">
        <v>2124268.3199999998</v>
      </c>
      <c r="O6" s="412">
        <v>0.16689999999999999</v>
      </c>
      <c r="P6" s="210">
        <f>+I6/N6-1</f>
        <v>0.15958148356701018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13307434.48</v>
      </c>
      <c r="D8" s="204">
        <v>13138971.41</v>
      </c>
      <c r="E8" s="30">
        <v>12786102.300000001</v>
      </c>
      <c r="F8" s="48">
        <f t="shared" si="0"/>
        <v>0.97314332309670504</v>
      </c>
      <c r="G8" s="30">
        <v>12406102.300000001</v>
      </c>
      <c r="H8" s="48">
        <f t="shared" si="1"/>
        <v>0.94422172884536326</v>
      </c>
      <c r="I8" s="30">
        <v>3346751.25</v>
      </c>
      <c r="J8" s="178">
        <f t="shared" si="2"/>
        <v>0.25471942555966032</v>
      </c>
      <c r="K8" s="635">
        <v>8414190</v>
      </c>
      <c r="L8" s="414">
        <v>0.94069999999999998</v>
      </c>
      <c r="M8" s="443">
        <f t="shared" si="3"/>
        <v>0.47442621333723167</v>
      </c>
      <c r="N8" s="635">
        <v>3866180.64</v>
      </c>
      <c r="O8" s="414">
        <v>0.43230000000000002</v>
      </c>
      <c r="P8" s="443">
        <f t="shared" ref="P8:P17" si="4">+I8/N8-1</f>
        <v>-0.13435207466146748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 t="shared" ref="D10:E10" si="5">SUM(D5:D9)</f>
        <v>31394721.539999999</v>
      </c>
      <c r="E10" s="84">
        <f t="shared" si="5"/>
        <v>27251438.670000002</v>
      </c>
      <c r="F10" s="90">
        <f t="shared" si="0"/>
        <v>0.86802613093028891</v>
      </c>
      <c r="G10" s="84">
        <f>SUM(G5:G9)</f>
        <v>26002268.66</v>
      </c>
      <c r="H10" s="90">
        <f t="shared" si="1"/>
        <v>0.82823695782332463</v>
      </c>
      <c r="I10" s="84">
        <f>SUM(I5:I9)</f>
        <v>7224274.8899999997</v>
      </c>
      <c r="J10" s="170">
        <f t="shared" si="2"/>
        <v>0.23011113128668953</v>
      </c>
      <c r="K10" s="568">
        <f>SUM(K5:K9)</f>
        <v>21590039.199999999</v>
      </c>
      <c r="L10" s="90">
        <v>0.84509999999999996</v>
      </c>
      <c r="M10" s="213">
        <f t="shared" si="3"/>
        <v>0.2043641245449892</v>
      </c>
      <c r="N10" s="568">
        <f>SUM(N5:N9)</f>
        <v>7722611.9000000004</v>
      </c>
      <c r="O10" s="90">
        <v>0.30230000000000001</v>
      </c>
      <c r="P10" s="213">
        <f t="shared" si="4"/>
        <v>-6.4529593931814788E-2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944632.09</v>
      </c>
      <c r="E11" s="30">
        <v>479154.58</v>
      </c>
      <c r="F11" s="48">
        <f t="shared" si="0"/>
        <v>0.50723936342243048</v>
      </c>
      <c r="G11" s="30">
        <v>413708.29</v>
      </c>
      <c r="H11" s="48">
        <f t="shared" si="1"/>
        <v>0.43795705691090803</v>
      </c>
      <c r="I11" s="30">
        <v>16798.060000000001</v>
      </c>
      <c r="J11" s="153">
        <f t="shared" si="2"/>
        <v>1.7782648057192301E-2</v>
      </c>
      <c r="K11" s="565">
        <v>296611.46000000002</v>
      </c>
      <c r="L11" s="48">
        <v>0.43840000000000001</v>
      </c>
      <c r="M11" s="224">
        <f t="shared" si="3"/>
        <v>0.39478188064614894</v>
      </c>
      <c r="N11" s="565">
        <v>21355.24</v>
      </c>
      <c r="O11" s="48">
        <v>3.1600000000000003E-2</v>
      </c>
      <c r="P11" s="224">
        <f t="shared" si="4"/>
        <v>-0.21339867873177731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9"/>
      <c r="L12" s="390"/>
      <c r="M12" s="559" t="s">
        <v>129</v>
      </c>
      <c r="N12" s="569"/>
      <c r="O12" s="390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692346.58000000007</v>
      </c>
      <c r="F13" s="90">
        <f t="shared" si="0"/>
        <v>0.59797216691181487</v>
      </c>
      <c r="G13" s="84">
        <f t="shared" si="6"/>
        <v>626900.29</v>
      </c>
      <c r="H13" s="90">
        <f t="shared" si="1"/>
        <v>0.54144692221769208</v>
      </c>
      <c r="I13" s="84">
        <f t="shared" si="6"/>
        <v>16798.060000000001</v>
      </c>
      <c r="J13" s="170">
        <f t="shared" si="2"/>
        <v>1.4508300652131019E-2</v>
      </c>
      <c r="K13" s="568">
        <f>SUM(K11:K12)</f>
        <v>296611.46000000002</v>
      </c>
      <c r="L13" s="90">
        <v>0.43840000000000001</v>
      </c>
      <c r="M13" s="629">
        <f t="shared" si="3"/>
        <v>1.1135403534307136</v>
      </c>
      <c r="N13" s="568">
        <f>SUM(N11:N12)</f>
        <v>21355.24</v>
      </c>
      <c r="O13" s="90">
        <v>3.1600000000000003E-2</v>
      </c>
      <c r="P13" s="213">
        <f t="shared" si="4"/>
        <v>-0.21339867873177731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32552545.629999999</v>
      </c>
      <c r="E17" s="155">
        <f t="shared" si="8"/>
        <v>27943785.25</v>
      </c>
      <c r="F17" s="181">
        <f t="shared" si="0"/>
        <v>0.85842089179800962</v>
      </c>
      <c r="G17" s="155">
        <f t="shared" si="8"/>
        <v>26629168.949999999</v>
      </c>
      <c r="H17" s="181">
        <f t="shared" si="1"/>
        <v>0.81803645259186453</v>
      </c>
      <c r="I17" s="155">
        <f t="shared" si="8"/>
        <v>7241072.9499999993</v>
      </c>
      <c r="J17" s="173">
        <f t="shared" si="2"/>
        <v>0.22244260194897697</v>
      </c>
      <c r="K17" s="576">
        <f>K10+K13+K16</f>
        <v>21886650.66</v>
      </c>
      <c r="L17" s="181">
        <v>0.83460000000000001</v>
      </c>
      <c r="M17" s="607">
        <f t="shared" si="3"/>
        <v>0.216685429108046</v>
      </c>
      <c r="N17" s="576">
        <f>N10+N13+N16</f>
        <v>7743967.1400000006</v>
      </c>
      <c r="O17" s="181">
        <v>0.29530000000000001</v>
      </c>
      <c r="P17" s="607">
        <f t="shared" si="4"/>
        <v>-6.4940124474753502E-2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3" workbookViewId="0">
      <selection activeCell="E33" sqref="E3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755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3916460.54</v>
      </c>
      <c r="E5" s="30">
        <v>1348151.56</v>
      </c>
      <c r="F5" s="48">
        <f>E5/D5</f>
        <v>0.34422702494533497</v>
      </c>
      <c r="G5" s="30">
        <v>1348151.56</v>
      </c>
      <c r="H5" s="48">
        <f>G5/D5</f>
        <v>0.34422702494533497</v>
      </c>
      <c r="I5" s="30">
        <v>1348151.56</v>
      </c>
      <c r="J5" s="153">
        <f>I5/D5</f>
        <v>0.34422702494533497</v>
      </c>
      <c r="K5" s="578">
        <v>1674126.9</v>
      </c>
      <c r="L5" s="48">
        <v>0.4244</v>
      </c>
      <c r="M5" s="210">
        <f>+G5/K5-1</f>
        <v>-0.19471363849419054</v>
      </c>
      <c r="N5" s="578">
        <v>1674126.9</v>
      </c>
      <c r="O5" s="48">
        <v>0.4244</v>
      </c>
      <c r="P5" s="210">
        <f>+I5/N5-1</f>
        <v>-0.19471363849419054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16621452.800000001</v>
      </c>
      <c r="E6" s="30">
        <v>13867317.880000001</v>
      </c>
      <c r="F6" s="48">
        <f t="shared" ref="F6:F17" si="0">E6/D6</f>
        <v>0.83430239503492742</v>
      </c>
      <c r="G6" s="30">
        <v>13224989.76</v>
      </c>
      <c r="H6" s="280">
        <f t="shared" ref="H6:H17" si="1">G6/D6</f>
        <v>0.79565787173549585</v>
      </c>
      <c r="I6" s="30">
        <v>2676815.85</v>
      </c>
      <c r="J6" s="178">
        <f t="shared" ref="J6:J17" si="2">I6/D6</f>
        <v>0.16104584131177752</v>
      </c>
      <c r="K6" s="579">
        <v>12196725.449999999</v>
      </c>
      <c r="L6" s="412">
        <v>0.89359999999999995</v>
      </c>
      <c r="M6" s="210">
        <f t="shared" ref="M6:M17" si="3">+G6/K6-1</f>
        <v>8.4306588208066913E-2</v>
      </c>
      <c r="N6" s="579">
        <v>2042026.32</v>
      </c>
      <c r="O6" s="412">
        <v>0.14960000000000001</v>
      </c>
      <c r="P6" s="210">
        <f>+I6/N6-1</f>
        <v>0.3108625602827686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14580370.869999999</v>
      </c>
      <c r="D8" s="204">
        <v>14202913.02</v>
      </c>
      <c r="E8" s="30">
        <v>13708271.890000001</v>
      </c>
      <c r="F8" s="48">
        <f t="shared" si="0"/>
        <v>0.96517326204114151</v>
      </c>
      <c r="G8" s="30">
        <v>13104096.9</v>
      </c>
      <c r="H8" s="48">
        <f t="shared" si="1"/>
        <v>0.9226344540410345</v>
      </c>
      <c r="I8" s="30">
        <v>4413540.33</v>
      </c>
      <c r="J8" s="178">
        <f t="shared" si="2"/>
        <v>0.31074895155557325</v>
      </c>
      <c r="K8" s="635">
        <v>8536928.9299999997</v>
      </c>
      <c r="L8" s="414">
        <v>0.87029999999999996</v>
      </c>
      <c r="M8" s="443">
        <f t="shared" si="3"/>
        <v>0.53498957382089873</v>
      </c>
      <c r="N8" s="635">
        <v>2209688.87</v>
      </c>
      <c r="O8" s="414">
        <v>0.2253</v>
      </c>
      <c r="P8" s="443">
        <f t="shared" ref="P8:P17" si="4">+I8/N8-1</f>
        <v>0.99735826609833977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 t="shared" ref="D10:E10" si="5">SUM(D5:D9)</f>
        <v>34740826.359999999</v>
      </c>
      <c r="E10" s="84">
        <f t="shared" si="5"/>
        <v>28923741.330000002</v>
      </c>
      <c r="F10" s="90">
        <f t="shared" si="0"/>
        <v>0.83255766659892438</v>
      </c>
      <c r="G10" s="84">
        <f>SUM(G5:G9)</f>
        <v>27677238.219999999</v>
      </c>
      <c r="H10" s="90">
        <f t="shared" si="1"/>
        <v>0.79667760153993061</v>
      </c>
      <c r="I10" s="84">
        <f>SUM(I5:I9)</f>
        <v>8438507.7400000002</v>
      </c>
      <c r="J10" s="170">
        <f t="shared" si="2"/>
        <v>0.24289887789531556</v>
      </c>
      <c r="K10" s="568">
        <f>SUM(K5:K9)</f>
        <v>22407781.280000001</v>
      </c>
      <c r="L10" s="90">
        <v>0.81769999999999998</v>
      </c>
      <c r="M10" s="213">
        <f t="shared" si="3"/>
        <v>0.23516192317992846</v>
      </c>
      <c r="N10" s="568">
        <f>SUM(N5:N9)</f>
        <v>5925842.0899999999</v>
      </c>
      <c r="O10" s="90">
        <v>0.2162</v>
      </c>
      <c r="P10" s="213">
        <f t="shared" si="4"/>
        <v>0.42401832715728016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3865086.95</v>
      </c>
      <c r="E11" s="30">
        <v>1317262.48</v>
      </c>
      <c r="F11" s="48">
        <f t="shared" si="0"/>
        <v>0.34081056831075945</v>
      </c>
      <c r="G11" s="30">
        <v>619470.85</v>
      </c>
      <c r="H11" s="48">
        <f t="shared" si="1"/>
        <v>0.16027345775494131</v>
      </c>
      <c r="I11" s="30">
        <v>104941.64</v>
      </c>
      <c r="J11" s="153">
        <f t="shared" si="2"/>
        <v>2.7151171851386161E-2</v>
      </c>
      <c r="K11" s="565">
        <v>128112.46</v>
      </c>
      <c r="L11" s="48">
        <v>3.5099999999999999E-2</v>
      </c>
      <c r="M11" s="224">
        <f t="shared" si="3"/>
        <v>3.8353676917920394</v>
      </c>
      <c r="N11" s="565">
        <v>15743.25</v>
      </c>
      <c r="O11" s="48">
        <v>4.3E-3</v>
      </c>
      <c r="P11" s="224">
        <f t="shared" si="4"/>
        <v>5.6658180490051295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6">SUM(D11:D12)</f>
        <v>3865086.95</v>
      </c>
      <c r="E13" s="84">
        <f t="shared" si="6"/>
        <v>1317262.48</v>
      </c>
      <c r="F13" s="90">
        <f t="shared" si="0"/>
        <v>0.34081056831075945</v>
      </c>
      <c r="G13" s="84">
        <f t="shared" si="6"/>
        <v>619470.85</v>
      </c>
      <c r="H13" s="90">
        <f t="shared" si="1"/>
        <v>0.16027345775494131</v>
      </c>
      <c r="I13" s="84">
        <f t="shared" si="6"/>
        <v>104941.64</v>
      </c>
      <c r="J13" s="170">
        <f t="shared" si="2"/>
        <v>2.7151171851386161E-2</v>
      </c>
      <c r="K13" s="568">
        <f>SUM(K11:K12)</f>
        <v>128112.46</v>
      </c>
      <c r="L13" s="90">
        <v>3.5099999999999999E-2</v>
      </c>
      <c r="M13" s="629">
        <f t="shared" si="3"/>
        <v>3.8353676917920394</v>
      </c>
      <c r="N13" s="568">
        <f>SUM(N11:N12)</f>
        <v>15743.25</v>
      </c>
      <c r="O13" s="90">
        <v>4.3E-3</v>
      </c>
      <c r="P13" s="213">
        <f t="shared" si="4"/>
        <v>5.6658180490051295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38605913.310000002</v>
      </c>
      <c r="E17" s="155">
        <f t="shared" si="8"/>
        <v>30241003.810000002</v>
      </c>
      <c r="F17" s="181">
        <f t="shared" si="0"/>
        <v>0.78332569332498458</v>
      </c>
      <c r="G17" s="155">
        <f t="shared" si="8"/>
        <v>28296709.07</v>
      </c>
      <c r="H17" s="181">
        <f t="shared" si="1"/>
        <v>0.73296307855176079</v>
      </c>
      <c r="I17" s="155">
        <f t="shared" si="8"/>
        <v>8543449.3800000008</v>
      </c>
      <c r="J17" s="173">
        <f t="shared" si="2"/>
        <v>0.22129898369188458</v>
      </c>
      <c r="K17" s="576">
        <f>K10+K13+K16</f>
        <v>22535893.740000002</v>
      </c>
      <c r="L17" s="181">
        <v>0.72570000000000001</v>
      </c>
      <c r="M17" s="607">
        <f t="shared" si="3"/>
        <v>0.25562843863497897</v>
      </c>
      <c r="N17" s="576">
        <f>N10+N13+N16</f>
        <v>5941585.3399999999</v>
      </c>
      <c r="O17" s="181">
        <v>0.1913</v>
      </c>
      <c r="P17" s="607">
        <f t="shared" si="4"/>
        <v>0.43790737507104471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137"/>
  <sheetViews>
    <sheetView topLeftCell="C16" zoomScaleNormal="100" workbookViewId="0">
      <selection activeCell="K31" sqref="K3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767</v>
      </c>
      <c r="D2" s="743" t="s">
        <v>779</v>
      </c>
      <c r="E2" s="741"/>
      <c r="F2" s="741"/>
      <c r="G2" s="741"/>
      <c r="H2" s="742"/>
      <c r="I2" s="737" t="s">
        <v>781</v>
      </c>
      <c r="J2" s="738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402809.55</v>
      </c>
      <c r="F5" s="48">
        <f t="shared" ref="F5:F13" si="0">+E5/D5</f>
        <v>4.0264849060375845</v>
      </c>
      <c r="G5" s="136">
        <v>238473.78</v>
      </c>
      <c r="H5" s="153">
        <f>+G5/E5</f>
        <v>0.5920261324489452</v>
      </c>
      <c r="I5" s="30">
        <v>45329.88</v>
      </c>
      <c r="J5" s="52">
        <v>0.45320815836832629</v>
      </c>
      <c r="K5" s="145">
        <f>+E5/I5-1</f>
        <v>7.8861816973704766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40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v>0.5920261324489452</v>
      </c>
      <c r="I7" s="206">
        <v>42404.61</v>
      </c>
      <c r="J7" s="329" t="s">
        <v>129</v>
      </c>
      <c r="K7" s="145">
        <f>+E7/I7-1</f>
        <v>1.2605811019132118</v>
      </c>
      <c r="L7" s="60" t="s">
        <v>225</v>
      </c>
    </row>
    <row r="8" spans="1:13" ht="15" customHeight="1" thickBot="1" x14ac:dyDescent="0.3">
      <c r="A8" s="9"/>
      <c r="B8" s="518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498668.61</v>
      </c>
      <c r="F8" s="90">
        <f>+E8/D8</f>
        <v>0.12400333166476558</v>
      </c>
      <c r="G8" s="84">
        <f t="shared" si="1"/>
        <v>334332.83999999997</v>
      </c>
      <c r="H8" s="170">
        <f>+G8/E8</f>
        <v>0.67045094336296795</v>
      </c>
      <c r="I8" s="84">
        <f t="shared" ref="I8" si="2">SUM(I5:I7)</f>
        <v>87734.489999999991</v>
      </c>
      <c r="J8" s="43">
        <v>0.877</v>
      </c>
      <c r="K8" s="231">
        <f>+E8/I8-1</f>
        <v>4.6838377928680046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0</v>
      </c>
      <c r="J9" s="52" t="s">
        <v>129</v>
      </c>
      <c r="K9" s="145" t="s">
        <v>129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v>0</v>
      </c>
      <c r="F12" s="48">
        <f t="shared" si="0"/>
        <v>0</v>
      </c>
      <c r="G12" s="136">
        <v>0</v>
      </c>
      <c r="H12" s="348" t="s">
        <v>129</v>
      </c>
      <c r="I12" s="136">
        <v>0</v>
      </c>
      <c r="J12" s="52">
        <v>0</v>
      </c>
      <c r="K12" s="145" t="s">
        <v>129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1093220.83</v>
      </c>
      <c r="F13" s="48">
        <f t="shared" si="0"/>
        <v>0.27093572959408441</v>
      </c>
      <c r="G13" s="136">
        <v>1093220.83</v>
      </c>
      <c r="H13" s="348">
        <f>+G13/E13</f>
        <v>1</v>
      </c>
      <c r="I13" s="136">
        <v>13753426.6</v>
      </c>
      <c r="J13" s="52">
        <v>1.5619868685759879</v>
      </c>
      <c r="K13" s="145">
        <f>+E13/I13-1</f>
        <v>-0.92051283932398342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>E14/D14</f>
        <v>-8.2046191441722954E-2</v>
      </c>
      <c r="G14" s="136">
        <v>-97802.26</v>
      </c>
      <c r="H14" s="348" t="s">
        <v>129</v>
      </c>
      <c r="I14" s="136">
        <v>0</v>
      </c>
      <c r="J14" s="52">
        <v>0</v>
      </c>
      <c r="K14" s="145" t="s">
        <v>129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40">
        <v>10</v>
      </c>
      <c r="E15" s="137">
        <v>0</v>
      </c>
      <c r="F15" s="521" t="s">
        <v>129</v>
      </c>
      <c r="G15" s="137">
        <v>0</v>
      </c>
      <c r="H15" s="510" t="s">
        <v>129</v>
      </c>
      <c r="I15" s="540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42"/>
      <c r="B16" s="541" t="s">
        <v>6</v>
      </c>
      <c r="C16" s="519">
        <f>SUM(C9:C15)</f>
        <v>15057423.99</v>
      </c>
      <c r="D16" s="152">
        <f>SUM(D9:D15)</f>
        <v>16041795.24</v>
      </c>
      <c r="E16" s="84">
        <f>SUM(E9:E15)</f>
        <v>995418.57000000007</v>
      </c>
      <c r="F16" s="90">
        <f>E16/D16</f>
        <v>6.2051569360387873E-2</v>
      </c>
      <c r="G16" s="84">
        <f>SUM(G9:G15)</f>
        <v>995418.57000000007</v>
      </c>
      <c r="H16" s="171">
        <f>+G16/E16</f>
        <v>1</v>
      </c>
      <c r="I16" s="84">
        <f>SUM(I9:I15)</f>
        <v>13753426.6</v>
      </c>
      <c r="J16" s="561">
        <v>0.72399999999999998</v>
      </c>
      <c r="K16" s="231" t="s">
        <v>129</v>
      </c>
    </row>
    <row r="17" spans="1:17" s="6" customFormat="1" ht="19.5" customHeight="1" thickBot="1" x14ac:dyDescent="0.3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1494087.1800000002</v>
      </c>
      <c r="F17" s="181">
        <f>E17/D17</f>
        <v>7.4469006258991013E-2</v>
      </c>
      <c r="G17" s="155">
        <f t="shared" si="3"/>
        <v>1329751.4100000001</v>
      </c>
      <c r="H17" s="173">
        <f>+G17/E17</f>
        <v>0.89000924966105388</v>
      </c>
      <c r="I17" s="147">
        <f t="shared" ref="I17" si="4">+I8+I16</f>
        <v>13841161.09</v>
      </c>
      <c r="J17" s="561">
        <v>0.72399999999999998</v>
      </c>
      <c r="K17" s="146">
        <f>+E17/I17-1</f>
        <v>-0.89205477992164606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767</v>
      </c>
      <c r="D20" s="740" t="s">
        <v>779</v>
      </c>
      <c r="E20" s="741"/>
      <c r="F20" s="741"/>
      <c r="G20" s="741"/>
      <c r="H20" s="742"/>
      <c r="I20" s="744" t="s">
        <v>780</v>
      </c>
      <c r="J20" s="728"/>
      <c r="K20" s="407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766</v>
      </c>
      <c r="L22" s="58" t="s">
        <v>163</v>
      </c>
    </row>
    <row r="23" spans="1:17" s="91" customFormat="1" x14ac:dyDescent="0.25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5">
      <c r="A24" s="21"/>
      <c r="B24" s="509" t="s">
        <v>532</v>
      </c>
      <c r="C24" s="159">
        <v>0</v>
      </c>
      <c r="D24" s="168">
        <v>0</v>
      </c>
      <c r="E24" s="136">
        <v>0</v>
      </c>
      <c r="F24" s="48" t="s">
        <v>129</v>
      </c>
      <c r="G24" s="136">
        <v>0</v>
      </c>
      <c r="H24" s="153" t="s">
        <v>129</v>
      </c>
      <c r="I24" s="136">
        <v>24492.98</v>
      </c>
      <c r="J24" s="52" t="s">
        <v>129</v>
      </c>
      <c r="K24" s="94">
        <f>+E24/I24-1</f>
        <v>-1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9" t="s">
        <v>423</v>
      </c>
      <c r="C25" s="159">
        <v>0</v>
      </c>
      <c r="D25" s="168">
        <v>0</v>
      </c>
      <c r="E25" s="136">
        <v>0</v>
      </c>
      <c r="F25" s="48" t="s">
        <v>129</v>
      </c>
      <c r="G25" s="136">
        <v>0</v>
      </c>
      <c r="H25" s="348" t="s">
        <v>129</v>
      </c>
      <c r="I25" s="136">
        <v>0</v>
      </c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11" t="s">
        <v>503</v>
      </c>
      <c r="C26" s="159">
        <v>0</v>
      </c>
      <c r="D26" s="168">
        <v>1946205.88</v>
      </c>
      <c r="E26" s="136">
        <v>0</v>
      </c>
      <c r="F26" s="48" t="s">
        <v>129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5">
      <c r="A27" s="21"/>
      <c r="B27" s="21" t="s">
        <v>410</v>
      </c>
      <c r="C27" s="159">
        <v>0</v>
      </c>
      <c r="D27" s="168">
        <v>11670158.68</v>
      </c>
      <c r="E27" s="136">
        <v>0</v>
      </c>
      <c r="F27" s="48" t="s">
        <v>129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291269.58</v>
      </c>
      <c r="F28" s="48">
        <f>+E28/D28</f>
        <v>1.9417972000000001</v>
      </c>
      <c r="G28" s="136">
        <v>291269.58</v>
      </c>
      <c r="H28" s="348">
        <f>+G28/E28</f>
        <v>1</v>
      </c>
      <c r="I28" s="30">
        <v>-106.76</v>
      </c>
      <c r="J28" s="52">
        <v>-7.1173333333333336E-4</v>
      </c>
      <c r="K28" s="244" t="s">
        <v>129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9">
        <v>1450000</v>
      </c>
      <c r="E29" s="66">
        <v>867056.43</v>
      </c>
      <c r="F29" s="383">
        <f>+E29/D29</f>
        <v>0.59796995172413792</v>
      </c>
      <c r="G29" s="66">
        <v>867056.43</v>
      </c>
      <c r="H29" s="406">
        <f t="shared" ref="H29" si="6">+G29/E29</f>
        <v>1</v>
      </c>
      <c r="I29" s="179">
        <v>891148.99</v>
      </c>
      <c r="J29" s="67">
        <v>0.63653499285714288</v>
      </c>
      <c r="K29" s="98">
        <f>+E29/I29-1</f>
        <v>-2.7035389447055191E-2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224449559.90000001</v>
      </c>
      <c r="E31" s="155">
        <f>SUM(E23:E30)</f>
        <v>1158326.01</v>
      </c>
      <c r="F31" s="181">
        <f>+E31/(D31-D27-D26)</f>
        <v>5.4940400069923827E-3</v>
      </c>
      <c r="G31" s="155">
        <f>SUM(G23:G30)</f>
        <v>1158326.01</v>
      </c>
      <c r="H31" s="173">
        <f>+G31/E31</f>
        <v>1</v>
      </c>
      <c r="I31" s="354">
        <f>SUM(I23:I30)</f>
        <v>940535.21</v>
      </c>
      <c r="J31" s="181">
        <v>6.0000000000000001E-3</v>
      </c>
      <c r="K31" s="95">
        <f>+E31/I31-1</f>
        <v>0.2315604962838127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87"/>
      <c r="O136" s="688">
        <v>0.58699999999999997</v>
      </c>
    </row>
    <row r="137" spans="12:15" x14ac:dyDescent="0.25">
      <c r="L137" s="687"/>
      <c r="O137" s="688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O10" sqref="O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A4" workbookViewId="0">
      <selection activeCell="D17" sqref="D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756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1" t="s">
        <v>17</v>
      </c>
      <c r="O4" s="89" t="s">
        <v>18</v>
      </c>
      <c r="P4" s="587" t="s">
        <v>766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4225151.3499999996</v>
      </c>
      <c r="E5" s="30">
        <v>1360781.5</v>
      </c>
      <c r="F5" s="48">
        <f>E5/D5</f>
        <v>0.32206692430083012</v>
      </c>
      <c r="G5" s="30">
        <v>1360781.5</v>
      </c>
      <c r="H5" s="48">
        <f>G5/D5</f>
        <v>0.32206692430083012</v>
      </c>
      <c r="I5" s="30">
        <v>1360781.5</v>
      </c>
      <c r="J5" s="153">
        <f>I5/D5</f>
        <v>0.32206692430083012</v>
      </c>
      <c r="K5" s="578">
        <v>1873908.95</v>
      </c>
      <c r="L5" s="48">
        <v>0.43990000000000001</v>
      </c>
      <c r="M5" s="210">
        <f>+G5/K5-1</f>
        <v>-0.27382731162044982</v>
      </c>
      <c r="N5" s="578">
        <v>1873908.95</v>
      </c>
      <c r="O5" s="48">
        <v>0.43990000000000001</v>
      </c>
      <c r="P5" s="210">
        <f>+I5/N5-1</f>
        <v>-0.27382731162044982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15487038.800000001</v>
      </c>
      <c r="E6" s="30">
        <v>12949942.439999999</v>
      </c>
      <c r="F6" s="48">
        <f t="shared" ref="F6:F17" si="0">E6/D6</f>
        <v>0.83617937600827852</v>
      </c>
      <c r="G6" s="30">
        <v>12232057.800000001</v>
      </c>
      <c r="H6" s="280">
        <f t="shared" ref="H6:H17" si="1">G6/D6</f>
        <v>0.78982547651394797</v>
      </c>
      <c r="I6" s="30">
        <v>2533505.7999999998</v>
      </c>
      <c r="J6" s="178">
        <f t="shared" ref="J6:J17" si="2">I6/D6</f>
        <v>0.16358878109093392</v>
      </c>
      <c r="K6" s="579">
        <v>11589818.58</v>
      </c>
      <c r="L6" s="412">
        <v>0.80610000000000004</v>
      </c>
      <c r="M6" s="210">
        <f t="shared" ref="M6:M17" si="3">+G6/K6-1</f>
        <v>5.541408742223819E-2</v>
      </c>
      <c r="N6" s="579">
        <v>2636475.89</v>
      </c>
      <c r="O6" s="412">
        <v>0.18340000000000001</v>
      </c>
      <c r="P6" s="210">
        <f>+I6/N6-1</f>
        <v>-3.9055957382565065E-2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9172408.4100000001</v>
      </c>
      <c r="D8" s="204">
        <v>9182778.1500000004</v>
      </c>
      <c r="E8" s="30">
        <v>8396000.5299999993</v>
      </c>
      <c r="F8" s="48">
        <f t="shared" si="0"/>
        <v>0.91432030621364835</v>
      </c>
      <c r="G8" s="30">
        <v>7915437.3099999996</v>
      </c>
      <c r="H8" s="48">
        <f t="shared" si="1"/>
        <v>0.8619872091759071</v>
      </c>
      <c r="I8" s="30">
        <v>3656892.85</v>
      </c>
      <c r="J8" s="178">
        <f t="shared" si="2"/>
        <v>0.39823382317038769</v>
      </c>
      <c r="K8" s="635">
        <v>4932081.7699999996</v>
      </c>
      <c r="L8" s="414">
        <v>0.94040000000000001</v>
      </c>
      <c r="M8" s="443">
        <f t="shared" si="3"/>
        <v>0.60488768822662897</v>
      </c>
      <c r="N8" s="635">
        <v>2940285.7</v>
      </c>
      <c r="O8" s="414">
        <v>0.56059999999999999</v>
      </c>
      <c r="P8" s="443">
        <f t="shared" ref="P8:P17" si="4">+I8/N8-1</f>
        <v>0.24372024460072028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 t="shared" ref="D10:E10" si="5">SUM(D5:D9)</f>
        <v>28894968.299999997</v>
      </c>
      <c r="E10" s="84">
        <f t="shared" si="5"/>
        <v>22706724.469999999</v>
      </c>
      <c r="F10" s="90">
        <f t="shared" si="0"/>
        <v>0.78583662851777558</v>
      </c>
      <c r="G10" s="84">
        <f>SUM(G5:G9)</f>
        <v>21508276.609999999</v>
      </c>
      <c r="H10" s="90">
        <f t="shared" si="1"/>
        <v>0.74436062316081519</v>
      </c>
      <c r="I10" s="84">
        <f>SUM(I5:I9)</f>
        <v>7551180.1500000004</v>
      </c>
      <c r="J10" s="170">
        <f t="shared" si="2"/>
        <v>0.26133201018254798</v>
      </c>
      <c r="K10" s="568">
        <f>SUM(K5:K9)</f>
        <v>18395809.299999997</v>
      </c>
      <c r="L10" s="90">
        <v>0.77029999999999998</v>
      </c>
      <c r="M10" s="213">
        <f t="shared" si="3"/>
        <v>0.16919436700183677</v>
      </c>
      <c r="N10" s="568">
        <f>SUM(N5:N9)</f>
        <v>7450670.54</v>
      </c>
      <c r="O10" s="90">
        <v>0.312</v>
      </c>
      <c r="P10" s="213">
        <f t="shared" si="4"/>
        <v>1.3490008645584251E-2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1130972.9099999999</v>
      </c>
      <c r="E11" s="30">
        <v>147397.54</v>
      </c>
      <c r="F11" s="48">
        <f t="shared" si="0"/>
        <v>0.13032809070555015</v>
      </c>
      <c r="G11" s="30">
        <v>147397.54</v>
      </c>
      <c r="H11" s="48">
        <f t="shared" si="1"/>
        <v>0.13032809070555015</v>
      </c>
      <c r="I11" s="30">
        <v>147397.54</v>
      </c>
      <c r="J11" s="153">
        <f t="shared" si="2"/>
        <v>0.13032809070555015</v>
      </c>
      <c r="K11" s="565">
        <v>747697.65</v>
      </c>
      <c r="L11" s="48">
        <v>0.64739999999999998</v>
      </c>
      <c r="M11" s="224">
        <f t="shared" si="3"/>
        <v>-0.80286478097129232</v>
      </c>
      <c r="N11" s="565">
        <v>27621.54</v>
      </c>
      <c r="O11" s="48">
        <v>2.3900000000000001E-2</v>
      </c>
      <c r="P11" s="224">
        <f t="shared" si="4"/>
        <v>4.3363259253466682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6">SUM(D11:D12)</f>
        <v>1130972.9099999999</v>
      </c>
      <c r="E13" s="84">
        <f t="shared" si="6"/>
        <v>147397.54</v>
      </c>
      <c r="F13" s="90">
        <f t="shared" si="0"/>
        <v>0.13032809070555015</v>
      </c>
      <c r="G13" s="84">
        <f t="shared" si="6"/>
        <v>147397.54</v>
      </c>
      <c r="H13" s="90">
        <f t="shared" si="1"/>
        <v>0.13032809070555015</v>
      </c>
      <c r="I13" s="84">
        <f t="shared" si="6"/>
        <v>147397.54</v>
      </c>
      <c r="J13" s="170">
        <f t="shared" si="2"/>
        <v>0.13032809070555015</v>
      </c>
      <c r="K13" s="568">
        <f>SUM(K11:K12)</f>
        <v>747697.65</v>
      </c>
      <c r="L13" s="90">
        <v>0.64739999999999998</v>
      </c>
      <c r="M13" s="629">
        <f t="shared" si="3"/>
        <v>-0.80286478097129232</v>
      </c>
      <c r="N13" s="568">
        <f>SUM(N11:N12)</f>
        <v>27621.54</v>
      </c>
      <c r="O13" s="90">
        <v>2.3900000000000001E-2</v>
      </c>
      <c r="P13" s="213">
        <f t="shared" si="4"/>
        <v>4.3363259253466682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30025941.209999997</v>
      </c>
      <c r="E17" s="155">
        <f t="shared" si="8"/>
        <v>22854122.009999998</v>
      </c>
      <c r="F17" s="181">
        <f t="shared" si="0"/>
        <v>0.76114589881327488</v>
      </c>
      <c r="G17" s="155">
        <f t="shared" si="8"/>
        <v>21655674.149999999</v>
      </c>
      <c r="H17" s="181">
        <f t="shared" si="1"/>
        <v>0.72123215051082823</v>
      </c>
      <c r="I17" s="155">
        <f t="shared" si="8"/>
        <v>7698577.6900000004</v>
      </c>
      <c r="J17" s="173">
        <f t="shared" si="2"/>
        <v>0.25639754757915884</v>
      </c>
      <c r="K17" s="576">
        <f>K10+K13+K16</f>
        <v>19143506.949999996</v>
      </c>
      <c r="L17" s="181">
        <v>0.76459999999999995</v>
      </c>
      <c r="M17" s="607">
        <f t="shared" si="3"/>
        <v>0.13122816036588336</v>
      </c>
      <c r="N17" s="576">
        <f>N10+N13+N16</f>
        <v>7478292.0800000001</v>
      </c>
      <c r="O17" s="181">
        <v>0.29870000000000002</v>
      </c>
      <c r="P17" s="607">
        <f t="shared" si="4"/>
        <v>2.9456673748961215E-2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1" workbookViewId="0">
      <selection activeCell="E24" sqref="E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workbookViewId="0">
      <selection activeCell="F20" sqref="F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757</v>
      </c>
    </row>
    <row r="2" spans="1:16" x14ac:dyDescent="0.25">
      <c r="A2" s="8" t="s">
        <v>20</v>
      </c>
      <c r="C2" s="164" t="s">
        <v>767</v>
      </c>
      <c r="D2" s="743" t="s">
        <v>779</v>
      </c>
      <c r="E2" s="741"/>
      <c r="F2" s="741"/>
      <c r="G2" s="741"/>
      <c r="H2" s="741"/>
      <c r="I2" s="741"/>
      <c r="J2" s="742"/>
      <c r="K2" s="752" t="s">
        <v>780</v>
      </c>
      <c r="L2" s="750"/>
      <c r="M2" s="750"/>
      <c r="N2" s="750"/>
      <c r="O2" s="750"/>
      <c r="P2" s="75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1538354.99</v>
      </c>
      <c r="F5" s="48">
        <f>E5/D5</f>
        <v>0.32428119307351028</v>
      </c>
      <c r="G5" s="30">
        <v>1538354.99</v>
      </c>
      <c r="H5" s="48">
        <f>G5/D5</f>
        <v>0.32428119307351028</v>
      </c>
      <c r="I5" s="30">
        <v>1538354.99</v>
      </c>
      <c r="J5" s="153">
        <f>I5/D5</f>
        <v>0.32428119307351028</v>
      </c>
      <c r="K5" s="578">
        <v>2075596.56</v>
      </c>
      <c r="L5" s="48">
        <v>0.43590000000000001</v>
      </c>
      <c r="M5" s="210">
        <f>+G5/K5-1</f>
        <v>-0.25883718462127348</v>
      </c>
      <c r="N5" s="578">
        <v>2075596.56</v>
      </c>
      <c r="O5" s="48">
        <v>0.43590000000000001</v>
      </c>
      <c r="P5" s="210">
        <f>+I5/N5-1</f>
        <v>-0.25883718462127348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23409607.699999999</v>
      </c>
      <c r="E6" s="30">
        <v>22599428.109999999</v>
      </c>
      <c r="F6" s="48">
        <f>E6/D6</f>
        <v>0.96539115048903623</v>
      </c>
      <c r="G6" s="30">
        <v>22043940.77</v>
      </c>
      <c r="H6" s="280">
        <f>G6/D6</f>
        <v>0.94166211807129085</v>
      </c>
      <c r="I6" s="30">
        <v>3656822.9</v>
      </c>
      <c r="J6" s="178">
        <f>I6/D6</f>
        <v>0.15621034520796348</v>
      </c>
      <c r="K6" s="579">
        <v>20130805.5</v>
      </c>
      <c r="L6" s="412">
        <v>0.93779999999999997</v>
      </c>
      <c r="M6" s="210">
        <f t="shared" ref="M6:M17" si="0">+G6/K6-1</f>
        <v>9.5035207110813369E-2</v>
      </c>
      <c r="N6" s="579">
        <v>3532867.59</v>
      </c>
      <c r="O6" s="412">
        <v>0.1646</v>
      </c>
      <c r="P6" s="210">
        <f>+I6/N6-1</f>
        <v>3.5086316382437754E-2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16012218.74</v>
      </c>
      <c r="D8" s="204">
        <v>16051757.029999999</v>
      </c>
      <c r="E8" s="30">
        <v>15734191.460000001</v>
      </c>
      <c r="F8" s="48">
        <f t="shared" ref="F8:F17" si="1">E8/D8</f>
        <v>0.98021614896073472</v>
      </c>
      <c r="G8" s="30">
        <v>15051011.460000001</v>
      </c>
      <c r="H8" s="48">
        <f t="shared" ref="H8:H17" si="2">G8/D8</f>
        <v>0.93765507613094001</v>
      </c>
      <c r="I8" s="30">
        <v>6261500.4900000002</v>
      </c>
      <c r="J8" s="178">
        <f t="shared" ref="J8:J17" si="3">I8/D8</f>
        <v>0.39008193796464413</v>
      </c>
      <c r="K8" s="635">
        <v>10071364.710000001</v>
      </c>
      <c r="L8" s="414">
        <v>0.93840000000000001</v>
      </c>
      <c r="M8" s="443">
        <f t="shared" si="0"/>
        <v>0.49443614578425876</v>
      </c>
      <c r="N8" s="635">
        <v>4635270.6399999997</v>
      </c>
      <c r="O8" s="414">
        <v>0.43190000000000001</v>
      </c>
      <c r="P8" s="443">
        <f t="shared" ref="P8:P17" si="4">+I8/N8-1</f>
        <v>0.35083816594579709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44205256.829999998</v>
      </c>
      <c r="E10" s="84">
        <f>SUM(E5:E9)</f>
        <v>39871974.560000002</v>
      </c>
      <c r="F10" s="90">
        <f t="shared" si="1"/>
        <v>0.90197359814773881</v>
      </c>
      <c r="G10" s="84">
        <f>SUM(G5:G9)</f>
        <v>38633307.219999999</v>
      </c>
      <c r="H10" s="90">
        <f t="shared" si="2"/>
        <v>0.87395278277812016</v>
      </c>
      <c r="I10" s="84">
        <f>SUM(I5:I9)</f>
        <v>11456678.379999999</v>
      </c>
      <c r="J10" s="170">
        <f t="shared" si="3"/>
        <v>0.25917004450531544</v>
      </c>
      <c r="K10" s="568">
        <f>SUM(K5:K9)</f>
        <v>32277766.77</v>
      </c>
      <c r="L10" s="90">
        <v>0.87329999999999997</v>
      </c>
      <c r="M10" s="213">
        <f t="shared" si="0"/>
        <v>0.19690149245105282</v>
      </c>
      <c r="N10" s="568">
        <f>SUM(N5:N9)</f>
        <v>10243734.789999999</v>
      </c>
      <c r="O10" s="90">
        <v>0.2772</v>
      </c>
      <c r="P10" s="213">
        <f t="shared" si="4"/>
        <v>0.11840833591124245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1003213.04</v>
      </c>
      <c r="E11" s="30">
        <v>374992.83</v>
      </c>
      <c r="F11" s="48">
        <f t="shared" si="1"/>
        <v>0.37379182192448374</v>
      </c>
      <c r="G11" s="30">
        <v>374992.83</v>
      </c>
      <c r="H11" s="48">
        <f t="shared" si="2"/>
        <v>0.37379182192448374</v>
      </c>
      <c r="I11" s="30">
        <v>65452.73</v>
      </c>
      <c r="J11" s="153">
        <f t="shared" si="3"/>
        <v>6.5243101305780482E-2</v>
      </c>
      <c r="K11" s="565">
        <v>55236.32</v>
      </c>
      <c r="L11" s="48">
        <v>7.1599999999999997E-2</v>
      </c>
      <c r="M11" s="224">
        <f t="shared" si="0"/>
        <v>5.7888814823290184</v>
      </c>
      <c r="N11" s="565">
        <v>2925.93</v>
      </c>
      <c r="O11" s="48">
        <v>3.8E-3</v>
      </c>
      <c r="P11" s="224">
        <f t="shared" si="4"/>
        <v>21.369889231799807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559" t="s">
        <v>129</v>
      </c>
      <c r="N12" s="569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1003213.04</v>
      </c>
      <c r="E13" s="84">
        <f t="shared" si="5"/>
        <v>374992.83</v>
      </c>
      <c r="F13" s="90">
        <f t="shared" si="1"/>
        <v>0.37379182192448374</v>
      </c>
      <c r="G13" s="84">
        <f t="shared" si="5"/>
        <v>374992.83</v>
      </c>
      <c r="H13" s="90">
        <f t="shared" si="2"/>
        <v>0.37379182192448374</v>
      </c>
      <c r="I13" s="84">
        <f t="shared" si="5"/>
        <v>65452.73</v>
      </c>
      <c r="J13" s="170">
        <f t="shared" si="3"/>
        <v>6.5243101305780482E-2</v>
      </c>
      <c r="K13" s="568">
        <f>SUM(K11:K12)</f>
        <v>55236.32</v>
      </c>
      <c r="L13" s="90">
        <v>7.1599999999999997E-2</v>
      </c>
      <c r="M13" s="629" t="s">
        <v>129</v>
      </c>
      <c r="N13" s="568">
        <f>SUM(N11:N12)</f>
        <v>2925.93</v>
      </c>
      <c r="O13" s="90">
        <v>3.8E-3</v>
      </c>
      <c r="P13" s="90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45208469.869999997</v>
      </c>
      <c r="E17" s="155">
        <f t="shared" si="7"/>
        <v>40246967.390000001</v>
      </c>
      <c r="F17" s="181">
        <f t="shared" si="1"/>
        <v>0.89025281115978638</v>
      </c>
      <c r="G17" s="155">
        <f t="shared" si="7"/>
        <v>39008300.049999997</v>
      </c>
      <c r="H17" s="181">
        <f t="shared" si="2"/>
        <v>0.86285380067432038</v>
      </c>
      <c r="I17" s="155">
        <f t="shared" si="7"/>
        <v>11522131.109999999</v>
      </c>
      <c r="J17" s="173">
        <f t="shared" si="3"/>
        <v>0.25486664651850999</v>
      </c>
      <c r="K17" s="576">
        <f>K10+K13+K16</f>
        <v>32333003.09</v>
      </c>
      <c r="L17" s="181">
        <v>0.8569</v>
      </c>
      <c r="M17" s="607">
        <f t="shared" si="0"/>
        <v>0.20645459196657612</v>
      </c>
      <c r="N17" s="576">
        <f>N10+N13+N16</f>
        <v>10246660.719999999</v>
      </c>
      <c r="O17" s="181">
        <v>0.27160000000000001</v>
      </c>
      <c r="P17" s="607">
        <f t="shared" si="4"/>
        <v>0.12447668805023149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18" sqref="D18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5"/>
  <sheetViews>
    <sheetView zoomScaleNormal="100" workbookViewId="0">
      <selection activeCell="N21" sqref="N2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S137"/>
  <sheetViews>
    <sheetView topLeftCell="C1" zoomScaleNormal="100" workbookViewId="0">
      <selection activeCell="L11" sqref="L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767</v>
      </c>
      <c r="D2" s="267" t="s">
        <v>148</v>
      </c>
      <c r="E2" s="746" t="s">
        <v>779</v>
      </c>
      <c r="F2" s="747"/>
      <c r="G2" s="747"/>
      <c r="H2" s="747"/>
      <c r="I2" s="747"/>
      <c r="J2" s="747"/>
      <c r="K2" s="747"/>
      <c r="L2" s="747"/>
      <c r="M2" s="748"/>
      <c r="N2" s="746" t="s">
        <v>780</v>
      </c>
      <c r="O2" s="747"/>
      <c r="P2" s="747"/>
      <c r="Q2" s="747"/>
      <c r="R2" s="747"/>
      <c r="S2" s="748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545</v>
      </c>
      <c r="O3" s="88" t="s">
        <v>546</v>
      </c>
      <c r="P3" s="88" t="s">
        <v>547</v>
      </c>
      <c r="Q3" s="87" t="s">
        <v>39</v>
      </c>
      <c r="R3" s="88" t="s">
        <v>40</v>
      </c>
      <c r="S3" s="570" t="s">
        <v>362</v>
      </c>
    </row>
    <row r="4" spans="1:19" ht="39.6" x14ac:dyDescent="0.25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766</v>
      </c>
      <c r="Q4" s="564" t="s">
        <v>17</v>
      </c>
      <c r="R4" s="89" t="s">
        <v>18</v>
      </c>
      <c r="S4" s="571" t="s">
        <v>766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374689890.01999998</v>
      </c>
      <c r="F5" s="262">
        <f>E5/E17</f>
        <v>0.13619033993203647</v>
      </c>
      <c r="G5" s="136">
        <v>119833074.59999999</v>
      </c>
      <c r="H5" s="48">
        <f>+G5/E5</f>
        <v>0.3198193433871504</v>
      </c>
      <c r="I5" s="136">
        <v>119352287.48999999</v>
      </c>
      <c r="J5" s="48">
        <f t="shared" ref="J5:J17" si="0">+I5/E5</f>
        <v>0.31853618330515743</v>
      </c>
      <c r="K5" s="136">
        <v>118724711.70999999</v>
      </c>
      <c r="L5" s="262">
        <f>K5/K17</f>
        <v>0.19185041144607631</v>
      </c>
      <c r="M5" s="153">
        <f t="shared" ref="M5:M17" si="1">+K5/E5</f>
        <v>0.31686126279965221</v>
      </c>
      <c r="N5" s="565">
        <v>161863432.47999999</v>
      </c>
      <c r="O5" s="48">
        <v>0.4549262681780043</v>
      </c>
      <c r="P5" s="572">
        <f>+I5/N5-1</f>
        <v>-0.26263587975778724</v>
      </c>
      <c r="Q5" s="565">
        <v>161329364.19999999</v>
      </c>
      <c r="R5" s="48">
        <v>0.45342523928067957</v>
      </c>
      <c r="S5" s="572">
        <f>+K5/Q5-1</f>
        <v>-0.2640849215594937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670803400.15999997</v>
      </c>
      <c r="F6" s="262">
        <f>E6/E17</f>
        <v>0.24382014441457145</v>
      </c>
      <c r="G6" s="136">
        <v>565519054.37</v>
      </c>
      <c r="H6" s="280">
        <f t="shared" ref="H6:H10" si="2">+G6/E6</f>
        <v>0.84304738800535661</v>
      </c>
      <c r="I6" s="136">
        <v>535157374.87</v>
      </c>
      <c r="J6" s="280">
        <f t="shared" si="0"/>
        <v>0.79778572193038122</v>
      </c>
      <c r="K6" s="136">
        <v>99765341.959999993</v>
      </c>
      <c r="L6" s="410">
        <f>K6/K17</f>
        <v>0.16121346287061455</v>
      </c>
      <c r="M6" s="178">
        <f t="shared" si="1"/>
        <v>0.14872515842377063</v>
      </c>
      <c r="N6" s="566">
        <v>507874522.24000001</v>
      </c>
      <c r="O6" s="280">
        <v>0.84347248238458916</v>
      </c>
      <c r="P6" s="572">
        <f t="shared" ref="P6:P17" si="3">+I6/N6-1</f>
        <v>5.3719671760000809E-2</v>
      </c>
      <c r="Q6" s="566">
        <v>94039267.819999993</v>
      </c>
      <c r="R6" s="280">
        <v>0.15617939313026133</v>
      </c>
      <c r="S6" s="573">
        <f>+K6/Q6-1</f>
        <v>6.0890245880691474E-2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8.0327934984777694E-3</v>
      </c>
      <c r="G7" s="136">
        <v>4884929.8099999996</v>
      </c>
      <c r="H7" s="280">
        <f t="shared" si="2"/>
        <v>0.22103754796380087</v>
      </c>
      <c r="I7" s="136">
        <v>4884929.8099999996</v>
      </c>
      <c r="J7" s="280">
        <f t="shared" si="0"/>
        <v>0.22103754796380087</v>
      </c>
      <c r="K7" s="136">
        <v>4884929.8099999996</v>
      </c>
      <c r="L7" s="410">
        <f>K7/K17</f>
        <v>7.8936876782895269E-3</v>
      </c>
      <c r="M7" s="178">
        <f>+K7/E7</f>
        <v>0.22103754796380087</v>
      </c>
      <c r="N7" s="566">
        <v>6491807.9199999999</v>
      </c>
      <c r="O7" s="280">
        <v>0.1870420153570187</v>
      </c>
      <c r="P7" s="572">
        <f t="shared" si="3"/>
        <v>-0.24752397634093903</v>
      </c>
      <c r="Q7" s="566">
        <v>6491807.9199999999</v>
      </c>
      <c r="R7" s="280">
        <v>0.1870420153570187</v>
      </c>
      <c r="S7" s="573">
        <f>+K7/Q7-1</f>
        <v>-0.24752397634093903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1089784840.3800001</v>
      </c>
      <c r="F8" s="410">
        <f>E8/E17</f>
        <v>0.39610934753593208</v>
      </c>
      <c r="G8" s="136">
        <v>888049007.75</v>
      </c>
      <c r="H8" s="280">
        <f t="shared" si="2"/>
        <v>0.81488471379391159</v>
      </c>
      <c r="I8" s="136">
        <v>858660069.19000006</v>
      </c>
      <c r="J8" s="280">
        <f t="shared" si="0"/>
        <v>0.78791706158308417</v>
      </c>
      <c r="K8" s="136">
        <v>295406144.75999999</v>
      </c>
      <c r="L8" s="410">
        <f>K8/K17</f>
        <v>0.47735462651059557</v>
      </c>
      <c r="M8" s="427">
        <f t="shared" si="1"/>
        <v>0.27106831900597367</v>
      </c>
      <c r="N8" s="566">
        <v>765231718.48000002</v>
      </c>
      <c r="O8" s="280">
        <v>0.76120127483296363</v>
      </c>
      <c r="P8" s="572">
        <f t="shared" si="3"/>
        <v>0.12209158148276877</v>
      </c>
      <c r="Q8" s="566">
        <v>332377580.14999998</v>
      </c>
      <c r="R8" s="280">
        <v>0.33062696125381275</v>
      </c>
      <c r="S8" s="573">
        <f>+K8/Q8-1</f>
        <v>-0.1112332407417943</v>
      </c>
    </row>
    <row r="9" spans="1:19" ht="15" customHeight="1" x14ac:dyDescent="0.25">
      <c r="A9" s="55">
        <v>5</v>
      </c>
      <c r="B9" s="55" t="s">
        <v>453</v>
      </c>
      <c r="C9" s="176">
        <v>13647818.9</v>
      </c>
      <c r="D9" s="537">
        <f>C9/C17</f>
        <v>4.9879030893436021E-3</v>
      </c>
      <c r="E9" s="539">
        <v>9829606.0399999991</v>
      </c>
      <c r="F9" s="685">
        <f>E9/E17</f>
        <v>3.5728142755977288E-3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7">
        <v>0</v>
      </c>
      <c r="O9" s="78" t="s">
        <v>129</v>
      </c>
      <c r="P9" s="572" t="s">
        <v>129</v>
      </c>
      <c r="Q9" s="567">
        <v>0</v>
      </c>
      <c r="R9" s="78" t="s">
        <v>129</v>
      </c>
      <c r="S9" s="684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38">
        <f>C10/C17</f>
        <v>0.78627759808472431</v>
      </c>
      <c r="E10" s="152">
        <f>SUM(E5:E9)</f>
        <v>2167207736.5999999</v>
      </c>
      <c r="F10" s="263">
        <f>E10/E17</f>
        <v>0.78772543965661546</v>
      </c>
      <c r="G10" s="84">
        <f>SUM(G5:G9)</f>
        <v>1578286066.53</v>
      </c>
      <c r="H10" s="90">
        <f t="shared" si="2"/>
        <v>0.72825785912248397</v>
      </c>
      <c r="I10" s="84">
        <f>SUM(I5:I9)</f>
        <v>1518054661.3600001</v>
      </c>
      <c r="J10" s="90">
        <f t="shared" si="0"/>
        <v>0.70046568943205401</v>
      </c>
      <c r="K10" s="84">
        <f>SUM(K5:K8)</f>
        <v>518781128.24000001</v>
      </c>
      <c r="L10" s="263">
        <f>K10/K17</f>
        <v>0.83831218850557598</v>
      </c>
      <c r="M10" s="170">
        <f t="shared" si="1"/>
        <v>0.23937766531503993</v>
      </c>
      <c r="N10" s="568">
        <f>SUM(N5:N9)</f>
        <v>1441461481.1199999</v>
      </c>
      <c r="O10" s="90">
        <v>0.71929028847603205</v>
      </c>
      <c r="P10" s="574">
        <f t="shared" si="3"/>
        <v>5.3135780069883065E-2</v>
      </c>
      <c r="Q10" s="568">
        <f>SUM(Q5:Q8)</f>
        <v>594238020.08999991</v>
      </c>
      <c r="R10" s="90">
        <v>0.29652518814575191</v>
      </c>
      <c r="S10" s="574">
        <f>+K10/Q10-1</f>
        <v>-0.12698092228863378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397562941.52999997</v>
      </c>
      <c r="F11" s="262">
        <f>E11/E17</f>
        <v>0.14450411818813944</v>
      </c>
      <c r="G11" s="136">
        <v>156196845.31</v>
      </c>
      <c r="H11" s="48">
        <f t="shared" ref="H11:H17" si="4">+G11/E11</f>
        <v>0.39288582760979857</v>
      </c>
      <c r="I11" s="136">
        <v>148977451.19999999</v>
      </c>
      <c r="J11" s="48">
        <f t="shared" si="0"/>
        <v>0.3747267052272733</v>
      </c>
      <c r="K11" s="136">
        <v>52982224.82</v>
      </c>
      <c r="L11" s="262">
        <f>K11/K17</f>
        <v>8.5615382717239008E-2</v>
      </c>
      <c r="M11" s="153">
        <f t="shared" si="1"/>
        <v>0.13326751385856214</v>
      </c>
      <c r="N11" s="565">
        <v>92860684.109999999</v>
      </c>
      <c r="O11" s="48">
        <v>0.34671378374402667</v>
      </c>
      <c r="P11" s="572">
        <f t="shared" si="3"/>
        <v>0.60431136845304456</v>
      </c>
      <c r="Q11" s="565">
        <v>53072384.369999997</v>
      </c>
      <c r="R11" s="48">
        <v>0.19815627435441732</v>
      </c>
      <c r="S11" s="572">
        <f t="shared" ref="S11:S17" si="5">+K11/Q11-1</f>
        <v>-1.6988034562652743E-3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37">
        <f>C12/C17</f>
        <v>6.2952441718691883E-3</v>
      </c>
      <c r="E12" s="540">
        <v>30771469.530000001</v>
      </c>
      <c r="F12" s="264">
        <f>E12/E17</f>
        <v>1.1184654315800489E-2</v>
      </c>
      <c r="G12" s="137">
        <v>16039397.17</v>
      </c>
      <c r="H12" s="390">
        <f t="shared" si="4"/>
        <v>0.52124248256531025</v>
      </c>
      <c r="I12" s="137">
        <v>15739397.17</v>
      </c>
      <c r="J12" s="390">
        <f t="shared" si="0"/>
        <v>0.51149319192101639</v>
      </c>
      <c r="K12" s="137">
        <v>101159.34</v>
      </c>
      <c r="L12" s="264">
        <f>K12/K17</f>
        <v>1.6346606128653891E-4</v>
      </c>
      <c r="M12" s="392">
        <f t="shared" si="1"/>
        <v>3.2874393568164437E-3</v>
      </c>
      <c r="N12" s="569">
        <v>5710100.4900000002</v>
      </c>
      <c r="O12" s="390">
        <v>0.36101867558850054</v>
      </c>
      <c r="P12" s="575">
        <f t="shared" si="3"/>
        <v>1.7564133411599556</v>
      </c>
      <c r="Q12" s="569">
        <v>1056316.6200000001</v>
      </c>
      <c r="R12" s="390">
        <v>6.6785169161623886E-2</v>
      </c>
      <c r="S12" s="572">
        <f t="shared" si="5"/>
        <v>-0.90423388396558602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38">
        <f>C13/C17</f>
        <v>0.15682560813043001</v>
      </c>
      <c r="E13" s="152">
        <f>SUM(E11:E12)</f>
        <v>428334411.05999994</v>
      </c>
      <c r="F13" s="263">
        <f>E13/E17</f>
        <v>0.15568877250393989</v>
      </c>
      <c r="G13" s="84">
        <f>SUM(G11:G12)</f>
        <v>172236242.47999999</v>
      </c>
      <c r="H13" s="90">
        <f t="shared" si="4"/>
        <v>0.40210694735864588</v>
      </c>
      <c r="I13" s="84">
        <f>SUM(I11:I12)</f>
        <v>164716848.36999997</v>
      </c>
      <c r="J13" s="90">
        <f t="shared" si="0"/>
        <v>0.38455198582428829</v>
      </c>
      <c r="K13" s="84">
        <f>SUM(K11:K12)</f>
        <v>53083384.160000004</v>
      </c>
      <c r="L13" s="263">
        <f>K13/K17</f>
        <v>8.577884877852554E-2</v>
      </c>
      <c r="M13" s="170">
        <f t="shared" si="1"/>
        <v>0.12392976793210346</v>
      </c>
      <c r="N13" s="568">
        <f>SUM(N11:N12)</f>
        <v>98570784.599999994</v>
      </c>
      <c r="O13" s="90">
        <v>0.34799999999999998</v>
      </c>
      <c r="P13" s="574">
        <f t="shared" si="3"/>
        <v>0.67105140776164607</v>
      </c>
      <c r="Q13" s="568">
        <f>SUM(Q11:Q12)</f>
        <v>54128700.989999995</v>
      </c>
      <c r="R13" s="90">
        <v>0.19083081543045927</v>
      </c>
      <c r="S13" s="574">
        <f t="shared" si="5"/>
        <v>-1.9311692519521362E-2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1.0160966590889263E-2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10900399.48</v>
      </c>
      <c r="L14" s="262">
        <f>K14/K17</f>
        <v>1.7614244709835365E-2</v>
      </c>
      <c r="M14" s="153">
        <f t="shared" si="1"/>
        <v>0.38992557370198577</v>
      </c>
      <c r="N14" s="565">
        <v>10043728.939999999</v>
      </c>
      <c r="O14" s="48">
        <v>0.4247946237874608</v>
      </c>
      <c r="P14" s="572">
        <f t="shared" si="3"/>
        <v>1.2855134031524353</v>
      </c>
      <c r="Q14" s="565">
        <v>10043728.939999999</v>
      </c>
      <c r="R14" s="48">
        <v>0.4247946237874608</v>
      </c>
      <c r="S14" s="572">
        <f t="shared" si="5"/>
        <v>8.5294072064035609E-2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40">
        <v>127725000</v>
      </c>
      <c r="F15" s="264">
        <f>E15/E17</f>
        <v>4.6424821248555341E-2</v>
      </c>
      <c r="G15" s="137">
        <v>36075104.229999997</v>
      </c>
      <c r="H15" s="390">
        <f t="shared" si="4"/>
        <v>0.28244356414171068</v>
      </c>
      <c r="I15" s="137">
        <v>36075104.229999997</v>
      </c>
      <c r="J15" s="390">
        <f t="shared" si="0"/>
        <v>0.28244356414171068</v>
      </c>
      <c r="K15" s="137">
        <v>36075104.229999997</v>
      </c>
      <c r="L15" s="264">
        <f>K15/K17</f>
        <v>5.8294718006063097E-2</v>
      </c>
      <c r="M15" s="392">
        <f t="shared" si="1"/>
        <v>0.28244356414171068</v>
      </c>
      <c r="N15" s="569">
        <v>125715125.72</v>
      </c>
      <c r="O15" s="390">
        <v>0.79713482115758916</v>
      </c>
      <c r="P15" s="575">
        <f t="shared" si="3"/>
        <v>-0.71304086104683573</v>
      </c>
      <c r="Q15" s="569">
        <v>125715125.72</v>
      </c>
      <c r="R15" s="390">
        <v>0.79713482115758916</v>
      </c>
      <c r="S15" s="575">
        <f t="shared" si="5"/>
        <v>-0.71304086104683573</v>
      </c>
    </row>
    <row r="16" spans="1:19" ht="15" customHeight="1" thickBot="1" x14ac:dyDescent="0.3">
      <c r="A16" s="9"/>
      <c r="B16" s="2" t="s">
        <v>10</v>
      </c>
      <c r="C16" s="519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5.658578783944461E-2</v>
      </c>
      <c r="G16" s="84">
        <f>SUM(G14:G15)</f>
        <v>59030181.339999996</v>
      </c>
      <c r="H16" s="90">
        <f t="shared" si="4"/>
        <v>0.37917620825875237</v>
      </c>
      <c r="I16" s="84">
        <f>SUM(I14:I15)</f>
        <v>59030181.339999996</v>
      </c>
      <c r="J16" s="90">
        <f t="shared" si="0"/>
        <v>0.37917620825875237</v>
      </c>
      <c r="K16" s="84">
        <f>SUM(K14:K15)</f>
        <v>46975503.709999993</v>
      </c>
      <c r="L16" s="263">
        <f>K16/K17</f>
        <v>7.5908962715898462E-2</v>
      </c>
      <c r="M16" s="170">
        <f t="shared" si="1"/>
        <v>0.30174383634720431</v>
      </c>
      <c r="N16" s="568">
        <f>SUM(N14:N15)</f>
        <v>135758854.66</v>
      </c>
      <c r="O16" s="90">
        <v>0.74859117074074899</v>
      </c>
      <c r="P16" s="574">
        <f t="shared" si="3"/>
        <v>-0.56518356399044767</v>
      </c>
      <c r="Q16" s="568">
        <f>SUM(Q14:Q15)</f>
        <v>135758854.66</v>
      </c>
      <c r="R16" s="90">
        <v>0.74859117074074899</v>
      </c>
      <c r="S16" s="574">
        <f t="shared" si="5"/>
        <v>-0.65397834397139432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2751222224.77</v>
      </c>
      <c r="F17" s="265"/>
      <c r="G17" s="155">
        <f>+G10+G13+G16</f>
        <v>1809552490.3499999</v>
      </c>
      <c r="H17" s="181">
        <f t="shared" si="4"/>
        <v>0.65772676378451289</v>
      </c>
      <c r="I17" s="155">
        <f>+I10+I13+I16</f>
        <v>1741801691.0699999</v>
      </c>
      <c r="J17" s="181">
        <f t="shared" si="0"/>
        <v>0.63310105428346963</v>
      </c>
      <c r="K17" s="155">
        <f>+K10+K13+K16</f>
        <v>618840016.11000001</v>
      </c>
      <c r="L17" s="265"/>
      <c r="M17" s="173">
        <f t="shared" si="1"/>
        <v>0.22493276280571431</v>
      </c>
      <c r="N17" s="576">
        <f>N10+N13+N16</f>
        <v>1675791120.3799999</v>
      </c>
      <c r="O17" s="181">
        <v>0.67873128806798289</v>
      </c>
      <c r="P17" s="577">
        <f t="shared" si="3"/>
        <v>3.9390691290350999E-2</v>
      </c>
      <c r="Q17" s="576">
        <f>+Q10+Q13+Q16</f>
        <v>784125575.73999989</v>
      </c>
      <c r="R17" s="181">
        <v>0.3175876489358504</v>
      </c>
      <c r="S17" s="577">
        <f t="shared" si="5"/>
        <v>-0.21078965505495162</v>
      </c>
    </row>
    <row r="18" spans="1:19" x14ac:dyDescent="0.25">
      <c r="D18" s="476"/>
      <c r="E18" s="46"/>
      <c r="G18" s="46"/>
      <c r="I18" s="46"/>
      <c r="K18" s="46"/>
    </row>
    <row r="19" spans="1:19" x14ac:dyDescent="0.25">
      <c r="A19" s="8" t="s">
        <v>783</v>
      </c>
      <c r="F19" s="411"/>
      <c r="G19" s="254"/>
      <c r="H19" s="411"/>
      <c r="K19" s="745"/>
      <c r="L19" s="745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533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 t="s">
        <v>18</v>
      </c>
    </row>
    <row r="22" spans="1:19" x14ac:dyDescent="0.25">
      <c r="A22" s="21">
        <v>1</v>
      </c>
      <c r="B22" s="21" t="s">
        <v>0</v>
      </c>
      <c r="C22" s="136" t="s">
        <v>148</v>
      </c>
      <c r="D22" s="136"/>
      <c r="E22" s="136">
        <v>27481626.559999999</v>
      </c>
      <c r="F22" s="48"/>
      <c r="G22" s="136">
        <v>27275055</v>
      </c>
      <c r="H22" s="48"/>
      <c r="I22" s="136"/>
      <c r="J22" s="48"/>
      <c r="K22" s="30"/>
      <c r="L22" s="30"/>
      <c r="M22" s="30"/>
      <c r="N22" s="337"/>
      <c r="O22" s="136"/>
      <c r="P22" s="48"/>
    </row>
    <row r="23" spans="1:19" x14ac:dyDescent="0.25">
      <c r="A23" s="23">
        <v>2</v>
      </c>
      <c r="B23" s="23" t="s">
        <v>1</v>
      </c>
      <c r="C23" s="133">
        <v>847870</v>
      </c>
      <c r="D23" s="133"/>
      <c r="E23" s="133">
        <v>9843510.5700000003</v>
      </c>
      <c r="F23" s="280"/>
      <c r="G23" s="133">
        <v>6649429.9500000002</v>
      </c>
      <c r="H23" s="280"/>
      <c r="I23" s="133">
        <v>1698246.61</v>
      </c>
      <c r="J23" s="280"/>
      <c r="K23" s="32"/>
      <c r="L23" s="32"/>
      <c r="M23" s="32"/>
      <c r="N23" s="133"/>
      <c r="O23" s="133"/>
      <c r="P23" s="48"/>
    </row>
    <row r="24" spans="1:19" x14ac:dyDescent="0.25">
      <c r="A24" s="23">
        <v>3</v>
      </c>
      <c r="B24" s="23" t="s">
        <v>2</v>
      </c>
      <c r="C24" s="133"/>
      <c r="D24" s="133"/>
      <c r="E24" s="133" t="s">
        <v>148</v>
      </c>
      <c r="F24" s="280"/>
      <c r="G24" s="133"/>
      <c r="H24" s="280"/>
      <c r="I24" s="133"/>
      <c r="J24" s="280"/>
      <c r="K24" s="32"/>
      <c r="L24" s="32"/>
      <c r="M24" s="32"/>
      <c r="N24" s="133"/>
      <c r="O24" s="133"/>
      <c r="P24" s="48"/>
    </row>
    <row r="25" spans="1:19" x14ac:dyDescent="0.25">
      <c r="A25" s="23">
        <v>4</v>
      </c>
      <c r="B25" s="23" t="s">
        <v>3</v>
      </c>
      <c r="C25" s="133">
        <v>2130404.62</v>
      </c>
      <c r="D25" s="133"/>
      <c r="E25" s="133">
        <v>14579360.99</v>
      </c>
      <c r="F25" s="280"/>
      <c r="G25" s="133">
        <v>9675319.3800000008</v>
      </c>
      <c r="H25" s="280"/>
      <c r="I25" s="133">
        <v>6644823.1799999997</v>
      </c>
      <c r="J25" s="280"/>
      <c r="K25" s="32"/>
      <c r="L25" s="32"/>
      <c r="M25" s="465"/>
      <c r="N25" s="446"/>
      <c r="O25" s="133"/>
      <c r="P25" s="280"/>
    </row>
    <row r="26" spans="1:19" x14ac:dyDescent="0.25">
      <c r="A26" s="55">
        <v>5</v>
      </c>
      <c r="B26" s="55" t="s">
        <v>453</v>
      </c>
      <c r="C26" s="56"/>
      <c r="D26" s="56"/>
      <c r="E26" s="133" t="s">
        <v>148</v>
      </c>
      <c r="F26" s="78"/>
      <c r="G26" s="137">
        <v>3818212.86</v>
      </c>
      <c r="H26" s="78"/>
      <c r="I26" s="56"/>
      <c r="J26" s="78"/>
      <c r="K26" s="180"/>
      <c r="L26" s="180"/>
      <c r="M26" s="466"/>
      <c r="N26" s="338"/>
      <c r="O26" s="56"/>
      <c r="P26" s="78"/>
    </row>
    <row r="27" spans="1:19" x14ac:dyDescent="0.25">
      <c r="A27" s="9"/>
      <c r="B27" s="2" t="s">
        <v>4</v>
      </c>
      <c r="C27" s="19">
        <f>SUM(C22:C26)</f>
        <v>2978274.62</v>
      </c>
      <c r="D27" s="19">
        <f>SUM(D22:D26)</f>
        <v>0</v>
      </c>
      <c r="E27" s="84">
        <f>SUM(E22:E26)</f>
        <v>51904498.119999997</v>
      </c>
      <c r="F27" s="44"/>
      <c r="G27" s="19">
        <f>SUM(G22:G26)</f>
        <v>47418017.190000005</v>
      </c>
      <c r="H27" s="44"/>
      <c r="I27" s="19">
        <f>SUM(I22:I26)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84">
        <f>+C27+D27+E27-G27+I27+K27-M27+L27</f>
        <v>15807825.339999989</v>
      </c>
      <c r="P27" s="90"/>
      <c r="Q27" s="46"/>
    </row>
    <row r="28" spans="1:19" x14ac:dyDescent="0.25">
      <c r="A28" s="21">
        <v>6</v>
      </c>
      <c r="B28" s="21" t="s">
        <v>5</v>
      </c>
      <c r="C28" s="136"/>
      <c r="D28" s="136"/>
      <c r="E28" s="136">
        <v>207677894.77000001</v>
      </c>
      <c r="F28" s="48"/>
      <c r="G28" s="136">
        <v>225497709.03</v>
      </c>
      <c r="H28" s="48"/>
      <c r="I28" s="136">
        <v>3504034.52</v>
      </c>
      <c r="J28" s="48"/>
      <c r="K28" s="180"/>
      <c r="L28" s="180"/>
      <c r="M28" s="30"/>
      <c r="N28" s="136"/>
      <c r="O28" s="136"/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/>
      <c r="E29" s="56">
        <v>31196732.579999998</v>
      </c>
      <c r="F29" s="390"/>
      <c r="G29" s="56">
        <v>17863399.25</v>
      </c>
      <c r="H29" s="390"/>
      <c r="I29" s="137"/>
      <c r="J29" s="390"/>
      <c r="K29" s="34"/>
      <c r="L29" s="34"/>
      <c r="M29" s="466"/>
      <c r="N29" s="338"/>
      <c r="O29" s="137"/>
      <c r="P29" s="264"/>
    </row>
    <row r="30" spans="1:19" x14ac:dyDescent="0.25">
      <c r="A30" s="9"/>
      <c r="B30" s="2" t="s">
        <v>7</v>
      </c>
      <c r="C30" s="19">
        <f>SUM(C28:C29)</f>
        <v>213192</v>
      </c>
      <c r="D30" s="19">
        <f>SUM(D28:D29)</f>
        <v>0</v>
      </c>
      <c r="E30" s="19">
        <f>SUM(E28:E29)</f>
        <v>238874627.35000002</v>
      </c>
      <c r="F30" s="44"/>
      <c r="G30" s="19">
        <f>SUM(G28:G29)</f>
        <v>243361108.28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84">
        <f>+C30+D30+E30-G30+I30+K30-M30+L30</f>
        <v>-769254.40999997733</v>
      </c>
      <c r="P30" s="90"/>
      <c r="Q30" s="46"/>
    </row>
    <row r="31" spans="1:19" x14ac:dyDescent="0.25">
      <c r="A31" s="21">
        <v>8</v>
      </c>
      <c r="B31" s="21" t="s">
        <v>8</v>
      </c>
      <c r="C31" s="22"/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/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3191466.62</v>
      </c>
      <c r="D34" s="20">
        <f>+D27+D30+D33</f>
        <v>0</v>
      </c>
      <c r="E34" s="20">
        <f>+E27+E30+E33</f>
        <v>290779125.47000003</v>
      </c>
      <c r="F34" s="45"/>
      <c r="G34" s="20">
        <f>+G27+G30+G33</f>
        <v>290779125.47000003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15038570.930000011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86"/>
      <c r="O136" s="686"/>
    </row>
    <row r="137" spans="12:15" x14ac:dyDescent="0.25">
      <c r="L137" s="686"/>
      <c r="N137" s="46"/>
      <c r="O137" s="686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56"/>
  <sheetViews>
    <sheetView zoomScaleNormal="100" workbookViewId="0">
      <selection activeCell="A16" sqref="A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Abril&amp;R&amp;"Arial,Negreta"&amp;8&amp;K03+000Direcció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2017-05-19T07:33:03Z</cp:lastPrinted>
  <dcterms:created xsi:type="dcterms:W3CDTF">2011-01-04T08:57:13Z</dcterms:created>
  <dcterms:modified xsi:type="dcterms:W3CDTF">2017-05-19T08:28:08Z</dcterms:modified>
</cp:coreProperties>
</file>