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8472" windowHeight="10464" tabRatio="931" firstSheet="32" activeTab="42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0" hidden="1">"1_1_2_2_1"</definedName>
    <definedName name="__FPMExcelClient_CellBasedFunctionStatus" localSheetId="32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60" hidden="1">"1_1_2_2_1"</definedName>
    <definedName name="__FPMExcelClient_CellBasedFunctionStatus" localSheetId="6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38" hidden="1">"1_1_2_2_1"</definedName>
    <definedName name="__FPMExcelClient_CellBasedFunctionStatus" localSheetId="40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4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61" hidden="1">"1_1_2_2_1"</definedName>
    <definedName name="__FPMExcelClient_CellBasedFunctionStatus" localSheetId="63" hidden="1">"1_1_2_2_1"</definedName>
    <definedName name="__FPMExcelClient_CellBasedFunctionStatus" localSheetId="2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1" hidden="1">"1_1_2_2_1"</definedName>
    <definedName name="__FPMExcelClient_CellBasedFunctionStatus" localSheetId="43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9" hidden="1">"1_1_2_2_1"</definedName>
    <definedName name="__FPMExcelClient_CellBasedFunctionStatus" localSheetId="21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DDetallCorrent!$A$1:$P$140</definedName>
    <definedName name="_xlnm.Print_Area" localSheetId="14">DOrg!$A$1:$P$61</definedName>
    <definedName name="_xlnm.Print_Area" localSheetId="16">Dsectors!$A$1:$P$17</definedName>
    <definedName name="_xlnm.Print_Area" localSheetId="11">DTProg!$A$1:$P$214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DDetallCorrent!$A$1:$P$140</definedName>
    <definedName name="Print_Area" localSheetId="11">DTProg!$A$1:$P$296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O21" i="28" l="1"/>
  <c r="O20" i="28"/>
  <c r="O22" i="103"/>
  <c r="O21" i="103"/>
  <c r="H11" i="86" l="1"/>
  <c r="P8" i="26"/>
  <c r="J11" i="24"/>
  <c r="D11" i="45" l="1"/>
  <c r="K14" i="44"/>
  <c r="H66" i="43" l="1"/>
  <c r="H58" i="43"/>
  <c r="E14" i="15" l="1"/>
  <c r="M11" i="86" l="1"/>
  <c r="K10" i="83" l="1"/>
  <c r="M11" i="81"/>
  <c r="N12" i="74" l="1"/>
  <c r="K12" i="74"/>
  <c r="P158" i="78" l="1"/>
  <c r="P159" i="78"/>
  <c r="N65" i="78"/>
  <c r="P41" i="78" l="1"/>
  <c r="P157" i="16"/>
  <c r="P158" i="16"/>
  <c r="N148" i="16" l="1"/>
  <c r="P145" i="16"/>
  <c r="K148" i="16"/>
  <c r="P137" i="16"/>
  <c r="M137" i="16"/>
  <c r="N121" i="16"/>
  <c r="P41" i="16" l="1"/>
  <c r="P127" i="45" l="1"/>
  <c r="P134" i="45"/>
  <c r="N105" i="45"/>
  <c r="K105" i="45"/>
  <c r="M102" i="45"/>
  <c r="P89" i="45"/>
  <c r="M89" i="45"/>
  <c r="P64" i="45"/>
  <c r="M64" i="45"/>
  <c r="M37" i="45"/>
  <c r="K9" i="44" l="1"/>
  <c r="H7" i="44"/>
  <c r="J12" i="85" l="1"/>
  <c r="H12" i="85"/>
  <c r="F12" i="85"/>
  <c r="J11" i="84"/>
  <c r="H11" i="84"/>
  <c r="F11" i="84"/>
  <c r="J11" i="81"/>
  <c r="H11" i="81"/>
  <c r="F11" i="81"/>
  <c r="J11" i="80"/>
  <c r="H11" i="80"/>
  <c r="J12" i="28"/>
  <c r="H12" i="28"/>
  <c r="F12" i="28"/>
  <c r="P129" i="45" l="1"/>
  <c r="P128" i="45"/>
  <c r="J115" i="45"/>
  <c r="H115" i="45"/>
  <c r="M111" i="45"/>
  <c r="M100" i="45"/>
  <c r="I105" i="45"/>
  <c r="P77" i="45"/>
  <c r="K13" i="44" l="1"/>
  <c r="H59" i="43" l="1"/>
  <c r="K21" i="43"/>
  <c r="K44" i="43"/>
  <c r="H44" i="43"/>
  <c r="H28" i="43"/>
  <c r="H21" i="43"/>
  <c r="P166" i="78" l="1"/>
  <c r="P165" i="16"/>
  <c r="P11" i="88"/>
  <c r="P11" i="85"/>
  <c r="P11" i="80"/>
  <c r="M11" i="80"/>
  <c r="P11" i="79"/>
  <c r="M11" i="79"/>
  <c r="S14" i="1" l="1"/>
  <c r="S12" i="1"/>
  <c r="P11" i="22"/>
  <c r="P12" i="23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3" i="16" l="1"/>
  <c r="P175" i="16"/>
  <c r="M175" i="16"/>
  <c r="P152" i="16"/>
  <c r="P153" i="16"/>
  <c r="P155" i="16"/>
  <c r="P156" i="16"/>
  <c r="P161" i="16"/>
  <c r="P162" i="16"/>
  <c r="P163" i="16"/>
  <c r="P164" i="16"/>
  <c r="P166" i="16"/>
  <c r="P168" i="16"/>
  <c r="P169" i="16"/>
  <c r="P170" i="16"/>
  <c r="P171" i="16"/>
  <c r="P101" i="16"/>
  <c r="P102" i="16"/>
  <c r="P103" i="16"/>
  <c r="P104" i="16"/>
  <c r="P105" i="16"/>
  <c r="P106" i="16"/>
  <c r="P108" i="16"/>
  <c r="P109" i="16"/>
  <c r="P110" i="16"/>
  <c r="P111" i="16"/>
  <c r="P112" i="16"/>
  <c r="P113" i="16"/>
  <c r="P115" i="16"/>
  <c r="P116" i="16"/>
  <c r="P117" i="16"/>
  <c r="P118" i="16"/>
  <c r="P119" i="16"/>
  <c r="P120" i="16"/>
  <c r="M108" i="16"/>
  <c r="M109" i="16"/>
  <c r="M110" i="16"/>
  <c r="M111" i="16"/>
  <c r="M112" i="16"/>
  <c r="M113" i="16"/>
  <c r="P38" i="16" l="1"/>
  <c r="P39" i="16"/>
  <c r="P40" i="16"/>
  <c r="P42" i="16"/>
  <c r="P43" i="16"/>
  <c r="P44" i="16"/>
  <c r="P45" i="16"/>
  <c r="P46" i="16"/>
  <c r="P48" i="16"/>
  <c r="P24" i="16" l="1"/>
  <c r="P18" i="16"/>
  <c r="M115" i="45"/>
  <c r="M110" i="45"/>
  <c r="P90" i="45"/>
  <c r="P91" i="45"/>
  <c r="P94" i="45"/>
  <c r="P83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P14" i="1"/>
  <c r="F149" i="16" l="1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I22" i="103" s="1"/>
  <c r="G10" i="103"/>
  <c r="G22" i="103" s="1"/>
  <c r="E10" i="103"/>
  <c r="E22" i="103" s="1"/>
  <c r="D10" i="103"/>
  <c r="D22" i="103" s="1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N22" i="103" l="1"/>
  <c r="P22" i="103" s="1"/>
  <c r="J22" i="103"/>
  <c r="G17" i="103"/>
  <c r="G21" i="103" s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F22" i="103" s="1"/>
  <c r="H10" i="103"/>
  <c r="H22" i="103" s="1"/>
  <c r="H13" i="103"/>
  <c r="E17" i="103"/>
  <c r="E21" i="103" s="1"/>
  <c r="I17" i="103"/>
  <c r="I21" i="103" s="1"/>
  <c r="J10" i="103"/>
  <c r="J13" i="103"/>
  <c r="H5" i="44"/>
  <c r="H13" i="44"/>
  <c r="N21" i="103" l="1"/>
  <c r="P21" i="103" s="1"/>
  <c r="H17" i="103"/>
  <c r="H21" i="103" s="1"/>
  <c r="D21" i="103"/>
  <c r="J21" i="103" s="1"/>
  <c r="F17" i="103"/>
  <c r="F21" i="103" s="1"/>
  <c r="M17" i="103"/>
  <c r="P17" i="103"/>
  <c r="J17" i="103"/>
  <c r="J11" i="88"/>
  <c r="H11" i="88"/>
  <c r="F11" i="88"/>
  <c r="P11" i="82"/>
  <c r="M11" i="82"/>
  <c r="J11" i="86"/>
  <c r="F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M10" i="20"/>
  <c r="P10" i="20"/>
  <c r="P8" i="20"/>
  <c r="N190" i="78" l="1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5" i="16"/>
  <c r="M190" i="16" l="1"/>
  <c r="P190" i="16"/>
  <c r="M188" i="16"/>
  <c r="M186" i="16"/>
  <c r="P188" i="16"/>
  <c r="P186" i="16"/>
  <c r="M179" i="16"/>
  <c r="P179" i="16"/>
  <c r="M115" i="16"/>
  <c r="M116" i="16"/>
  <c r="M117" i="16"/>
  <c r="M118" i="16"/>
  <c r="M119" i="16"/>
  <c r="M120" i="16"/>
  <c r="P143" i="16"/>
  <c r="P135" i="16"/>
  <c r="P127" i="16"/>
  <c r="J190" i="16" l="1"/>
  <c r="H190" i="16"/>
  <c r="F190" i="16"/>
  <c r="F165" i="16"/>
  <c r="P72" i="16" l="1"/>
  <c r="P63" i="16"/>
  <c r="M63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2" i="45" l="1"/>
  <c r="H82" i="45"/>
  <c r="F82" i="45"/>
  <c r="P136" i="45"/>
  <c r="M136" i="45"/>
  <c r="M134" i="45"/>
  <c r="P130" i="45"/>
  <c r="M129" i="45"/>
  <c r="M128" i="45"/>
  <c r="M127" i="45"/>
  <c r="P122" i="45"/>
  <c r="M123" i="45"/>
  <c r="P120" i="45"/>
  <c r="P115" i="45"/>
  <c r="P110" i="45"/>
  <c r="P103" i="45"/>
  <c r="M103" i="45"/>
  <c r="M90" i="45"/>
  <c r="M91" i="45"/>
  <c r="P87" i="45"/>
  <c r="M87" i="45"/>
  <c r="M86" i="45"/>
  <c r="P86" i="45"/>
  <c r="P85" i="45"/>
  <c r="M85" i="45"/>
  <c r="M83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N21" i="28" s="1"/>
  <c r="K10" i="28"/>
  <c r="G10" i="28"/>
  <c r="G21" i="28" s="1"/>
  <c r="E10" i="28"/>
  <c r="E21" i="28" s="1"/>
  <c r="D10" i="28"/>
  <c r="D21" i="28" s="1"/>
  <c r="C10" i="28"/>
  <c r="I10" i="28" l="1"/>
  <c r="I21" i="28" s="1"/>
  <c r="P21" i="28" s="1"/>
  <c r="F8" i="46"/>
  <c r="J21" i="28" l="1"/>
  <c r="N16" i="100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K17" i="100" s="1"/>
  <c r="I10" i="100"/>
  <c r="G10" i="100"/>
  <c r="E10" i="100"/>
  <c r="D10" i="100"/>
  <c r="C10" i="100"/>
  <c r="C17" i="100" s="1"/>
  <c r="J8" i="100"/>
  <c r="H8" i="100"/>
  <c r="F8" i="100"/>
  <c r="J6" i="100"/>
  <c r="H6" i="100"/>
  <c r="F6" i="100"/>
  <c r="J5" i="100"/>
  <c r="H5" i="100"/>
  <c r="F5" i="100"/>
  <c r="F10" i="100" l="1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N27" i="16"/>
  <c r="K27" i="16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38" i="45"/>
  <c r="C138" i="45"/>
  <c r="C105" i="45"/>
  <c r="F88" i="45"/>
  <c r="J88" i="45"/>
  <c r="H88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2" i="16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4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D192" i="16"/>
  <c r="E192" i="16"/>
  <c r="D173" i="16"/>
  <c r="E173" i="16"/>
  <c r="F86" i="45" l="1"/>
  <c r="H86" i="45"/>
  <c r="J86" i="45"/>
  <c r="F87" i="45"/>
  <c r="H87" i="45"/>
  <c r="J87" i="45"/>
  <c r="F89" i="45"/>
  <c r="H89" i="45"/>
  <c r="J89" i="45"/>
  <c r="F90" i="45"/>
  <c r="H90" i="45"/>
  <c r="J90" i="45"/>
  <c r="F91" i="45"/>
  <c r="H91" i="45"/>
  <c r="J91" i="45"/>
  <c r="F94" i="45"/>
  <c r="H94" i="45"/>
  <c r="J94" i="45"/>
  <c r="F99" i="45"/>
  <c r="H99" i="45"/>
  <c r="J99" i="45"/>
  <c r="F100" i="45"/>
  <c r="H100" i="45"/>
  <c r="J100" i="45"/>
  <c r="F102" i="45"/>
  <c r="H102" i="45"/>
  <c r="J102" i="45"/>
  <c r="F103" i="45"/>
  <c r="H103" i="45"/>
  <c r="J103" i="45"/>
  <c r="D105" i="45"/>
  <c r="E105" i="45"/>
  <c r="G105" i="45"/>
  <c r="E8" i="44"/>
  <c r="D60" i="43"/>
  <c r="I11" i="15"/>
  <c r="H5" i="1"/>
  <c r="F105" i="45" l="1"/>
  <c r="J105" i="45"/>
  <c r="H105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20" i="28" s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N6" i="78"/>
  <c r="K6" i="78"/>
  <c r="K6" i="16"/>
  <c r="N61" i="45"/>
  <c r="N138" i="45"/>
  <c r="K138" i="45"/>
  <c r="N65" i="45"/>
  <c r="K65" i="45"/>
  <c r="N139" i="45" l="1"/>
  <c r="N140" i="45" s="1"/>
  <c r="K139" i="45"/>
  <c r="K140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F52" i="45"/>
  <c r="J134" i="45" l="1"/>
  <c r="H134" i="45"/>
  <c r="F134" i="45"/>
  <c r="J129" i="45"/>
  <c r="J130" i="45"/>
  <c r="J131" i="45"/>
  <c r="J132" i="45"/>
  <c r="H129" i="45"/>
  <c r="H130" i="45"/>
  <c r="H131" i="45"/>
  <c r="H132" i="45"/>
  <c r="F129" i="45"/>
  <c r="F130" i="45"/>
  <c r="F131" i="45"/>
  <c r="F132" i="45"/>
  <c r="J126" i="45"/>
  <c r="H126" i="45"/>
  <c r="F126" i="45"/>
  <c r="J123" i="45"/>
  <c r="H123" i="45"/>
  <c r="F123" i="45"/>
  <c r="J111" i="45"/>
  <c r="H111" i="45"/>
  <c r="F111" i="45"/>
  <c r="J83" i="45"/>
  <c r="J85" i="45"/>
  <c r="H83" i="45"/>
  <c r="H84" i="45"/>
  <c r="H85" i="45"/>
  <c r="F83" i="45"/>
  <c r="F84" i="45"/>
  <c r="F85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D213" i="16"/>
  <c r="I192" i="16"/>
  <c r="G192" i="16"/>
  <c r="I148" i="16"/>
  <c r="G148" i="16"/>
  <c r="E148" i="16"/>
  <c r="D148" i="16"/>
  <c r="J137" i="45" l="1"/>
  <c r="H137" i="45"/>
  <c r="F137" i="45"/>
  <c r="F14" i="44" l="1"/>
  <c r="F7" i="44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8" i="16"/>
  <c r="H108" i="16"/>
  <c r="J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C121" i="16"/>
  <c r="D121" i="16"/>
  <c r="E121" i="16"/>
  <c r="G121" i="16"/>
  <c r="I121" i="16"/>
  <c r="K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P146" i="16"/>
  <c r="F147" i="16"/>
  <c r="H147" i="16"/>
  <c r="J147" i="16"/>
  <c r="M147" i="16"/>
  <c r="P147" i="16"/>
  <c r="H149" i="16"/>
  <c r="J149" i="16"/>
  <c r="M149" i="16"/>
  <c r="P149" i="16"/>
  <c r="H150" i="16"/>
  <c r="J150" i="16"/>
  <c r="M150" i="16"/>
  <c r="P150" i="16"/>
  <c r="H152" i="16"/>
  <c r="J152" i="16"/>
  <c r="M152" i="16"/>
  <c r="H153" i="16"/>
  <c r="J153" i="16"/>
  <c r="M153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F166" i="16"/>
  <c r="H166" i="16"/>
  <c r="J166" i="16"/>
  <c r="M166" i="16"/>
  <c r="F167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E213" i="16"/>
  <c r="F213" i="16" s="1"/>
  <c r="G213" i="16"/>
  <c r="H213" i="16" s="1"/>
  <c r="I213" i="16"/>
  <c r="J213" i="16" s="1"/>
  <c r="K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P13" i="87" s="1"/>
  <c r="G13" i="87"/>
  <c r="M13" i="87" s="1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M13" i="86" s="1"/>
  <c r="E13" i="86"/>
  <c r="F13" i="86" s="1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J13" i="84" l="1"/>
  <c r="M13" i="84"/>
  <c r="P13" i="88"/>
  <c r="M13" i="88"/>
  <c r="D17" i="82"/>
  <c r="P13" i="85"/>
  <c r="N17" i="86"/>
  <c r="K17" i="86"/>
  <c r="J13" i="86"/>
  <c r="H13" i="86"/>
  <c r="P13" i="83"/>
  <c r="F13" i="84"/>
  <c r="P13" i="82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M13" i="81" s="1"/>
  <c r="E13" i="81"/>
  <c r="D13" i="81"/>
  <c r="C13" i="81"/>
  <c r="N10" i="81"/>
  <c r="K10" i="81"/>
  <c r="K17" i="81" s="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F17" i="82" l="1"/>
  <c r="F17" i="84"/>
  <c r="N17" i="81"/>
  <c r="F17" i="85"/>
  <c r="F13" i="81"/>
  <c r="P13" i="80"/>
  <c r="M13" i="80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I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E79" i="16"/>
  <c r="D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M12" i="76" s="1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N211" i="78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5" i="45"/>
  <c r="M133" i="45"/>
  <c r="M132" i="45"/>
  <c r="M131" i="45"/>
  <c r="M130" i="45"/>
  <c r="M126" i="45"/>
  <c r="M124" i="45"/>
  <c r="M122" i="45"/>
  <c r="M120" i="45"/>
  <c r="M119" i="45"/>
  <c r="M117" i="45"/>
  <c r="M116" i="45"/>
  <c r="M94" i="45"/>
  <c r="M84" i="45"/>
  <c r="M81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D211" i="78" l="1"/>
  <c r="E211" i="78"/>
  <c r="G211" i="78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0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P12" i="76" s="1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G12" i="74"/>
  <c r="E12" i="74"/>
  <c r="D12" i="74"/>
  <c r="C12" i="74"/>
  <c r="I9" i="74"/>
  <c r="G9" i="74"/>
  <c r="M9" i="74" s="1"/>
  <c r="E9" i="74"/>
  <c r="D9" i="74"/>
  <c r="C9" i="74"/>
  <c r="P8" i="74"/>
  <c r="P6" i="74"/>
  <c r="P5" i="74"/>
  <c r="E16" i="76" l="1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H8" i="44" s="1"/>
  <c r="D8" i="44"/>
  <c r="F8" i="44" l="1"/>
  <c r="P11" i="23" l="1"/>
  <c r="P6" i="23"/>
  <c r="H8" i="27" l="1"/>
  <c r="I14" i="15" l="1"/>
  <c r="P8" i="27" l="1"/>
  <c r="P35" i="16" l="1"/>
  <c r="J55" i="16" l="1"/>
  <c r="J48" i="16"/>
  <c r="J40" i="16"/>
  <c r="J41" i="16"/>
  <c r="J42" i="16"/>
  <c r="J122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6" i="45" l="1"/>
  <c r="P81" i="45"/>
  <c r="P63" i="45"/>
  <c r="K43" i="43"/>
  <c r="J8" i="24" l="1"/>
  <c r="H8" i="24"/>
  <c r="F133" i="45" l="1"/>
  <c r="H122" i="45"/>
  <c r="H124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H12" i="24" s="1"/>
  <c r="C10" i="24"/>
  <c r="P34" i="16" l="1"/>
  <c r="P12" i="16"/>
  <c r="E17" i="13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2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4" i="45" l="1"/>
  <c r="J116" i="45"/>
  <c r="J117" i="45"/>
  <c r="J119" i="45"/>
  <c r="J120" i="45"/>
  <c r="I27" i="1" l="1"/>
  <c r="E27" i="1"/>
  <c r="G27" i="1"/>
  <c r="O27" i="1" l="1"/>
  <c r="J5" i="20"/>
  <c r="J6" i="20"/>
  <c r="J10" i="20"/>
  <c r="H10" i="20" l="1"/>
  <c r="J39" i="45"/>
  <c r="J40" i="45"/>
  <c r="H39" i="45"/>
  <c r="H40" i="45"/>
  <c r="P132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38" i="45"/>
  <c r="I138" i="45"/>
  <c r="G138" i="45"/>
  <c r="M138" i="45" s="1"/>
  <c r="G6" i="14"/>
  <c r="G7" i="14" s="1"/>
  <c r="D139" i="45" l="1"/>
  <c r="F138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0" i="45"/>
  <c r="F110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7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D20" i="28" s="1"/>
  <c r="P16" i="23"/>
  <c r="F10" i="28"/>
  <c r="F21" i="28" s="1"/>
  <c r="P10" i="28"/>
  <c r="J13" i="28"/>
  <c r="I17" i="28"/>
  <c r="F13" i="28"/>
  <c r="H13" i="28"/>
  <c r="H10" i="28"/>
  <c r="H21" i="28" s="1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I20" i="28"/>
  <c r="P20" i="28" s="1"/>
  <c r="M17" i="28"/>
  <c r="G20" i="28"/>
  <c r="H17" i="28"/>
  <c r="H20" i="28" s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E59" i="13"/>
  <c r="D59" i="13"/>
  <c r="J20" i="28" l="1"/>
  <c r="F14" i="42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I17" i="13"/>
  <c r="G17" i="13"/>
  <c r="M17" i="13" s="1"/>
  <c r="E29" i="13"/>
  <c r="D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6" i="45"/>
  <c r="H136" i="45"/>
  <c r="F136" i="45"/>
  <c r="P135" i="45"/>
  <c r="J135" i="45"/>
  <c r="H135" i="45"/>
  <c r="F135" i="45"/>
  <c r="P133" i="45"/>
  <c r="J133" i="45"/>
  <c r="H133" i="45"/>
  <c r="J127" i="45"/>
  <c r="H127" i="45"/>
  <c r="F127" i="45"/>
  <c r="J128" i="45"/>
  <c r="H128" i="45"/>
  <c r="F128" i="45"/>
  <c r="J124" i="45"/>
  <c r="F124" i="45"/>
  <c r="P131" i="45"/>
  <c r="H120" i="45"/>
  <c r="F120" i="45"/>
  <c r="P119" i="45"/>
  <c r="H119" i="45"/>
  <c r="F119" i="45"/>
  <c r="H117" i="45"/>
  <c r="F117" i="45"/>
  <c r="H116" i="45"/>
  <c r="F116" i="45"/>
  <c r="F80" i="16" l="1"/>
  <c r="J80" i="16"/>
  <c r="H80" i="16"/>
  <c r="P79" i="16"/>
  <c r="P138" i="45"/>
  <c r="J138" i="45"/>
  <c r="H138" i="45"/>
  <c r="E139" i="45" l="1"/>
  <c r="F139" i="45" s="1"/>
  <c r="C139" i="45"/>
  <c r="G139" i="45" l="1"/>
  <c r="M139" i="45" s="1"/>
  <c r="M105" i="45"/>
  <c r="I139" i="45"/>
  <c r="P105" i="45"/>
  <c r="J81" i="45"/>
  <c r="H81" i="45"/>
  <c r="F81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39" i="45" l="1"/>
  <c r="P139" i="45"/>
  <c r="J139" i="45"/>
  <c r="I65" i="45"/>
  <c r="P65" i="45" s="1"/>
  <c r="G65" i="45"/>
  <c r="M65" i="45" s="1"/>
  <c r="E65" i="45"/>
  <c r="D65" i="45"/>
  <c r="C65" i="45"/>
  <c r="C140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0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0" i="45"/>
  <c r="S16" i="1"/>
  <c r="E17" i="1"/>
  <c r="C4" i="42" s="1"/>
  <c r="H16" i="1"/>
  <c r="H13" i="1"/>
  <c r="G140" i="45"/>
  <c r="M140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40" i="45"/>
  <c r="F140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H68" i="43" s="1"/>
  <c r="K14" i="43"/>
  <c r="F68" i="43"/>
  <c r="H11" i="14"/>
  <c r="J11" i="14" s="1"/>
  <c r="H5" i="14" l="1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0" i="45" l="1"/>
  <c r="J140" i="45" l="1"/>
  <c r="P140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E20" i="28" s="1"/>
  <c r="H16" i="22" l="1"/>
  <c r="M16" i="22"/>
  <c r="D15" i="42"/>
  <c r="H13" i="42"/>
  <c r="F13" i="42"/>
  <c r="F17" i="28"/>
  <c r="F20" i="28" s="1"/>
  <c r="P16" i="22"/>
  <c r="K30" i="1"/>
  <c r="O30" i="1" s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<sst xmlns="http://schemas.openxmlformats.org/spreadsheetml/2006/main" count="3924" uniqueCount="787">
  <si>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</si>
  <si>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</si>
  <si>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</si>
  <si>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</si>
  <si>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</si>
  <si>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</si>
  <si>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</si>
  <si>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</si>
  <si>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</si>
  <si>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</si>
  <si>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</si>
  <si>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</si>
  <si>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</si>
  <si>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</si>
  <si>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</si>
  <si>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</si>
  <si>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</si>
  <si>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</si>
  <si>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</si>
  <si>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</si>
  <si>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</si>
  <si>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</si>
  <si>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</si>
  <si>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</si>
  <si>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</si>
  <si>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</si>
  <si>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</si>
  <si>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</si>
  <si>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</si>
  <si>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</si>
  <si>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</si>
  <si>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</si>
  <si>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</si>
  <si>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</si>
  <si>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</si>
  <si>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</si>
  <si>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</si>
  <si>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</si>
  <si>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</si>
  <si>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</si>
  <si>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</si>
  <si>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</si>
  <si>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</si>
  <si>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</si>
  <si>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</si>
  <si>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</si>
  <si>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</si>
  <si>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</si>
  <si>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</si>
  <si>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</si>
  <si>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</si>
  <si>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</si>
  <si>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</si>
  <si>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</si>
  <si>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</si>
  <si>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</si>
  <si>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</si>
  <si>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</si>
  <si>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</si>
  <si>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</si>
  <si>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</si>
  <si>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</si>
  <si>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</si>
  <si>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</si>
  <si>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</si>
  <si>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</si>
  <si>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</si>
  <si>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</si>
  <si>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</si>
  <si>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</si>
  <si>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</si>
  <si>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</si>
  <si>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</si>
  <si>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</si>
  <si>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</si>
  <si>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</si>
  <si>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</si>
  <si>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</si>
  <si>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</si>
  <si>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</si>
  <si>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</si>
  <si>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</si>
  <si>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</si>
  <si>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</si>
  <si>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</si>
  <si>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</si>
  <si>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</si>
  <si>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</si>
  <si>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</si>
  <si>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</si>
  <si>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</si>
  <si>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</si>
  <si>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</si>
  <si>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</si>
  <si>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</si>
  <si>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</si>
  <si>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</si>
  <si>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</si>
  <si>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</si>
  <si>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</si>
  <si>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</si>
  <si>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</si>
  <si>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</si>
  <si>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</si>
  <si>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</si>
  <si>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</si>
  <si>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</si>
  <si>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</si>
  <si>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</si>
  <si>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</si>
  <si>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</si>
  <si>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</si>
  <si>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</si>
  <si>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</si>
  <si>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</si>
  <si>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</si>
  <si>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</si>
  <si>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</si>
  <si>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</si>
  <si>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</si>
  <si>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</si>
  <si>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</si>
  <si>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</si>
  <si>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</si>
  <si>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</si>
  <si>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</si>
  <si>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</si>
  <si>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</si>
  <si>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</si>
  <si>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</si>
  <si>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</si>
  <si>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</si>
  <si>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</si>
  <si>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</si>
  <si>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</si>
  <si>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</si>
  <si>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</si>
  <si>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</si>
  <si>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</si>
  <si>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</si>
  <si>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</si>
  <si>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</si>
  <si>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</si>
  <si>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</si>
  <si>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</si>
  <si>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</si>
  <si>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</si>
  <si>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</si>
  <si>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</si>
  <si>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</si>
  <si>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</si>
  <si>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</si>
  <si>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</si>
  <si>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</si>
  <si>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</si>
  <si>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</si>
  <si>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</si>
  <si>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</si>
  <si>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</si>
  <si>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</si>
  <si>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</si>
  <si>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</si>
  <si>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</si>
  <si>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</si>
  <si>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</si>
  <si>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</si>
  <si>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</si>
  <si>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</si>
  <si>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</si>
  <si>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</si>
  <si>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</si>
  <si>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</si>
  <si>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</si>
  <si>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</si>
  <si>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</si>
  <si>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</si>
  <si>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</si>
  <si>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</si>
  <si>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</si>
  <si>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</si>
  <si>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</si>
  <si>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</si>
  <si>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</si>
  <si>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</si>
  <si>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</si>
  <si>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</si>
  <si>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</si>
  <si>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</si>
  <si>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</si>
  <si>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</si>
  <si>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</si>
  <si>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</si>
  <si>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</si>
  <si>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</si>
  <si>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</si>
  <si>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</si>
  <si>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</si>
  <si>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</si>
  <si>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</si>
  <si>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</si>
  <si>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</si>
  <si>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</si>
  <si>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</si>
  <si>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</si>
  <si>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</si>
  <si>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</si>
  <si>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</si>
  <si>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</si>
  <si>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</si>
  <si>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</si>
  <si>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</si>
  <si>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</si>
  <si>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</si>
  <si>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</si>
  <si>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</si>
  <si>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</si>
  <si>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</si>
  <si>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</si>
  <si>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</si>
  <si>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</si>
  <si>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</si>
  <si>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</si>
  <si>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</si>
  <si>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</si>
  <si>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</si>
  <si>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</si>
  <si>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</si>
  <si>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</si>
  <si>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</si>
  <si>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</si>
  <si>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</si>
  <si>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</si>
  <si>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</si>
  <si>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</si>
  <si>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</si>
  <si>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</si>
  <si>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</si>
  <si>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</si>
  <si>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</si>
  <si>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</si>
  <si>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</si>
  <si>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</si>
  <si>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</si>
  <si>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</si>
  <si>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</si>
  <si>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</si>
  <si>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</si>
  <si>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</si>
  <si>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</si>
  <si>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</si>
  <si>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</si>
  <si>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</si>
  <si>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</si>
  <si>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</si>
  <si>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</si>
  <si>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</si>
  <si>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</si>
  <si>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</si>
  <si>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</si>
  <si>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</si>
  <si>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</si>
  <si>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</si>
  <si>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</si>
  <si>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</si>
  <si>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</si>
  <si>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</si>
  <si>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</si>
  <si>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</si>
  <si>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</si>
  <si>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</si>
  <si>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</si>
  <si>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</si>
  <si>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</si>
  <si>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</si>
  <si>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</si>
  <si>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</si>
  <si>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</si>
  <si>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</si>
  <si>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</si>
  <si>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</si>
  <si>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</si>
  <si>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</si>
  <si>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</si>
  <si>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</si>
  <si>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</si>
  <si>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</si>
  <si>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</si>
  <si>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</si>
  <si>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</si>
  <si>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</si>
  <si>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</si>
  <si>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</si>
  <si>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</si>
  <si>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</si>
  <si>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</si>
  <si>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</si>
  <si>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</si>
  <si>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</si>
  <si>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</si>
  <si>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</si>
  <si>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</si>
  <si>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</si>
  <si>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</si>
  <si>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</si>
  <si>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</si>
  <si>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</si>
  <si>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</si>
  <si>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</si>
  <si>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</si>
  <si>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</si>
  <si>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</si>
  <si>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</si>
  <si>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</si>
  <si>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</si>
  <si>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</si>
  <si>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</si>
  <si>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</si>
  <si>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</si>
  <si>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</si>
  <si>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</si>
  <si>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</si>
  <si>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</si>
  <si>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</si>
  <si>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</si>
  <si>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</si>
  <si>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</si>
  <si>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</si>
  <si>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</si>
  <si>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</si>
  <si>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</si>
  <si>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</si>
  <si>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</si>
  <si>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</si>
  <si>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</si>
  <si>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</si>
  <si>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</si>
  <si>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</si>
  <si>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</si>
  <si>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</si>
  <si>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</si>
  <si>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</si>
  <si>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</si>
  <si>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</si>
  <si>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</si>
  <si>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</si>
  <si>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</si>
  <si>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</si>
  <si>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</si>
  <si>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</si>
  <si>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</si>
  <si>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</si>
  <si>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</si>
  <si>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</si>
  <si>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</si>
  <si>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</si>
  <si>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</si>
  <si>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</si>
  <si>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</si>
  <si>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</si>
  <si>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</si>
  <si>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</si>
  <si>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</si>
  <si>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</si>
  <si>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</si>
  <si>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</si>
  <si>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</si>
  <si>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</si>
  <si>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</si>
  <si>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</si>
  <si>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</si>
  <si>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</si>
  <si>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</si>
  <si>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</si>
  <si>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</si>
  <si>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</si>
  <si>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</si>
  <si>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</si>
  <si>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</si>
  <si>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</si>
  <si>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</si>
  <si>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</si>
  <si>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</si>
  <si>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</si>
  <si>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</si>
  <si>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</si>
  <si>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</si>
  <si>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</si>
  <si>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</si>
  <si>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</si>
  <si>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</si>
  <si>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</si>
  <si>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</si>
  <si>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</si>
  <si>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</si>
  <si>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</si>
  <si>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</si>
  <si>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</si>
  <si>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</si>
  <si>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</si>
  <si>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</si>
  <si>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</si>
  <si>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</si>
  <si>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</si>
  <si>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</si>
  <si>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</si>
  <si>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</si>
  <si>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</si>
  <si>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</si>
  <si>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</si>
  <si>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</si>
  <si>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</si>
  <si>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</si>
  <si>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</si>
  <si>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</si>
  <si>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</si>
  <si>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</si>
  <si>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</si>
  <si>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</si>
  <si>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</si>
  <si>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</si>
  <si>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</si>
  <si>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</si>
  <si>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</si>
  <si>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</si>
  <si>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</si>
  <si>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</si>
  <si>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</si>
  <si>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</si>
  <si>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</si>
  <si>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</si>
  <si>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</si>
  <si>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</si>
  <si>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</si>
  <si>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</si>
  <si>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</si>
  <si>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</si>
  <si>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</si>
  <si>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</si>
  <si>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</si>
  <si>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</si>
  <si>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</si>
  <si>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</si>
  <si>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</si>
  <si>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</si>
  <si>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</si>
  <si>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</si>
  <si>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</si>
  <si>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</si>
  <si>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</si>
  <si>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</si>
  <si>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</si>
  <si>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</si>
  <si>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</si>
  <si>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</si>
  <si>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</si>
  <si>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</si>
  <si>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</si>
  <si>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</si>
  <si>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</si>
  <si>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</si>
  <si>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</si>
  <si>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</si>
  <si>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</si>
  <si>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</si>
  <si>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</si>
  <si>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</si>
  <si>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</si>
  <si>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</si>
  <si>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</si>
  <si>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</si>
  <si>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</si>
  <si>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</si>
  <si>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</si>
  <si>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</si>
  <si>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</si>
  <si>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</si>
  <si>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</si>
  <si>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</si>
  <si>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</si>
  <si>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</si>
  <si>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</si>
  <si>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</si>
  <si>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</si>
  <si>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</si>
  <si>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</si>
  <si>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</si>
  <si>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</si>
  <si>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</si>
  <si>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</si>
  <si>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</si>
  <si>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</si>
  <si>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</si>
  <si>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</si>
  <si>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</si>
  <si>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</si>
  <si>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</si>
  <si>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</si>
  <si>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</si>
  <si>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</si>
  <si>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</si>
  <si>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</si>
  <si>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</si>
  <si>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</si>
  <si>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</si>
  <si>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</si>
  <si>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</si>
  <si>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</si>
  <si>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</si>
  <si>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</si>
  <si>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</si>
  <si>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</si>
  <si>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</si>
  <si>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</si>
  <si>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</si>
  <si>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</si>
  <si>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</si>
  <si>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</si>
  <si>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</si>
  <si>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</si>
  <si>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</si>
  <si>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</si>
  <si>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</si>
  <si>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</si>
  <si>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</si>
  <si>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</si>
  <si>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</si>
  <si>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</si>
  <si>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</si>
  <si>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</si>
  <si>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</si>
  <si>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</si>
  <si>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</si>
  <si>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</si>
  <si>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</si>
  <si>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</si>
  <si>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</si>
  <si>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</si>
  <si>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</si>
  <si>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</si>
  <si>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</si>
  <si>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</si>
  <si>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</si>
  <si>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</si>
  <si>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</si>
  <si>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</si>
  <si>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</si>
  <si>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</si>
  <si>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</si>
  <si>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</si>
  <si>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</si>
  <si>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</si>
  <si>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</si>
  <si>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</si>
  <si>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</si>
  <si>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</si>
  <si>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</si>
  <si>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</si>
  <si>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</si>
  <si>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</si>
  <si>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</si>
  <si>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</si>
  <si>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</si>
  <si>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</si>
  <si>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</si>
  <si>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</si>
  <si>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</si>
  <si>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</si>
  <si>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</si>
  <si>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</si>
  <si>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</si>
  <si>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</si>
  <si>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</si>
  <si>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</si>
  <si>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</si>
  <si>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</si>
  <si>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</si>
  <si>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</si>
  <si>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</si>
  <si>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</si>
  <si>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</si>
  <si>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</si>
  <si>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</si>
  <si>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</si>
  <si>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</si>
  <si>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</si>
  <si>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</si>
  <si>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</si>
  <si>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</si>
  <si>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</si>
  <si>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</si>
  <si>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</si>
  <si>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</si>
  <si>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</si>
  <si>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</si>
  <si>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</si>
  <si>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</si>
  <si>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</si>
  <si>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</si>
  <si>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</si>
  <si>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</si>
  <si>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</si>
  <si>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</si>
  <si>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</si>
  <si>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</si>
  <si>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</si>
  <si>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</si>
  <si>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</si>
  <si>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</si>
  <si>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</si>
  <si>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</si>
  <si>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</si>
  <si>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</si>
  <si>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</si>
  <si>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</si>
  <si>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</si>
  <si>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</si>
  <si>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</si>
  <si>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</si>
  <si>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</si>
  <si>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</si>
  <si>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</si>
  <si>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</si>
  <si>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</si>
  <si>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</si>
  <si>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</si>
  <si>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</si>
  <si>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</si>
  <si>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</si>
  <si>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</si>
  <si>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</si>
  <si>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</si>
  <si>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</si>
  <si>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</si>
  <si>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</si>
  <si>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</si>
  <si>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</si>
  <si>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</si>
  <si>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</si>
  <si>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</si>
  <si>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</si>
  <si>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</si>
  <si>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</si>
  <si>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</si>
  <si>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</si>
  <si>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</si>
  <si>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</si>
  <si>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</si>
  <si>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</si>
  <si>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</si>
  <si>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</si>
  <si>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</si>
  <si>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</si>
  <si>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</si>
  <si>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</si>
  <si>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</si>
  <si>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</si>
  <si>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</si>
  <si>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</si>
  <si>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</si>
  <si>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</si>
  <si>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</si>
  <si>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</si>
  <si>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</si>
  <si>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</si>
  <si>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</si>
  <si>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</si>
  <si>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</si>
  <si>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</si>
  <si>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</si>
  <si>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</si>
  <si>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</si>
  <si>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</si>
  <si>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</si>
  <si>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</si>
  <si>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</si>
  <si>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</si>
  <si>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</si>
  <si>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</si>
  <si>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</si>
  <si>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</si>
  <si>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</si>
  <si>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</si>
  <si>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</si>
  <si>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</si>
  <si>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</si>
  <si>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</si>
  <si>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</si>
  <si>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</si>
  <si>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</si>
  <si>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</si>
  <si>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</si>
  <si>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</si>
  <si>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</si>
  <si>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</si>
  <si>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</si>
  <si>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</si>
  <si>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</si>
  <si>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</si>
  <si>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</si>
  <si>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</si>
  <si>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</si>
  <si>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</si>
  <si>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</si>
  <si>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</si>
  <si>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</si>
  <si>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</si>
  <si>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</si>
  <si>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</si>
  <si>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</si>
  <si>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</si>
  <si>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</si>
  <si>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</si>
  <si>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</si>
  <si>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</si>
  <si>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</si>
  <si>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</si>
  <si>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</si>
  <si>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</si>
  <si>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</si>
  <si>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</si>
  <si>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</si>
  <si>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</si>
  <si>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</si>
  <si>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</si>
  <si>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</si>
  <si>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</si>
  <si>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</si>
  <si>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</si>
  <si>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</si>
  <si>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</si>
  <si>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</si>
  <si>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</si>
  <si>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</si>
  <si>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</si>
  <si>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</si>
  <si>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</si>
  <si>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</si>
  <si>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</si>
  <si>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</si>
  <si>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</si>
  <si>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</si>
  <si>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</si>
  <si>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</si>
  <si>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</si>
  <si>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</si>
  <si>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</si>
  <si>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</si>
  <si>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</si>
  <si>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</si>
  <si>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</si>
  <si>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</si>
  <si>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</si>
  <si>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</si>
  <si>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</si>
  <si>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</si>
  <si>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</si>
  <si>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</si>
  <si>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</si>
  <si>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</si>
  <si>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</si>
  <si>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</si>
  <si>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</si>
  <si>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</si>
  <si>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</si>
  <si>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</si>
  <si>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</si>
  <si>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</si>
  <si>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</si>
  <si>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</si>
  <si>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</si>
  <si>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</si>
  <si>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</si>
  <si>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</si>
  <si>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</si>
  <si>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</si>
  <si>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</si>
  <si>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</si>
  <si>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sense cap.1</t>
  </si>
  <si>
    <t>A Maig</t>
  </si>
  <si>
    <t>Maig</t>
  </si>
  <si>
    <t>Maig 2017</t>
  </si>
  <si>
    <t>Maig 2016</t>
  </si>
  <si>
    <t xml:space="preserve">Maig 2016 </t>
  </si>
  <si>
    <t>Anàlisi modificacions de crèdit per capítols Maig 2017</t>
  </si>
  <si>
    <t>Gerència de Política Econòmica i Desenvolupament Local</t>
  </si>
  <si>
    <t>Execució de despeses. Gerència de Política Econòmica i Desenvolupament Local</t>
  </si>
  <si>
    <t>44400-01-02-03-04-05-06-07-08-09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</si>
</sst>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9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0" fontId="27" fillId="0" borderId="0" applyNumberFormat="0" applyFill="0" applyBorder="0" applyAlignment="0" applyProtection="0"/>
    <xf numFmtId="9" fontId="3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/>
    <xf numFmtId="0" fontId="46" fillId="0" borderId="0"/>
    <xf numFmtId="0" fontId="42" fillId="0" borderId="0"/>
    <xf numFmtId="0" fontId="46" fillId="0" borderId="0"/>
    <xf numFmtId="0" fontId="42" fillId="0" borderId="0"/>
    <xf numFmtId="0" fontId="48" fillId="0" borderId="0"/>
    <xf numFmtId="0" fontId="42" fillId="0" borderId="0"/>
    <xf numFmtId="0" fontId="51" fillId="0" borderId="0" applyNumberFormat="0" applyFill="0" applyBorder="0" applyAlignment="0" applyProtection="0"/>
    <xf numFmtId="0" fontId="26" fillId="0" borderId="0"/>
    <xf numFmtId="0" fontId="67" fillId="0" borderId="107" applyNumberFormat="0" applyFill="0" applyAlignment="0" applyProtection="0"/>
    <xf numFmtId="0" fontId="68" fillId="0" borderId="108" applyNumberFormat="0" applyFill="0" applyAlignment="0" applyProtection="0"/>
    <xf numFmtId="0" fontId="27" fillId="0" borderId="109" applyNumberFormat="0" applyFill="0" applyAlignment="0" applyProtection="0"/>
    <xf numFmtId="0" fontId="69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6" borderId="0" applyNumberFormat="0" applyBorder="0" applyAlignment="0" applyProtection="0"/>
    <xf numFmtId="0" fontId="72" fillId="7" borderId="110" applyNumberFormat="0" applyAlignment="0" applyProtection="0"/>
    <xf numFmtId="0" fontId="73" fillId="8" borderId="111" applyNumberFormat="0" applyAlignment="0" applyProtection="0"/>
    <xf numFmtId="0" fontId="74" fillId="8" borderId="110" applyNumberFormat="0" applyAlignment="0" applyProtection="0"/>
    <xf numFmtId="0" fontId="75" fillId="0" borderId="112" applyNumberFormat="0" applyFill="0" applyAlignment="0" applyProtection="0"/>
    <xf numFmtId="0" fontId="28" fillId="9" borderId="11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7" fillId="0" borderId="115" applyNumberFormat="0" applyFill="0" applyAlignment="0" applyProtection="0"/>
    <xf numFmtId="0" fontId="29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9" fillId="34" borderId="0" applyNumberFormat="0" applyBorder="0" applyAlignment="0" applyProtection="0"/>
    <xf numFmtId="0" fontId="42" fillId="0" borderId="0"/>
    <xf numFmtId="0" fontId="36" fillId="10" borderId="114" applyNumberFormat="0" applyFont="0" applyAlignment="0" applyProtection="0"/>
    <xf numFmtId="0" fontId="42" fillId="0" borderId="0"/>
    <xf numFmtId="0" fontId="36" fillId="10" borderId="114" applyNumberFormat="0" applyFont="0" applyAlignment="0" applyProtection="0"/>
    <xf numFmtId="0" fontId="36" fillId="10" borderId="114" applyNumberFormat="0" applyFont="0" applyAlignment="0" applyProtection="0"/>
    <xf numFmtId="0" fontId="36" fillId="10" borderId="114" applyNumberFormat="0" applyFont="0" applyAlignment="0" applyProtection="0"/>
    <xf numFmtId="0" fontId="42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4" applyNumberFormat="0" applyFont="0" applyAlignment="0" applyProtection="0"/>
    <xf numFmtId="0" fontId="36" fillId="17" borderId="0" applyNumberFormat="0" applyBorder="0" applyAlignment="0" applyProtection="0"/>
    <xf numFmtId="0" fontId="36" fillId="10" borderId="114" applyNumberFormat="0" applyFont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4" applyNumberFormat="0" applyFont="0" applyAlignment="0" applyProtection="0"/>
    <xf numFmtId="0" fontId="42" fillId="0" borderId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10" borderId="114" applyNumberFormat="0" applyFont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6" fillId="10" borderId="114" applyNumberFormat="0" applyFont="0" applyAlignment="0" applyProtection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4" fillId="0" borderId="0" applyNumberFormat="0" applyFill="0" applyBorder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10" applyNumberFormat="0" applyAlignment="0" applyProtection="0"/>
    <xf numFmtId="0" fontId="59" fillId="8" borderId="111" applyNumberFormat="0" applyAlignment="0" applyProtection="0"/>
    <xf numFmtId="0" fontId="60" fillId="8" borderId="110" applyNumberFormat="0" applyAlignment="0" applyProtection="0"/>
    <xf numFmtId="0" fontId="61" fillId="0" borderId="112" applyNumberFormat="0" applyFill="0" applyAlignment="0" applyProtection="0"/>
    <xf numFmtId="0" fontId="62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6" fillId="34" borderId="0" applyNumberFormat="0" applyBorder="0" applyAlignment="0" applyProtection="0"/>
    <xf numFmtId="0" fontId="25" fillId="0" borderId="0"/>
    <xf numFmtId="0" fontId="42" fillId="0" borderId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8" fillId="0" borderId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5" fillId="4" borderId="0" applyNumberFormat="0" applyBorder="0" applyAlignment="0" applyProtection="0"/>
    <xf numFmtId="0" fontId="56" fillId="5" borderId="0" applyNumberFormat="0" applyBorder="0" applyAlignment="0" applyProtection="0"/>
    <xf numFmtId="0" fontId="57" fillId="6" borderId="0" applyNumberFormat="0" applyBorder="0" applyAlignment="0" applyProtection="0"/>
    <xf numFmtId="0" fontId="58" fillId="7" borderId="110" applyNumberFormat="0" applyAlignment="0" applyProtection="0"/>
    <xf numFmtId="0" fontId="59" fillId="8" borderId="111" applyNumberFormat="0" applyAlignment="0" applyProtection="0"/>
    <xf numFmtId="0" fontId="60" fillId="8" borderId="110" applyNumberFormat="0" applyAlignment="0" applyProtection="0"/>
    <xf numFmtId="0" fontId="61" fillId="0" borderId="112" applyNumberFormat="0" applyFill="0" applyAlignment="0" applyProtection="0"/>
    <xf numFmtId="0" fontId="62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6" fillId="34" borderId="0" applyNumberFormat="0" applyBorder="0" applyAlignment="0" applyProtection="0"/>
    <xf numFmtId="0" fontId="24" fillId="0" borderId="0"/>
    <xf numFmtId="0" fontId="24" fillId="10" borderId="114" applyNumberFormat="0" applyFont="0" applyAlignment="0" applyProtection="0"/>
    <xf numFmtId="0" fontId="81" fillId="0" borderId="0"/>
    <xf numFmtId="0" fontId="42" fillId="0" borderId="0"/>
    <xf numFmtId="43" fontId="36" fillId="0" borderId="0" applyFont="0" applyFill="0" applyBorder="0" applyAlignment="0" applyProtection="0"/>
    <xf numFmtId="0" fontId="83" fillId="0" borderId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4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87" fillId="0" borderId="0"/>
    <xf numFmtId="9" fontId="20" fillId="0" borderId="0" applyFont="0" applyFill="0" applyBorder="0" applyAlignment="0" applyProtection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88" fillId="0" borderId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36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0" fillId="0" borderId="0"/>
    <xf numFmtId="0" fontId="16" fillId="0" borderId="0"/>
    <xf numFmtId="0" fontId="15" fillId="0" borderId="0"/>
    <xf numFmtId="0" fontId="14" fillId="0" borderId="0"/>
    <xf numFmtId="0" fontId="14" fillId="10" borderId="114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91" fillId="0" borderId="0"/>
    <xf numFmtId="0" fontId="12" fillId="0" borderId="0"/>
    <xf numFmtId="0" fontId="11" fillId="0" borderId="0"/>
    <xf numFmtId="0" fontId="11" fillId="10" borderId="114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0" borderId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2" fillId="0" borderId="0"/>
    <xf numFmtId="0" fontId="9" fillId="10" borderId="114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93" fillId="0" borderId="0"/>
    <xf numFmtId="0" fontId="4" fillId="10" borderId="114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93" fillId="0" borderId="0"/>
    <xf numFmtId="0" fontId="3" fillId="0" borderId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96" fillId="0" borderId="0"/>
    <xf numFmtId="0" fontId="1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7" fillId="0" borderId="0"/>
  </cellStyleXfs>
  <cellXfs count="779">
    <xf numFmtId="0" fontId="0" fillId="0" borderId="0" xfId="0"/>
    <xf numFmtId="0" fontId="29" fillId="2" borderId="0" xfId="0" applyFont="1" applyFill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1"/>
    <xf numFmtId="0" fontId="30" fillId="0" borderId="0" xfId="1" applyFont="1"/>
    <xf numFmtId="0" fontId="29" fillId="2" borderId="0" xfId="0" applyFont="1" applyFill="1" applyAlignment="1">
      <alignment vertical="center"/>
    </xf>
    <xf numFmtId="164" fontId="28" fillId="2" borderId="0" xfId="0" applyNumberFormat="1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0" fontId="32" fillId="0" borderId="5" xfId="0" quotePrefix="1" applyFont="1" applyBorder="1" applyAlignment="1">
      <alignment horizontal="center" vertical="center"/>
    </xf>
    <xf numFmtId="164" fontId="32" fillId="0" borderId="0" xfId="0" quotePrefix="1" applyNumberFormat="1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right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2" fillId="0" borderId="9" xfId="0" applyNumberFormat="1" applyFont="1" applyBorder="1" applyAlignment="1">
      <alignment horizontal="right" vertical="center"/>
    </xf>
    <xf numFmtId="0" fontId="32" fillId="0" borderId="8" xfId="0" quotePrefix="1" applyFont="1" applyBorder="1" applyAlignment="1">
      <alignment horizontal="center" vertical="center"/>
    </xf>
    <xf numFmtId="0" fontId="32" fillId="0" borderId="6" xfId="0" quotePrefix="1" applyFont="1" applyBorder="1" applyAlignment="1">
      <alignment horizontal="center" vertical="center"/>
    </xf>
    <xf numFmtId="0" fontId="32" fillId="0" borderId="9" xfId="0" quotePrefix="1" applyFont="1" applyBorder="1" applyAlignment="1">
      <alignment horizontal="center" vertical="center"/>
    </xf>
    <xf numFmtId="164" fontId="32" fillId="0" borderId="6" xfId="0" quotePrefix="1" applyNumberFormat="1" applyFont="1" applyBorder="1" applyAlignment="1">
      <alignment vertical="center"/>
    </xf>
    <xf numFmtId="3" fontId="32" fillId="0" borderId="6" xfId="0" applyNumberFormat="1" applyFont="1" applyBorder="1" applyAlignment="1">
      <alignment vertical="center"/>
    </xf>
    <xf numFmtId="164" fontId="32" fillId="0" borderId="8" xfId="0" quotePrefix="1" applyNumberFormat="1" applyFont="1" applyBorder="1" applyAlignment="1">
      <alignment vertical="center"/>
    </xf>
    <xf numFmtId="3" fontId="32" fillId="0" borderId="8" xfId="0" applyNumberFormat="1" applyFont="1" applyBorder="1" applyAlignment="1">
      <alignment vertical="center"/>
    </xf>
    <xf numFmtId="164" fontId="32" fillId="0" borderId="9" xfId="0" quotePrefix="1" applyNumberFormat="1" applyFont="1" applyBorder="1" applyAlignment="1">
      <alignment vertical="center"/>
    </xf>
    <xf numFmtId="3" fontId="32" fillId="0" borderId="9" xfId="0" applyNumberFormat="1" applyFont="1" applyBorder="1" applyAlignment="1">
      <alignment vertical="center"/>
    </xf>
    <xf numFmtId="164" fontId="32" fillId="0" borderId="8" xfId="0" applyNumberFormat="1" applyFont="1" applyBorder="1" applyAlignment="1">
      <alignment vertical="center"/>
    </xf>
    <xf numFmtId="164" fontId="32" fillId="0" borderId="9" xfId="0" applyNumberFormat="1" applyFont="1" applyBorder="1" applyAlignment="1">
      <alignment vertical="center"/>
    </xf>
    <xf numFmtId="164" fontId="32" fillId="0" borderId="6" xfId="0" quotePrefix="1" applyNumberFormat="1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164" fontId="32" fillId="0" borderId="8" xfId="0" quotePrefix="1" applyNumberFormat="1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164" fontId="32" fillId="0" borderId="9" xfId="0" quotePrefix="1" applyNumberFormat="1" applyFont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165" fontId="34" fillId="2" borderId="5" xfId="2" applyNumberFormat="1" applyFont="1" applyFill="1" applyBorder="1" applyAlignment="1">
      <alignment horizontal="center" vertical="center" wrapText="1"/>
    </xf>
    <xf numFmtId="165" fontId="34" fillId="2" borderId="0" xfId="2" applyNumberFormat="1" applyFont="1" applyFill="1" applyAlignment="1">
      <alignment horizontal="center" vertical="center" wrapText="1"/>
    </xf>
    <xf numFmtId="165" fontId="34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8" fillId="2" borderId="0" xfId="0" applyNumberFormat="1" applyFont="1" applyFill="1" applyAlignment="1">
      <alignment horizontal="center" vertical="center" wrapText="1"/>
    </xf>
    <xf numFmtId="165" fontId="32" fillId="0" borderId="6" xfId="2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7" fillId="0" borderId="0" xfId="0" applyFont="1"/>
    <xf numFmtId="165" fontId="32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0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2" fillId="0" borderId="0" xfId="0" applyNumberFormat="1" applyFont="1" applyBorder="1" applyAlignment="1">
      <alignment horizontal="right" vertical="center"/>
    </xf>
    <xf numFmtId="165" fontId="32" fillId="0" borderId="5" xfId="2" applyNumberFormat="1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2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2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2" fillId="0" borderId="16" xfId="0" applyNumberFormat="1" applyFont="1" applyBorder="1" applyAlignment="1">
      <alignment horizontal="right" vertical="center"/>
    </xf>
    <xf numFmtId="165" fontId="32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2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2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2" fillId="0" borderId="20" xfId="0" applyNumberFormat="1" applyFont="1" applyBorder="1" applyAlignment="1">
      <alignment horizontal="right" vertical="center"/>
    </xf>
    <xf numFmtId="0" fontId="41" fillId="0" borderId="19" xfId="3" applyBorder="1" applyAlignment="1" applyProtection="1">
      <alignment vertical="center"/>
    </xf>
    <xf numFmtId="0" fontId="42" fillId="3" borderId="14" xfId="0" applyFont="1" applyFill="1" applyBorder="1" applyAlignment="1">
      <alignment vertical="center"/>
    </xf>
    <xf numFmtId="0" fontId="43" fillId="3" borderId="14" xfId="0" applyFont="1" applyFill="1" applyBorder="1" applyAlignment="1">
      <alignment vertical="center"/>
    </xf>
    <xf numFmtId="3" fontId="44" fillId="3" borderId="14" xfId="0" applyNumberFormat="1" applyFont="1" applyFill="1" applyBorder="1" applyAlignment="1">
      <alignment horizontal="right" vertical="center" wrapText="1"/>
    </xf>
    <xf numFmtId="165" fontId="32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2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2" fillId="0" borderId="22" xfId="0" applyNumberFormat="1" applyFont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3" fontId="34" fillId="2" borderId="0" xfId="0" applyNumberFormat="1" applyFont="1" applyFill="1" applyBorder="1" applyAlignment="1">
      <alignment horizontal="right" vertical="center" wrapText="1"/>
    </xf>
    <xf numFmtId="165" fontId="34" fillId="2" borderId="0" xfId="2" applyNumberFormat="1" applyFont="1" applyFill="1" applyBorder="1" applyAlignment="1">
      <alignment horizontal="right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quotePrefix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165" fontId="34" fillId="2" borderId="0" xfId="2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32" fillId="0" borderId="24" xfId="0" quotePrefix="1" applyFont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 wrapText="1"/>
    </xf>
    <xf numFmtId="165" fontId="32" fillId="0" borderId="25" xfId="2" quotePrefix="1" applyNumberFormat="1" applyFont="1" applyBorder="1" applyAlignment="1">
      <alignment horizontal="center" vertical="center"/>
    </xf>
    <xf numFmtId="165" fontId="34" fillId="2" borderId="26" xfId="2" applyNumberFormat="1" applyFont="1" applyFill="1" applyBorder="1" applyAlignment="1">
      <alignment horizontal="center" vertical="center" wrapText="1"/>
    </xf>
    <xf numFmtId="3" fontId="32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2" fillId="0" borderId="27" xfId="2" applyNumberFormat="1" applyFont="1" applyBorder="1" applyAlignment="1">
      <alignment horizontal="center" vertical="center"/>
    </xf>
    <xf numFmtId="3" fontId="34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3" fillId="0" borderId="4" xfId="0" applyFont="1" applyBorder="1" applyAlignment="1"/>
    <xf numFmtId="0" fontId="32" fillId="0" borderId="5" xfId="0" applyFont="1" applyBorder="1" applyAlignment="1">
      <alignment horizontal="center" vertical="center" wrapText="1"/>
    </xf>
    <xf numFmtId="3" fontId="31" fillId="0" borderId="0" xfId="0" applyNumberFormat="1" applyFont="1" applyAlignment="1">
      <alignment vertical="center"/>
    </xf>
    <xf numFmtId="3" fontId="31" fillId="0" borderId="4" xfId="0" applyNumberFormat="1" applyFont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3" fontId="35" fillId="2" borderId="0" xfId="0" applyNumberFormat="1" applyFont="1" applyFill="1" applyAlignment="1">
      <alignment horizontal="right" vertical="center" wrapText="1"/>
    </xf>
    <xf numFmtId="3" fontId="35" fillId="2" borderId="4" xfId="0" applyNumberFormat="1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3" fontId="35" fillId="2" borderId="1" xfId="0" applyNumberFormat="1" applyFont="1" applyFill="1" applyBorder="1" applyAlignment="1">
      <alignment horizontal="right" vertical="center" wrapText="1"/>
    </xf>
    <xf numFmtId="3" fontId="35" fillId="2" borderId="30" xfId="0" applyNumberFormat="1" applyFont="1" applyFill="1" applyBorder="1" applyAlignment="1">
      <alignment horizontal="right" vertical="center" wrapText="1"/>
    </xf>
    <xf numFmtId="3" fontId="35" fillId="2" borderId="31" xfId="0" applyNumberFormat="1" applyFont="1" applyFill="1" applyBorder="1" applyAlignment="1">
      <alignment horizontal="right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165" fontId="31" fillId="0" borderId="0" xfId="2" applyNumberFormat="1" applyFont="1" applyAlignment="1">
      <alignment horizontal="center"/>
    </xf>
    <xf numFmtId="165" fontId="31" fillId="0" borderId="35" xfId="2" applyNumberFormat="1" applyFont="1" applyBorder="1" applyAlignment="1">
      <alignment horizontal="center"/>
    </xf>
    <xf numFmtId="165" fontId="31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1" fillId="0" borderId="0" xfId="2" applyNumberFormat="1" applyFont="1" applyAlignment="1">
      <alignment horizontal="center" vertical="center"/>
    </xf>
    <xf numFmtId="165" fontId="31" fillId="0" borderId="37" xfId="2" applyNumberFormat="1" applyFont="1" applyBorder="1" applyAlignment="1">
      <alignment horizontal="center" vertical="center"/>
    </xf>
    <xf numFmtId="165" fontId="31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2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4" fillId="2" borderId="0" xfId="2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right" vertical="center"/>
    </xf>
    <xf numFmtId="0" fontId="42" fillId="3" borderId="0" xfId="0" applyFont="1" applyFill="1" applyBorder="1" applyAlignment="1">
      <alignment vertical="center"/>
    </xf>
    <xf numFmtId="3" fontId="44" fillId="3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0" fontId="33" fillId="0" borderId="0" xfId="0" applyFont="1" applyFill="1" applyBorder="1" applyAlignment="1"/>
    <xf numFmtId="165" fontId="32" fillId="0" borderId="19" xfId="2" applyNumberFormat="1" applyFont="1" applyBorder="1" applyAlignment="1">
      <alignment horizontal="center" vertical="center"/>
    </xf>
    <xf numFmtId="164" fontId="32" fillId="0" borderId="8" xfId="0" quotePrefix="1" applyNumberFormat="1" applyFont="1" applyBorder="1" applyAlignment="1">
      <alignment horizontal="right" vertical="center"/>
    </xf>
    <xf numFmtId="3" fontId="38" fillId="0" borderId="8" xfId="0" applyNumberFormat="1" applyFont="1" applyBorder="1" applyAlignment="1">
      <alignment horizontal="right" vertical="center"/>
    </xf>
    <xf numFmtId="3" fontId="32" fillId="0" borderId="8" xfId="0" applyNumberFormat="1" applyFont="1" applyBorder="1" applyAlignment="1">
      <alignment horizontal="right" vertical="center"/>
    </xf>
    <xf numFmtId="165" fontId="32" fillId="0" borderId="6" xfId="2" applyNumberFormat="1" applyFont="1" applyBorder="1" applyAlignment="1">
      <alignment vertical="center"/>
    </xf>
    <xf numFmtId="165" fontId="32" fillId="0" borderId="9" xfId="2" applyNumberFormat="1" applyFont="1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2" fillId="0" borderId="41" xfId="0" quotePrefix="1" applyFont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 wrapText="1"/>
    </xf>
    <xf numFmtId="165" fontId="32" fillId="0" borderId="42" xfId="2" applyNumberFormat="1" applyFont="1" applyBorder="1" applyAlignment="1">
      <alignment horizontal="center" vertical="center"/>
    </xf>
    <xf numFmtId="165" fontId="32" fillId="0" borderId="43" xfId="2" applyNumberFormat="1" applyFont="1" applyBorder="1" applyAlignment="1">
      <alignment horizontal="center" vertical="center"/>
    </xf>
    <xf numFmtId="165" fontId="32" fillId="0" borderId="44" xfId="2" applyNumberFormat="1" applyFont="1" applyBorder="1" applyAlignment="1">
      <alignment horizontal="center" vertical="center"/>
    </xf>
    <xf numFmtId="165" fontId="34" fillId="2" borderId="41" xfId="2" applyNumberFormat="1" applyFont="1" applyFill="1" applyBorder="1" applyAlignment="1">
      <alignment horizontal="center" vertical="center" wrapText="1"/>
    </xf>
    <xf numFmtId="165" fontId="32" fillId="0" borderId="42" xfId="2" quotePrefix="1" applyNumberFormat="1" applyFont="1" applyBorder="1" applyAlignment="1">
      <alignment horizontal="center" vertical="center"/>
    </xf>
    <xf numFmtId="165" fontId="34" fillId="2" borderId="46" xfId="2" applyNumberFormat="1" applyFont="1" applyFill="1" applyBorder="1" applyAlignment="1">
      <alignment horizontal="center" vertical="center" wrapText="1"/>
    </xf>
    <xf numFmtId="3" fontId="34" fillId="2" borderId="48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quotePrefix="1" applyFont="1" applyBorder="1" applyAlignment="1">
      <alignment horizontal="center" vertical="center"/>
    </xf>
    <xf numFmtId="3" fontId="32" fillId="0" borderId="50" xfId="0" applyNumberFormat="1" applyFont="1" applyBorder="1" applyAlignment="1">
      <alignment horizontal="right" vertical="center"/>
    </xf>
    <xf numFmtId="3" fontId="32" fillId="0" borderId="52" xfId="0" applyNumberFormat="1" applyFont="1" applyBorder="1" applyAlignment="1">
      <alignment horizontal="right" vertical="center"/>
    </xf>
    <xf numFmtId="3" fontId="34" fillId="2" borderId="35" xfId="0" applyNumberFormat="1" applyFont="1" applyFill="1" applyBorder="1" applyAlignment="1">
      <alignment horizontal="right" vertical="center" wrapText="1"/>
    </xf>
    <xf numFmtId="165" fontId="32" fillId="0" borderId="51" xfId="2" applyNumberFormat="1" applyFont="1" applyBorder="1" applyAlignment="1">
      <alignment horizontal="center" vertical="center"/>
    </xf>
    <xf numFmtId="3" fontId="34" fillId="2" borderId="56" xfId="0" applyNumberFormat="1" applyFont="1" applyFill="1" applyBorder="1" applyAlignment="1">
      <alignment horizontal="right" vertical="center" wrapText="1"/>
    </xf>
    <xf numFmtId="3" fontId="34" fillId="2" borderId="57" xfId="0" applyNumberFormat="1" applyFont="1" applyFill="1" applyBorder="1" applyAlignment="1">
      <alignment horizontal="right" vertical="center" wrapText="1"/>
    </xf>
    <xf numFmtId="165" fontId="34" fillId="2" borderId="57" xfId="2" applyNumberFormat="1" applyFont="1" applyFill="1" applyBorder="1" applyAlignment="1">
      <alignment horizontal="right" vertical="center" wrapText="1"/>
    </xf>
    <xf numFmtId="0" fontId="32" fillId="0" borderId="60" xfId="0" applyFont="1" applyBorder="1" applyAlignment="1">
      <alignment horizontal="center" vertical="center"/>
    </xf>
    <xf numFmtId="0" fontId="28" fillId="2" borderId="60" xfId="0" applyFont="1" applyFill="1" applyBorder="1" applyAlignment="1">
      <alignment horizontal="center" vertical="center" wrapText="1"/>
    </xf>
    <xf numFmtId="3" fontId="32" fillId="0" borderId="61" xfId="0" applyNumberFormat="1" applyFont="1" applyBorder="1" applyAlignment="1">
      <alignment horizontal="right" vertical="center"/>
    </xf>
    <xf numFmtId="3" fontId="32" fillId="0" borderId="62" xfId="0" applyNumberFormat="1" applyFont="1" applyBorder="1" applyAlignment="1">
      <alignment horizontal="right" vertical="center"/>
    </xf>
    <xf numFmtId="3" fontId="32" fillId="0" borderId="63" xfId="0" applyNumberFormat="1" applyFont="1" applyBorder="1" applyAlignment="1">
      <alignment horizontal="right" vertical="center"/>
    </xf>
    <xf numFmtId="3" fontId="34" fillId="2" borderId="60" xfId="0" applyNumberFormat="1" applyFont="1" applyFill="1" applyBorder="1" applyAlignment="1">
      <alignment horizontal="right" vertical="center" wrapText="1"/>
    </xf>
    <xf numFmtId="3" fontId="34" fillId="2" borderId="64" xfId="0" applyNumberFormat="1" applyFont="1" applyFill="1" applyBorder="1" applyAlignment="1">
      <alignment horizontal="right" vertical="center" wrapText="1"/>
    </xf>
    <xf numFmtId="0" fontId="39" fillId="0" borderId="59" xfId="0" applyFont="1" applyBorder="1" applyAlignment="1">
      <alignment horizontal="center"/>
    </xf>
    <xf numFmtId="165" fontId="32" fillId="0" borderId="41" xfId="2" applyNumberFormat="1" applyFont="1" applyBorder="1" applyAlignment="1">
      <alignment horizontal="center" vertical="center"/>
    </xf>
    <xf numFmtId="3" fontId="34" fillId="2" borderId="70" xfId="0" applyNumberFormat="1" applyFont="1" applyFill="1" applyBorder="1" applyAlignment="1">
      <alignment horizontal="right" vertical="center" wrapText="1"/>
    </xf>
    <xf numFmtId="3" fontId="32" fillId="0" borderId="71" xfId="0" applyNumberFormat="1" applyFont="1" applyBorder="1" applyAlignment="1">
      <alignment horizontal="right" vertical="center"/>
    </xf>
    <xf numFmtId="3" fontId="32" fillId="0" borderId="50" xfId="0" applyNumberFormat="1" applyFont="1" applyFill="1" applyBorder="1" applyAlignment="1">
      <alignment horizontal="right" vertical="center"/>
    </xf>
    <xf numFmtId="3" fontId="34" fillId="2" borderId="37" xfId="0" applyNumberFormat="1" applyFont="1" applyFill="1" applyBorder="1" applyAlignment="1">
      <alignment horizontal="right" vertical="center" wrapText="1"/>
    </xf>
    <xf numFmtId="165" fontId="34" fillId="2" borderId="36" xfId="2" applyNumberFormat="1" applyFont="1" applyFill="1" applyBorder="1" applyAlignment="1">
      <alignment horizontal="center" vertical="center" wrapText="1"/>
    </xf>
    <xf numFmtId="165" fontId="34" fillId="2" borderId="36" xfId="2" quotePrefix="1" applyNumberFormat="1" applyFont="1" applyFill="1" applyBorder="1" applyAlignment="1">
      <alignment horizontal="center" vertical="center" wrapText="1"/>
    </xf>
    <xf numFmtId="165" fontId="32" fillId="0" borderId="36" xfId="2" applyNumberFormat="1" applyFont="1" applyBorder="1" applyAlignment="1">
      <alignment horizontal="center" vertical="center"/>
    </xf>
    <xf numFmtId="165" fontId="34" fillId="2" borderId="58" xfId="2" applyNumberFormat="1" applyFont="1" applyFill="1" applyBorder="1" applyAlignment="1">
      <alignment horizontal="center" vertical="center" wrapText="1"/>
    </xf>
    <xf numFmtId="3" fontId="34" fillId="2" borderId="77" xfId="0" applyNumberFormat="1" applyFont="1" applyFill="1" applyBorder="1" applyAlignment="1">
      <alignment horizontal="right" vertical="center" wrapText="1"/>
    </xf>
    <xf numFmtId="165" fontId="34" fillId="2" borderId="38" xfId="2" applyNumberFormat="1" applyFont="1" applyFill="1" applyBorder="1" applyAlignment="1">
      <alignment horizontal="center" vertical="center" wrapText="1"/>
    </xf>
    <xf numFmtId="3" fontId="32" fillId="0" borderId="60" xfId="0" applyNumberFormat="1" applyFont="1" applyBorder="1" applyAlignment="1">
      <alignment horizontal="right" vertical="center"/>
    </xf>
    <xf numFmtId="3" fontId="32" fillId="0" borderId="78" xfId="0" applyNumberFormat="1" applyFont="1" applyBorder="1" applyAlignment="1">
      <alignment horizontal="right" vertical="center"/>
    </xf>
    <xf numFmtId="165" fontId="32" fillId="0" borderId="53" xfId="2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165" fontId="34" fillId="2" borderId="57" xfId="2" applyNumberFormat="1" applyFont="1" applyFill="1" applyBorder="1" applyAlignment="1">
      <alignment horizontal="center" vertical="center" wrapText="1"/>
    </xf>
    <xf numFmtId="165" fontId="34" fillId="2" borderId="83" xfId="2" applyNumberFormat="1" applyFont="1" applyFill="1" applyBorder="1" applyAlignment="1">
      <alignment horizontal="center" vertical="center" wrapText="1"/>
    </xf>
    <xf numFmtId="165" fontId="34" fillId="2" borderId="45" xfId="2" applyNumberFormat="1" applyFont="1" applyFill="1" applyBorder="1" applyAlignment="1">
      <alignment horizontal="center" vertical="center" wrapText="1"/>
    </xf>
    <xf numFmtId="3" fontId="32" fillId="0" borderId="85" xfId="0" applyNumberFormat="1" applyFont="1" applyBorder="1" applyAlignment="1">
      <alignment horizontal="right" vertical="center"/>
    </xf>
    <xf numFmtId="3" fontId="32" fillId="0" borderId="86" xfId="0" applyNumberFormat="1" applyFont="1" applyBorder="1" applyAlignment="1">
      <alignment horizontal="right" vertical="center"/>
    </xf>
    <xf numFmtId="3" fontId="32" fillId="0" borderId="87" xfId="0" applyNumberFormat="1" applyFont="1" applyBorder="1" applyAlignment="1">
      <alignment horizontal="right" vertical="center"/>
    </xf>
    <xf numFmtId="3" fontId="38" fillId="0" borderId="50" xfId="0" applyNumberFormat="1" applyFont="1" applyFill="1" applyBorder="1" applyAlignment="1">
      <alignment horizontal="right" vertical="center"/>
    </xf>
    <xf numFmtId="3" fontId="32" fillId="0" borderId="90" xfId="0" applyNumberFormat="1" applyFont="1" applyBorder="1" applyAlignment="1">
      <alignment horizontal="right" vertical="center"/>
    </xf>
    <xf numFmtId="3" fontId="32" fillId="0" borderId="92" xfId="0" applyNumberFormat="1" applyFont="1" applyBorder="1" applyAlignment="1">
      <alignment horizontal="right" vertical="center"/>
    </xf>
    <xf numFmtId="3" fontId="32" fillId="0" borderId="94" xfId="0" applyNumberFormat="1" applyFont="1" applyBorder="1" applyAlignment="1">
      <alignment horizontal="right" vertical="center"/>
    </xf>
    <xf numFmtId="3" fontId="32" fillId="0" borderId="96" xfId="0" applyNumberFormat="1" applyFont="1" applyBorder="1" applyAlignment="1">
      <alignment horizontal="right" vertical="center"/>
    </xf>
    <xf numFmtId="3" fontId="44" fillId="3" borderId="60" xfId="0" applyNumberFormat="1" applyFont="1" applyFill="1" applyBorder="1" applyAlignment="1">
      <alignment horizontal="right" vertical="center" wrapText="1"/>
    </xf>
    <xf numFmtId="3" fontId="44" fillId="3" borderId="69" xfId="0" applyNumberFormat="1" applyFont="1" applyFill="1" applyBorder="1" applyAlignment="1">
      <alignment horizontal="right" vertical="center" wrapText="1"/>
    </xf>
    <xf numFmtId="165" fontId="32" fillId="0" borderId="91" xfId="2" applyNumberFormat="1" applyFont="1" applyBorder="1" applyAlignment="1">
      <alignment horizontal="center" vertical="center"/>
    </xf>
    <xf numFmtId="165" fontId="32" fillId="0" borderId="97" xfId="2" applyNumberFormat="1" applyFont="1" applyBorder="1" applyAlignment="1">
      <alignment horizontal="center" vertical="center"/>
    </xf>
    <xf numFmtId="3" fontId="44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2" fillId="0" borderId="61" xfId="0" applyNumberFormat="1" applyFont="1" applyBorder="1" applyAlignment="1">
      <alignment vertical="center"/>
    </xf>
    <xf numFmtId="3" fontId="32" fillId="0" borderId="62" xfId="0" applyNumberFormat="1" applyFont="1" applyBorder="1" applyAlignment="1">
      <alignment vertical="center"/>
    </xf>
    <xf numFmtId="3" fontId="32" fillId="0" borderId="63" xfId="0" applyNumberFormat="1" applyFont="1" applyBorder="1" applyAlignment="1">
      <alignment vertical="center"/>
    </xf>
    <xf numFmtId="3" fontId="34" fillId="2" borderId="60" xfId="0" applyNumberFormat="1" applyFont="1" applyFill="1" applyBorder="1" applyAlignment="1">
      <alignment horizontal="center" vertical="center" wrapText="1"/>
    </xf>
    <xf numFmtId="3" fontId="34" fillId="2" borderId="64" xfId="0" applyNumberFormat="1" applyFont="1" applyFill="1" applyBorder="1" applyAlignment="1">
      <alignment horizontal="center" vertical="center" wrapText="1"/>
    </xf>
    <xf numFmtId="3" fontId="34" fillId="2" borderId="0" xfId="0" applyNumberFormat="1" applyFont="1" applyFill="1" applyBorder="1" applyAlignment="1">
      <alignment horizontal="center" vertical="center" wrapText="1"/>
    </xf>
    <xf numFmtId="3" fontId="32" fillId="0" borderId="50" xfId="0" applyNumberFormat="1" applyFont="1" applyBorder="1" applyAlignment="1">
      <alignment vertical="center"/>
    </xf>
    <xf numFmtId="3" fontId="32" fillId="0" borderId="52" xfId="0" applyNumberFormat="1" applyFont="1" applyBorder="1" applyAlignment="1">
      <alignment vertical="center"/>
    </xf>
    <xf numFmtId="3" fontId="32" fillId="0" borderId="54" xfId="0" applyNumberFormat="1" applyFont="1" applyBorder="1" applyAlignment="1">
      <alignment vertical="center"/>
    </xf>
    <xf numFmtId="3" fontId="34" fillId="2" borderId="35" xfId="0" applyNumberFormat="1" applyFont="1" applyFill="1" applyBorder="1" applyAlignment="1">
      <alignment horizontal="center" vertical="center" wrapText="1"/>
    </xf>
    <xf numFmtId="3" fontId="34" fillId="2" borderId="56" xfId="0" applyNumberFormat="1" applyFont="1" applyFill="1" applyBorder="1" applyAlignment="1">
      <alignment horizontal="center" vertical="center" wrapText="1"/>
    </xf>
    <xf numFmtId="3" fontId="34" fillId="2" borderId="57" xfId="0" applyNumberFormat="1" applyFont="1" applyFill="1" applyBorder="1" applyAlignment="1">
      <alignment horizontal="center" vertical="center" wrapText="1"/>
    </xf>
    <xf numFmtId="165" fontId="32" fillId="0" borderId="98" xfId="2" applyNumberFormat="1" applyFont="1" applyBorder="1" applyAlignment="1">
      <alignment horizontal="center" vertical="center"/>
    </xf>
    <xf numFmtId="165" fontId="32" fillId="0" borderId="99" xfId="2" applyNumberFormat="1" applyFont="1" applyBorder="1" applyAlignment="1">
      <alignment horizontal="center" vertical="center"/>
    </xf>
    <xf numFmtId="165" fontId="32" fillId="0" borderId="99" xfId="2" quotePrefix="1" applyNumberFormat="1" applyFont="1" applyBorder="1" applyAlignment="1">
      <alignment horizontal="center" vertical="center"/>
    </xf>
    <xf numFmtId="165" fontId="34" fillId="2" borderId="67" xfId="2" applyNumberFormat="1" applyFont="1" applyFill="1" applyBorder="1" applyAlignment="1">
      <alignment horizontal="center" vertical="center" wrapText="1"/>
    </xf>
    <xf numFmtId="0" fontId="32" fillId="0" borderId="98" xfId="0" quotePrefix="1" applyFont="1" applyBorder="1" applyAlignment="1">
      <alignment horizontal="center" vertical="center"/>
    </xf>
    <xf numFmtId="0" fontId="32" fillId="0" borderId="100" xfId="0" quotePrefix="1" applyFont="1" applyBorder="1" applyAlignment="1">
      <alignment horizontal="center" vertical="center"/>
    </xf>
    <xf numFmtId="0" fontId="34" fillId="2" borderId="67" xfId="0" quotePrefix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center" vertical="center"/>
    </xf>
    <xf numFmtId="3" fontId="28" fillId="2" borderId="35" xfId="0" applyNumberFormat="1" applyFont="1" applyFill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 wrapText="1"/>
    </xf>
    <xf numFmtId="165" fontId="32" fillId="0" borderId="98" xfId="2" quotePrefix="1" applyNumberFormat="1" applyFont="1" applyBorder="1" applyAlignment="1">
      <alignment horizontal="center" vertical="center"/>
    </xf>
    <xf numFmtId="165" fontId="34" fillId="2" borderId="67" xfId="2" quotePrefix="1" applyNumberFormat="1" applyFont="1" applyFill="1" applyBorder="1" applyAlignment="1">
      <alignment horizontal="center" vertical="center" wrapText="1"/>
    </xf>
    <xf numFmtId="0" fontId="32" fillId="0" borderId="51" xfId="0" quotePrefix="1" applyFont="1" applyBorder="1" applyAlignment="1">
      <alignment horizontal="center" vertical="center"/>
    </xf>
    <xf numFmtId="0" fontId="32" fillId="0" borderId="55" xfId="0" quotePrefix="1" applyFont="1" applyBorder="1" applyAlignment="1">
      <alignment horizontal="center" vertical="center"/>
    </xf>
    <xf numFmtId="0" fontId="34" fillId="2" borderId="0" xfId="0" quotePrefix="1" applyFont="1" applyFill="1" applyBorder="1" applyAlignment="1">
      <alignment horizontal="center" vertical="center" wrapText="1"/>
    </xf>
    <xf numFmtId="0" fontId="34" fillId="2" borderId="36" xfId="0" quotePrefix="1" applyFont="1" applyFill="1" applyBorder="1" applyAlignment="1">
      <alignment horizontal="center" vertical="center" wrapText="1"/>
    </xf>
    <xf numFmtId="0" fontId="32" fillId="0" borderId="53" xfId="0" quotePrefix="1" applyFont="1" applyBorder="1" applyAlignment="1">
      <alignment horizontal="center" vertical="center"/>
    </xf>
    <xf numFmtId="165" fontId="34" fillId="2" borderId="101" xfId="2" applyNumberFormat="1" applyFont="1" applyFill="1" applyBorder="1" applyAlignment="1">
      <alignment horizontal="center" vertical="center" wrapText="1"/>
    </xf>
    <xf numFmtId="9" fontId="34" fillId="2" borderId="0" xfId="2" applyFont="1" applyFill="1" applyBorder="1" applyAlignment="1">
      <alignment horizontal="center" vertical="center" wrapText="1"/>
    </xf>
    <xf numFmtId="0" fontId="45" fillId="0" borderId="91" xfId="6" applyFont="1" applyBorder="1"/>
    <xf numFmtId="0" fontId="42" fillId="0" borderId="95" xfId="10" applyFont="1" applyBorder="1"/>
    <xf numFmtId="0" fontId="0" fillId="0" borderId="106" xfId="0" applyBorder="1" applyAlignment="1">
      <alignment vertical="center"/>
    </xf>
    <xf numFmtId="3" fontId="32" fillId="0" borderId="105" xfId="0" applyNumberFormat="1" applyFont="1" applyBorder="1" applyAlignment="1">
      <alignment horizontal="right" vertical="center"/>
    </xf>
    <xf numFmtId="3" fontId="32" fillId="0" borderId="106" xfId="0" applyNumberFormat="1" applyFont="1" applyBorder="1" applyAlignment="1">
      <alignment horizontal="right" vertical="center"/>
    </xf>
    <xf numFmtId="165" fontId="32" fillId="0" borderId="17" xfId="2" quotePrefix="1" applyNumberFormat="1" applyFont="1" applyBorder="1" applyAlignment="1">
      <alignment horizontal="center" vertical="center"/>
    </xf>
    <xf numFmtId="165" fontId="32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8" fillId="0" borderId="22" xfId="2" applyNumberFormat="1" applyFont="1" applyFill="1" applyBorder="1" applyAlignment="1">
      <alignment horizontal="center" vertical="center" wrapText="1"/>
    </xf>
    <xf numFmtId="165" fontId="32" fillId="0" borderId="21" xfId="2" applyNumberFormat="1" applyFont="1" applyBorder="1" applyAlignment="1">
      <alignment horizontal="center" vertical="center"/>
    </xf>
    <xf numFmtId="165" fontId="32" fillId="0" borderId="25" xfId="2" applyNumberFormat="1" applyFont="1" applyBorder="1" applyAlignment="1">
      <alignment horizontal="center" vertical="center"/>
    </xf>
    <xf numFmtId="165" fontId="32" fillId="0" borderId="67" xfId="2" applyNumberFormat="1" applyFont="1" applyBorder="1" applyAlignment="1">
      <alignment horizontal="center" vertical="center"/>
    </xf>
    <xf numFmtId="165" fontId="34" fillId="2" borderId="32" xfId="2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28" fillId="2" borderId="60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164" fontId="32" fillId="0" borderId="0" xfId="0" quotePrefix="1" applyNumberFormat="1" applyFont="1" applyBorder="1" applyAlignment="1">
      <alignment horizontal="center" vertical="center"/>
    </xf>
    <xf numFmtId="3" fontId="34" fillId="2" borderId="64" xfId="0" applyNumberFormat="1" applyFont="1" applyFill="1" applyBorder="1" applyAlignment="1">
      <alignment vertical="center" wrapText="1"/>
    </xf>
    <xf numFmtId="165" fontId="32" fillId="0" borderId="5" xfId="2" applyNumberFormat="1" applyFont="1" applyBorder="1" applyAlignment="1">
      <alignment horizontal="center" vertical="center" shrinkToFit="1"/>
    </xf>
    <xf numFmtId="164" fontId="32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9" fillId="0" borderId="33" xfId="0" applyNumberFormat="1" applyFont="1" applyBorder="1" applyAlignment="1">
      <alignment horizontal="center"/>
    </xf>
    <xf numFmtId="165" fontId="32" fillId="0" borderId="35" xfId="0" applyNumberFormat="1" applyFont="1" applyBorder="1" applyAlignment="1">
      <alignment horizontal="center" vertical="center"/>
    </xf>
    <xf numFmtId="165" fontId="28" fillId="2" borderId="35" xfId="0" applyNumberFormat="1" applyFont="1" applyFill="1" applyBorder="1" applyAlignment="1">
      <alignment horizontal="center" vertical="center" wrapText="1"/>
    </xf>
    <xf numFmtId="165" fontId="34" fillId="2" borderId="35" xfId="0" applyNumberFormat="1" applyFont="1" applyFill="1" applyBorder="1" applyAlignment="1">
      <alignment horizontal="center" vertical="center" wrapText="1"/>
    </xf>
    <xf numFmtId="165" fontId="32" fillId="0" borderId="50" xfId="0" applyNumberFormat="1" applyFont="1" applyBorder="1" applyAlignment="1">
      <alignment horizontal="center" vertical="center"/>
    </xf>
    <xf numFmtId="165" fontId="32" fillId="0" borderId="54" xfId="0" applyNumberFormat="1" applyFont="1" applyBorder="1" applyAlignment="1">
      <alignment horizontal="center" vertical="center"/>
    </xf>
    <xf numFmtId="165" fontId="32" fillId="0" borderId="6" xfId="0" applyNumberFormat="1" applyFont="1" applyBorder="1" applyAlignment="1">
      <alignment horizontal="center" vertical="center"/>
    </xf>
    <xf numFmtId="165" fontId="34" fillId="2" borderId="0" xfId="0" applyNumberFormat="1" applyFont="1" applyFill="1" applyBorder="1" applyAlignment="1">
      <alignment horizontal="center" vertical="center" wrapText="1"/>
    </xf>
    <xf numFmtId="165" fontId="32" fillId="0" borderId="9" xfId="0" applyNumberFormat="1" applyFont="1" applyBorder="1" applyAlignment="1">
      <alignment horizontal="center" vertical="center"/>
    </xf>
    <xf numFmtId="165" fontId="34" fillId="2" borderId="57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center" vertical="center"/>
    </xf>
    <xf numFmtId="0" fontId="37" fillId="0" borderId="59" xfId="0" quotePrefix="1" applyFont="1" applyBorder="1" applyAlignment="1">
      <alignment horizontal="center"/>
    </xf>
    <xf numFmtId="165" fontId="32" fillId="0" borderId="0" xfId="2" quotePrefix="1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165" fontId="44" fillId="0" borderId="0" xfId="2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3" fontId="42" fillId="0" borderId="0" xfId="0" applyNumberFormat="1" applyFont="1" applyFill="1"/>
    <xf numFmtId="4" fontId="32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4" fillId="2" borderId="36" xfId="2" applyFont="1" applyFill="1" applyBorder="1" applyAlignment="1">
      <alignment horizontal="center" vertical="center" wrapText="1"/>
    </xf>
    <xf numFmtId="165" fontId="32" fillId="0" borderId="95" xfId="2" quotePrefix="1" applyNumberFormat="1" applyFont="1" applyBorder="1" applyAlignment="1">
      <alignment horizontal="center" vertical="center"/>
    </xf>
    <xf numFmtId="4" fontId="32" fillId="0" borderId="0" xfId="0" applyNumberFormat="1" applyFont="1" applyFill="1" applyBorder="1" applyAlignment="1">
      <alignment vertical="center"/>
    </xf>
    <xf numFmtId="165" fontId="32" fillId="0" borderId="8" xfId="2" applyNumberFormat="1" applyFont="1" applyBorder="1" applyAlignment="1">
      <alignment horizontal="center" vertical="center"/>
    </xf>
    <xf numFmtId="0" fontId="42" fillId="0" borderId="6" xfId="0" applyFont="1" applyBorder="1" applyAlignment="1">
      <alignment vertical="center"/>
    </xf>
    <xf numFmtId="3" fontId="38" fillId="0" borderId="61" xfId="0" applyNumberFormat="1" applyFont="1" applyBorder="1" applyAlignment="1">
      <alignment horizontal="right" vertical="center"/>
    </xf>
    <xf numFmtId="3" fontId="38" fillId="0" borderId="50" xfId="0" applyNumberFormat="1" applyFont="1" applyBorder="1" applyAlignment="1">
      <alignment horizontal="right" vertical="center"/>
    </xf>
    <xf numFmtId="3" fontId="38" fillId="0" borderId="6" xfId="0" applyNumberFormat="1" applyFont="1" applyBorder="1" applyAlignment="1">
      <alignment horizontal="right" vertical="center"/>
    </xf>
    <xf numFmtId="165" fontId="38" fillId="0" borderId="42" xfId="2" applyNumberFormat="1" applyFont="1" applyBorder="1" applyAlignment="1">
      <alignment horizontal="center" vertical="center"/>
    </xf>
    <xf numFmtId="0" fontId="38" fillId="0" borderId="0" xfId="0" quotePrefix="1" applyFont="1" applyAlignment="1">
      <alignment horizontal="center"/>
    </xf>
    <xf numFmtId="0" fontId="42" fillId="0" borderId="0" xfId="0" applyFont="1"/>
    <xf numFmtId="0" fontId="42" fillId="0" borderId="8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42" fillId="0" borderId="9" xfId="0" applyFont="1" applyBorder="1" applyAlignment="1">
      <alignment vertical="center"/>
    </xf>
    <xf numFmtId="3" fontId="38" fillId="0" borderId="63" xfId="0" applyNumberFormat="1" applyFont="1" applyBorder="1" applyAlignment="1">
      <alignment horizontal="right" vertical="center"/>
    </xf>
    <xf numFmtId="3" fontId="38" fillId="0" borderId="54" xfId="0" applyNumberFormat="1" applyFont="1" applyBorder="1" applyAlignment="1">
      <alignment horizontal="right" vertical="center"/>
    </xf>
    <xf numFmtId="165" fontId="38" fillId="0" borderId="43" xfId="2" applyNumberFormat="1" applyFont="1" applyBorder="1" applyAlignment="1">
      <alignment horizontal="center" vertical="center"/>
    </xf>
    <xf numFmtId="3" fontId="38" fillId="0" borderId="9" xfId="0" applyNumberFormat="1" applyFont="1" applyBorder="1" applyAlignment="1">
      <alignment horizontal="right" vertical="center"/>
    </xf>
    <xf numFmtId="165" fontId="38" fillId="0" borderId="44" xfId="2" applyNumberFormat="1" applyFont="1" applyBorder="1" applyAlignment="1">
      <alignment horizontal="center" vertical="center"/>
    </xf>
    <xf numFmtId="0" fontId="42" fillId="0" borderId="12" xfId="0" applyFont="1" applyBorder="1" applyAlignment="1">
      <alignment vertical="center"/>
    </xf>
    <xf numFmtId="3" fontId="38" fillId="0" borderId="12" xfId="0" applyNumberFormat="1" applyFont="1" applyBorder="1" applyAlignment="1">
      <alignment horizontal="right" vertical="center"/>
    </xf>
    <xf numFmtId="165" fontId="38" fillId="0" borderId="65" xfId="2" applyNumberFormat="1" applyFont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3" fontId="38" fillId="0" borderId="69" xfId="0" applyNumberFormat="1" applyFont="1" applyBorder="1" applyAlignment="1">
      <alignment horizontal="right" vertical="center"/>
    </xf>
    <xf numFmtId="3" fontId="38" fillId="0" borderId="72" xfId="0" applyNumberFormat="1" applyFont="1" applyBorder="1" applyAlignment="1">
      <alignment horizontal="right" vertical="center"/>
    </xf>
    <xf numFmtId="3" fontId="38" fillId="0" borderId="14" xfId="0" applyNumberFormat="1" applyFont="1" applyBorder="1" applyAlignment="1">
      <alignment horizontal="right" vertical="center"/>
    </xf>
    <xf numFmtId="165" fontId="38" fillId="0" borderId="74" xfId="2" applyNumberFormat="1" applyFont="1" applyBorder="1" applyAlignment="1">
      <alignment horizontal="center" vertical="center"/>
    </xf>
    <xf numFmtId="165" fontId="38" fillId="0" borderId="66" xfId="2" quotePrefix="1" applyNumberFormat="1" applyFont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3" fontId="38" fillId="0" borderId="61" xfId="0" applyNumberFormat="1" applyFont="1" applyFill="1" applyBorder="1" applyAlignment="1">
      <alignment horizontal="right" vertical="center"/>
    </xf>
    <xf numFmtId="0" fontId="42" fillId="0" borderId="103" xfId="5" applyFont="1" applyFill="1" applyBorder="1"/>
    <xf numFmtId="165" fontId="38" fillId="0" borderId="6" xfId="2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3" fontId="38" fillId="0" borderId="106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Border="1" applyAlignment="1">
      <alignment horizontal="right" vertical="center"/>
    </xf>
    <xf numFmtId="165" fontId="38" fillId="0" borderId="41" xfId="2" applyNumberFormat="1" applyFont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165" fontId="38" fillId="0" borderId="51" xfId="2" applyNumberFormat="1" applyFont="1" applyFill="1" applyBorder="1" applyAlignment="1">
      <alignment horizontal="center" vertical="center"/>
    </xf>
    <xf numFmtId="0" fontId="38" fillId="0" borderId="0" xfId="0" quotePrefix="1" applyFont="1" applyFill="1" applyAlignment="1">
      <alignment horizontal="center" shrinkToFit="1"/>
    </xf>
    <xf numFmtId="165" fontId="38" fillId="0" borderId="6" xfId="2" quotePrefix="1" applyNumberFormat="1" applyFont="1" applyFill="1" applyBorder="1" applyAlignment="1">
      <alignment horizontal="center" vertical="center"/>
    </xf>
    <xf numFmtId="0" fontId="38" fillId="0" borderId="0" xfId="0" quotePrefix="1" applyFont="1" applyFill="1" applyAlignment="1">
      <alignment horizontal="center"/>
    </xf>
    <xf numFmtId="0" fontId="42" fillId="0" borderId="16" xfId="0" applyFont="1" applyBorder="1" applyAlignment="1">
      <alignment vertical="center"/>
    </xf>
    <xf numFmtId="3" fontId="38" fillId="0" borderId="16" xfId="0" applyNumberFormat="1" applyFont="1" applyFill="1" applyBorder="1" applyAlignment="1">
      <alignment horizontal="right" vertical="center"/>
    </xf>
    <xf numFmtId="0" fontId="42" fillId="0" borderId="17" xfId="0" applyFont="1" applyBorder="1" applyAlignment="1">
      <alignment vertical="center"/>
    </xf>
    <xf numFmtId="3" fontId="38" fillId="0" borderId="84" xfId="0" applyNumberFormat="1" applyFont="1" applyBorder="1" applyAlignment="1">
      <alignment horizontal="right" vertical="center"/>
    </xf>
    <xf numFmtId="3" fontId="38" fillId="0" borderId="88" xfId="0" applyNumberFormat="1" applyFont="1" applyBorder="1" applyAlignment="1">
      <alignment horizontal="right" vertical="center"/>
    </xf>
    <xf numFmtId="3" fontId="38" fillId="0" borderId="17" xfId="0" applyNumberFormat="1" applyFont="1" applyBorder="1" applyAlignment="1">
      <alignment horizontal="right" vertical="center"/>
    </xf>
    <xf numFmtId="3" fontId="38" fillId="0" borderId="75" xfId="0" applyNumberFormat="1" applyFont="1" applyBorder="1" applyAlignment="1">
      <alignment horizontal="right" vertical="center"/>
    </xf>
    <xf numFmtId="3" fontId="38" fillId="0" borderId="16" xfId="0" applyNumberFormat="1" applyFont="1" applyBorder="1" applyAlignment="1">
      <alignment horizontal="right" vertical="center"/>
    </xf>
    <xf numFmtId="3" fontId="38" fillId="0" borderId="0" xfId="0" applyNumberFormat="1" applyFont="1" applyBorder="1" applyAlignment="1">
      <alignment horizontal="right" vertical="center"/>
    </xf>
    <xf numFmtId="165" fontId="38" fillId="0" borderId="8" xfId="2" applyNumberFormat="1" applyFont="1" applyBorder="1" applyAlignment="1">
      <alignment horizontal="center" vertical="center"/>
    </xf>
    <xf numFmtId="165" fontId="38" fillId="0" borderId="7" xfId="2" applyNumberFormat="1" applyFont="1" applyFill="1" applyBorder="1" applyAlignment="1">
      <alignment horizontal="center" vertical="center"/>
    </xf>
    <xf numFmtId="165" fontId="32" fillId="0" borderId="10" xfId="2" applyNumberFormat="1" applyFont="1" applyBorder="1" applyAlignment="1">
      <alignment horizontal="center" vertical="center"/>
    </xf>
    <xf numFmtId="0" fontId="79" fillId="0" borderId="0" xfId="0" applyFont="1" applyAlignment="1">
      <alignment horizontal="center"/>
    </xf>
    <xf numFmtId="0" fontId="79" fillId="0" borderId="0" xfId="0" quotePrefix="1" applyFont="1" applyAlignment="1">
      <alignment horizontal="center"/>
    </xf>
    <xf numFmtId="0" fontId="80" fillId="0" borderId="0" xfId="0" applyFont="1" applyAlignment="1">
      <alignment horizontal="center"/>
    </xf>
    <xf numFmtId="3" fontId="34" fillId="2" borderId="0" xfId="2" applyNumberFormat="1" applyFont="1" applyFill="1" applyBorder="1" applyAlignment="1">
      <alignment horizontal="right" vertical="center" wrapText="1"/>
    </xf>
    <xf numFmtId="3" fontId="34" fillId="2" borderId="116" xfId="0" applyNumberFormat="1" applyFont="1" applyFill="1" applyBorder="1" applyAlignment="1">
      <alignment horizontal="center" vertical="center" wrapText="1"/>
    </xf>
    <xf numFmtId="165" fontId="38" fillId="0" borderId="7" xfId="2" applyNumberFormat="1" applyFont="1" applyBorder="1" applyAlignment="1">
      <alignment horizontal="center" vertical="center"/>
    </xf>
    <xf numFmtId="165" fontId="38" fillId="0" borderId="18" xfId="2" applyNumberFormat="1" applyFont="1" applyBorder="1" applyAlignment="1">
      <alignment horizontal="center" vertical="center"/>
    </xf>
    <xf numFmtId="3" fontId="32" fillId="0" borderId="0" xfId="0" applyNumberFormat="1" applyFont="1" applyBorder="1"/>
    <xf numFmtId="3" fontId="32" fillId="0" borderId="0" xfId="0" applyNumberFormat="1" applyFont="1"/>
    <xf numFmtId="0" fontId="42" fillId="0" borderId="0" xfId="0" applyFont="1" applyBorder="1"/>
    <xf numFmtId="0" fontId="0" fillId="0" borderId="0" xfId="0" applyBorder="1"/>
    <xf numFmtId="3" fontId="38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2" fillId="0" borderId="122" xfId="0" applyFont="1" applyBorder="1" applyAlignment="1">
      <alignment vertical="center"/>
    </xf>
    <xf numFmtId="0" fontId="42" fillId="0" borderId="123" xfId="0" applyFont="1" applyBorder="1" applyAlignment="1">
      <alignment vertical="center"/>
    </xf>
    <xf numFmtId="0" fontId="44" fillId="0" borderId="0" xfId="0" applyFont="1" applyFill="1" applyAlignment="1">
      <alignment horizontal="center"/>
    </xf>
    <xf numFmtId="165" fontId="82" fillId="2" borderId="50" xfId="0" applyNumberFormat="1" applyFont="1" applyFill="1" applyBorder="1" applyAlignment="1">
      <alignment horizontal="center" vertical="center"/>
    </xf>
    <xf numFmtId="165" fontId="38" fillId="0" borderId="12" xfId="2" quotePrefix="1" applyNumberFormat="1" applyFont="1" applyBorder="1" applyAlignment="1">
      <alignment horizontal="center" vertical="center"/>
    </xf>
    <xf numFmtId="165" fontId="32" fillId="0" borderId="51" xfId="2" quotePrefix="1" applyNumberFormat="1" applyFont="1" applyBorder="1" applyAlignment="1">
      <alignment horizontal="center" vertical="center"/>
    </xf>
    <xf numFmtId="43" fontId="32" fillId="0" borderId="0" xfId="247" applyFont="1"/>
    <xf numFmtId="166" fontId="32" fillId="0" borderId="0" xfId="247" applyNumberFormat="1" applyFont="1"/>
    <xf numFmtId="166" fontId="32" fillId="0" borderId="0" xfId="0" applyNumberFormat="1" applyFont="1"/>
    <xf numFmtId="43" fontId="0" fillId="0" borderId="0" xfId="0" applyNumberFormat="1"/>
    <xf numFmtId="9" fontId="32" fillId="0" borderId="22" xfId="2" applyNumberFormat="1" applyFont="1" applyBorder="1" applyAlignment="1">
      <alignment horizontal="center" vertical="center"/>
    </xf>
    <xf numFmtId="166" fontId="34" fillId="2" borderId="57" xfId="247" applyNumberFormat="1" applyFont="1" applyFill="1" applyBorder="1" applyAlignment="1">
      <alignment horizontal="right" vertical="center" wrapText="1"/>
    </xf>
    <xf numFmtId="165" fontId="38" fillId="0" borderId="51" xfId="2" quotePrefix="1" applyNumberFormat="1" applyFont="1" applyBorder="1" applyAlignment="1">
      <alignment horizontal="center" vertical="center"/>
    </xf>
    <xf numFmtId="165" fontId="38" fillId="0" borderId="36" xfId="2" quotePrefix="1" applyNumberFormat="1" applyFont="1" applyBorder="1" applyAlignment="1">
      <alignment horizontal="center" vertical="center"/>
    </xf>
    <xf numFmtId="4" fontId="32" fillId="0" borderId="0" xfId="0" applyNumberFormat="1" applyFont="1"/>
    <xf numFmtId="0" fontId="32" fillId="0" borderId="0" xfId="0" applyFont="1"/>
    <xf numFmtId="0" fontId="32" fillId="0" borderId="0" xfId="0" applyFont="1" applyAlignment="1">
      <alignment vertical="center"/>
    </xf>
    <xf numFmtId="165" fontId="32" fillId="0" borderId="52" xfId="0" applyNumberFormat="1" applyFont="1" applyBorder="1" applyAlignment="1">
      <alignment horizontal="center" vertical="center"/>
    </xf>
    <xf numFmtId="165" fontId="38" fillId="0" borderId="14" xfId="2" quotePrefix="1" applyNumberFormat="1" applyFont="1" applyBorder="1" applyAlignment="1">
      <alignment horizontal="center" vertical="center"/>
    </xf>
    <xf numFmtId="165" fontId="32" fillId="0" borderId="22" xfId="2" quotePrefix="1" applyNumberFormat="1" applyFont="1" applyBorder="1" applyAlignment="1">
      <alignment horizontal="center" vertical="center"/>
    </xf>
    <xf numFmtId="0" fontId="39" fillId="0" borderId="59" xfId="0" applyFont="1" applyFill="1" applyBorder="1" applyAlignment="1">
      <alignment horizontal="center"/>
    </xf>
    <xf numFmtId="165" fontId="38" fillId="0" borderId="51" xfId="2" applyNumberFormat="1" applyFont="1" applyBorder="1" applyAlignment="1">
      <alignment horizontal="center" vertical="center"/>
    </xf>
    <xf numFmtId="165" fontId="38" fillId="0" borderId="55" xfId="2" quotePrefix="1" applyNumberFormat="1" applyFont="1" applyBorder="1" applyAlignment="1">
      <alignment horizontal="center" vertical="center"/>
    </xf>
    <xf numFmtId="165" fontId="38" fillId="0" borderId="73" xfId="2" applyNumberFormat="1" applyFont="1" applyBorder="1" applyAlignment="1">
      <alignment horizontal="center" vertical="center"/>
    </xf>
    <xf numFmtId="165" fontId="38" fillId="0" borderId="36" xfId="2" quotePrefix="1" applyNumberFormat="1" applyFont="1" applyFill="1" applyBorder="1" applyAlignment="1">
      <alignment horizontal="center" vertical="center"/>
    </xf>
    <xf numFmtId="3" fontId="38" fillId="0" borderId="35" xfId="0" applyNumberFormat="1" applyFont="1" applyBorder="1" applyAlignment="1">
      <alignment horizontal="right" vertical="center"/>
    </xf>
    <xf numFmtId="3" fontId="38" fillId="0" borderId="12" xfId="0" applyNumberFormat="1" applyFont="1" applyFill="1" applyBorder="1" applyAlignment="1">
      <alignment horizontal="right" vertical="center"/>
    </xf>
    <xf numFmtId="3" fontId="38" fillId="0" borderId="124" xfId="0" applyNumberFormat="1" applyFont="1" applyFill="1" applyBorder="1" applyAlignment="1">
      <alignment horizontal="right" vertical="center"/>
    </xf>
    <xf numFmtId="165" fontId="38" fillId="0" borderId="76" xfId="2" applyNumberFormat="1" applyFont="1" applyFill="1" applyBorder="1" applyAlignment="1">
      <alignment horizontal="center" vertical="center"/>
    </xf>
    <xf numFmtId="165" fontId="38" fillId="0" borderId="6" xfId="2" applyNumberFormat="1" applyFont="1" applyBorder="1" applyAlignment="1">
      <alignment horizontal="center" vertical="center"/>
    </xf>
    <xf numFmtId="165" fontId="38" fillId="0" borderId="9" xfId="2" applyNumberFormat="1" applyFont="1" applyBorder="1" applyAlignment="1">
      <alignment horizontal="center" vertical="center"/>
    </xf>
    <xf numFmtId="165" fontId="38" fillId="0" borderId="6" xfId="2" quotePrefix="1" applyNumberFormat="1" applyFont="1" applyBorder="1" applyAlignment="1">
      <alignment horizontal="center" vertical="center"/>
    </xf>
    <xf numFmtId="165" fontId="38" fillId="0" borderId="117" xfId="2" quotePrefix="1" applyNumberFormat="1" applyFont="1" applyBorder="1" applyAlignment="1">
      <alignment horizontal="center" vertical="center"/>
    </xf>
    <xf numFmtId="165" fontId="38" fillId="0" borderId="0" xfId="2" quotePrefix="1" applyNumberFormat="1" applyFont="1" applyFill="1" applyBorder="1" applyAlignment="1">
      <alignment horizontal="center" vertical="center"/>
    </xf>
    <xf numFmtId="165" fontId="34" fillId="2" borderId="77" xfId="2" applyNumberFormat="1" applyFont="1" applyFill="1" applyBorder="1" applyAlignment="1">
      <alignment horizontal="center" vertical="center" wrapText="1"/>
    </xf>
    <xf numFmtId="165" fontId="38" fillId="0" borderId="16" xfId="2" applyNumberFormat="1" applyFont="1" applyFill="1" applyBorder="1" applyAlignment="1">
      <alignment horizontal="center" vertical="center"/>
    </xf>
    <xf numFmtId="165" fontId="38" fillId="0" borderId="17" xfId="2" quotePrefix="1" applyNumberFormat="1" applyFont="1" applyBorder="1" applyAlignment="1">
      <alignment horizontal="center" vertical="center"/>
    </xf>
    <xf numFmtId="165" fontId="38" fillId="0" borderId="16" xfId="2" quotePrefix="1" applyNumberFormat="1" applyFont="1" applyBorder="1" applyAlignment="1">
      <alignment horizontal="center" vertical="center"/>
    </xf>
    <xf numFmtId="165" fontId="38" fillId="0" borderId="0" xfId="2" quotePrefix="1" applyNumberFormat="1" applyFont="1" applyBorder="1" applyAlignment="1">
      <alignment horizontal="center" vertical="center"/>
    </xf>
    <xf numFmtId="165" fontId="78" fillId="0" borderId="0" xfId="2" applyNumberFormat="1" applyFont="1" applyFill="1" applyBorder="1" applyAlignment="1">
      <alignment horizontal="center" vertical="center"/>
    </xf>
    <xf numFmtId="165" fontId="32" fillId="0" borderId="16" xfId="2" applyNumberFormat="1" applyFont="1" applyBorder="1" applyAlignment="1">
      <alignment horizontal="center" vertical="center"/>
    </xf>
    <xf numFmtId="165" fontId="38" fillId="0" borderId="118" xfId="2" applyNumberFormat="1" applyFont="1" applyBorder="1" applyAlignment="1">
      <alignment horizontal="center" vertical="center"/>
    </xf>
    <xf numFmtId="165" fontId="38" fillId="0" borderId="119" xfId="2" applyNumberFormat="1" applyFont="1" applyBorder="1" applyAlignment="1">
      <alignment horizontal="center" vertical="center"/>
    </xf>
    <xf numFmtId="165" fontId="38" fillId="0" borderId="120" xfId="2" applyNumberFormat="1" applyFont="1" applyBorder="1" applyAlignment="1">
      <alignment horizontal="center" vertical="center"/>
    </xf>
    <xf numFmtId="165" fontId="38" fillId="0" borderId="79" xfId="2" applyNumberFormat="1" applyFont="1" applyBorder="1" applyAlignment="1">
      <alignment horizontal="center" vertical="center"/>
    </xf>
    <xf numFmtId="9" fontId="38" fillId="0" borderId="80" xfId="2" applyNumberFormat="1" applyFont="1" applyBorder="1" applyAlignment="1">
      <alignment horizontal="center" vertical="center"/>
    </xf>
    <xf numFmtId="3" fontId="32" fillId="0" borderId="75" xfId="0" applyNumberFormat="1" applyFont="1" applyFill="1" applyBorder="1" applyAlignment="1">
      <alignment horizontal="right" vertical="center"/>
    </xf>
    <xf numFmtId="165" fontId="32" fillId="0" borderId="9" xfId="2" applyNumberFormat="1" applyFont="1" applyBorder="1" applyAlignment="1">
      <alignment horizontal="center" vertical="center"/>
    </xf>
    <xf numFmtId="43" fontId="32" fillId="0" borderId="0" xfId="247" applyFont="1" applyAlignment="1">
      <alignment horizontal="center"/>
    </xf>
    <xf numFmtId="165" fontId="32" fillId="0" borderId="55" xfId="2" applyNumberFormat="1" applyFont="1" applyBorder="1" applyAlignment="1">
      <alignment horizontal="center" vertical="center"/>
    </xf>
    <xf numFmtId="3" fontId="38" fillId="0" borderId="125" xfId="0" applyNumberFormat="1" applyFont="1" applyBorder="1" applyAlignment="1">
      <alignment horizontal="right" vertical="center"/>
    </xf>
    <xf numFmtId="3" fontId="32" fillId="0" borderId="126" xfId="0" applyNumberFormat="1" applyFont="1" applyBorder="1" applyAlignment="1">
      <alignment horizontal="right" vertical="center"/>
    </xf>
    <xf numFmtId="3" fontId="32" fillId="0" borderId="127" xfId="0" applyNumberFormat="1" applyFont="1" applyBorder="1" applyAlignment="1">
      <alignment horizontal="right" vertical="center"/>
    </xf>
    <xf numFmtId="3" fontId="32" fillId="0" borderId="72" xfId="0" applyNumberFormat="1" applyFont="1" applyBorder="1" applyAlignment="1">
      <alignment horizontal="right" vertical="center"/>
    </xf>
    <xf numFmtId="3" fontId="32" fillId="0" borderId="104" xfId="0" applyNumberFormat="1" applyFont="1" applyBorder="1" applyAlignment="1">
      <alignment vertical="center"/>
    </xf>
    <xf numFmtId="3" fontId="32" fillId="0" borderId="106" xfId="0" applyNumberFormat="1" applyFont="1" applyBorder="1" applyAlignment="1">
      <alignment vertical="center"/>
    </xf>
    <xf numFmtId="3" fontId="38" fillId="0" borderId="9" xfId="0" applyNumberFormat="1" applyFont="1" applyFill="1" applyBorder="1" applyAlignment="1">
      <alignment horizontal="right" vertical="center"/>
    </xf>
    <xf numFmtId="0" fontId="42" fillId="0" borderId="16" xfId="0" applyFont="1" applyFill="1" applyBorder="1" applyAlignment="1">
      <alignment vertical="center"/>
    </xf>
    <xf numFmtId="165" fontId="38" fillId="0" borderId="102" xfId="2" applyNumberFormat="1" applyFont="1" applyBorder="1" applyAlignment="1">
      <alignment horizontal="center" vertical="center"/>
    </xf>
    <xf numFmtId="165" fontId="38" fillId="0" borderId="11" xfId="2" applyNumberFormat="1" applyFont="1" applyBorder="1" applyAlignment="1">
      <alignment horizontal="center" vertical="center"/>
    </xf>
    <xf numFmtId="165" fontId="38" fillId="0" borderId="13" xfId="2" applyNumberFormat="1" applyFont="1" applyBorder="1" applyAlignment="1">
      <alignment horizontal="center" vertical="center"/>
    </xf>
    <xf numFmtId="165" fontId="38" fillId="0" borderId="5" xfId="2" applyNumberFormat="1" applyFont="1" applyBorder="1" applyAlignment="1">
      <alignment horizontal="center" vertical="center"/>
    </xf>
    <xf numFmtId="165" fontId="38" fillId="0" borderId="15" xfId="2" applyNumberFormat="1" applyFont="1" applyBorder="1" applyAlignment="1">
      <alignment horizontal="center" vertical="center"/>
    </xf>
    <xf numFmtId="165" fontId="32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4" fillId="2" borderId="56" xfId="0" applyNumberFormat="1" applyFont="1" applyFill="1" applyBorder="1" applyAlignment="1">
      <alignment horizontal="center" vertical="center" wrapText="1"/>
    </xf>
    <xf numFmtId="3" fontId="32" fillId="0" borderId="9" xfId="0" applyNumberFormat="1" applyFont="1" applyBorder="1" applyAlignment="1">
      <alignment horizontal="center" vertical="center"/>
    </xf>
    <xf numFmtId="165" fontId="32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2" fillId="0" borderId="106" xfId="2" applyNumberFormat="1" applyFont="1" applyBorder="1" applyAlignment="1">
      <alignment horizontal="center" vertical="center"/>
    </xf>
    <xf numFmtId="165" fontId="32" fillId="0" borderId="20" xfId="2" applyNumberFormat="1" applyFont="1" applyBorder="1" applyAlignment="1">
      <alignment horizontal="center" vertical="center"/>
    </xf>
    <xf numFmtId="165" fontId="32" fillId="0" borderId="22" xfId="2" applyNumberFormat="1" applyFont="1" applyBorder="1" applyAlignment="1">
      <alignment horizontal="center" vertical="center"/>
    </xf>
    <xf numFmtId="165" fontId="32" fillId="0" borderId="17" xfId="2" applyNumberFormat="1" applyFont="1" applyBorder="1" applyAlignment="1">
      <alignment horizontal="center" vertical="center"/>
    </xf>
    <xf numFmtId="165" fontId="32" fillId="0" borderId="12" xfId="2" applyNumberFormat="1" applyFont="1" applyBorder="1" applyAlignment="1">
      <alignment horizontal="center" vertical="center"/>
    </xf>
    <xf numFmtId="165" fontId="32" fillId="0" borderId="6" xfId="2" quotePrefix="1" applyNumberFormat="1" applyFont="1" applyBorder="1" applyAlignment="1">
      <alignment horizontal="center" vertical="center"/>
    </xf>
    <xf numFmtId="165" fontId="32" fillId="0" borderId="8" xfId="2" quotePrefix="1" applyNumberFormat="1" applyFont="1" applyBorder="1" applyAlignment="1">
      <alignment horizontal="center" vertical="center"/>
    </xf>
    <xf numFmtId="165" fontId="32" fillId="0" borderId="16" xfId="2" quotePrefix="1" applyNumberFormat="1" applyFont="1" applyBorder="1" applyAlignment="1">
      <alignment horizontal="center" vertical="center"/>
    </xf>
    <xf numFmtId="165" fontId="32" fillId="0" borderId="19" xfId="2" quotePrefix="1" applyNumberFormat="1" applyFont="1" applyBorder="1" applyAlignment="1">
      <alignment horizontal="center" vertical="center"/>
    </xf>
    <xf numFmtId="165" fontId="32" fillId="0" borderId="20" xfId="2" quotePrefix="1" applyNumberFormat="1" applyFont="1" applyBorder="1" applyAlignment="1">
      <alignment horizontal="center" vertical="center"/>
    </xf>
    <xf numFmtId="165" fontId="32" fillId="0" borderId="12" xfId="2" quotePrefix="1" applyNumberFormat="1" applyFont="1" applyBorder="1" applyAlignment="1">
      <alignment horizontal="center" vertical="center"/>
    </xf>
    <xf numFmtId="165" fontId="32" fillId="0" borderId="14" xfId="2" quotePrefix="1" applyNumberFormat="1" applyFont="1" applyBorder="1" applyAlignment="1">
      <alignment horizontal="center" vertical="center"/>
    </xf>
    <xf numFmtId="165" fontId="44" fillId="3" borderId="14" xfId="2" applyNumberFormat="1" applyFont="1" applyFill="1" applyBorder="1" applyAlignment="1">
      <alignment horizontal="center" vertical="center" wrapText="1"/>
    </xf>
    <xf numFmtId="166" fontId="32" fillId="0" borderId="0" xfId="247" applyNumberFormat="1" applyFont="1" applyAlignment="1">
      <alignment horizontal="center"/>
    </xf>
    <xf numFmtId="165" fontId="44" fillId="3" borderId="0" xfId="2" applyNumberFormat="1" applyFont="1" applyFill="1" applyBorder="1" applyAlignment="1">
      <alignment horizontal="center" vertical="center" wrapText="1"/>
    </xf>
    <xf numFmtId="165" fontId="32" fillId="0" borderId="103" xfId="2" applyNumberFormat="1" applyFont="1" applyBorder="1" applyAlignment="1">
      <alignment horizontal="center" vertical="center"/>
    </xf>
    <xf numFmtId="165" fontId="32" fillId="0" borderId="73" xfId="2" applyNumberFormat="1" applyFont="1" applyBorder="1" applyAlignment="1">
      <alignment horizontal="center" vertical="center"/>
    </xf>
    <xf numFmtId="165" fontId="32" fillId="0" borderId="89" xfId="2" applyNumberFormat="1" applyFont="1" applyBorder="1" applyAlignment="1">
      <alignment horizontal="center" vertical="center"/>
    </xf>
    <xf numFmtId="165" fontId="32" fillId="0" borderId="93" xfId="2" applyNumberFormat="1" applyFont="1" applyBorder="1" applyAlignment="1">
      <alignment horizontal="center" vertical="center"/>
    </xf>
    <xf numFmtId="165" fontId="32" fillId="0" borderId="95" xfId="2" applyNumberFormat="1" applyFont="1" applyBorder="1" applyAlignment="1">
      <alignment horizontal="center" vertical="center"/>
    </xf>
    <xf numFmtId="165" fontId="32" fillId="0" borderId="53" xfId="2" quotePrefix="1" applyNumberFormat="1" applyFont="1" applyBorder="1" applyAlignment="1">
      <alignment horizontal="center" vertical="center"/>
    </xf>
    <xf numFmtId="165" fontId="32" fillId="0" borderId="76" xfId="2" quotePrefix="1" applyNumberFormat="1" applyFont="1" applyBorder="1" applyAlignment="1">
      <alignment horizontal="center" vertical="center"/>
    </xf>
    <xf numFmtId="165" fontId="32" fillId="0" borderId="91" xfId="2" quotePrefix="1" applyNumberFormat="1" applyFont="1" applyBorder="1" applyAlignment="1">
      <alignment horizontal="center" vertical="center"/>
    </xf>
    <xf numFmtId="165" fontId="32" fillId="0" borderId="93" xfId="2" quotePrefix="1" applyNumberFormat="1" applyFont="1" applyBorder="1" applyAlignment="1">
      <alignment horizontal="center" vertical="center"/>
    </xf>
    <xf numFmtId="165" fontId="44" fillId="3" borderId="36" xfId="2" applyNumberFormat="1" applyFont="1" applyFill="1" applyBorder="1" applyAlignment="1">
      <alignment horizontal="center" vertical="center" wrapText="1"/>
    </xf>
    <xf numFmtId="165" fontId="32" fillId="0" borderId="74" xfId="2" quotePrefix="1" applyNumberFormat="1" applyFont="1" applyBorder="1" applyAlignment="1">
      <alignment horizontal="center" vertical="center"/>
    </xf>
    <xf numFmtId="165" fontId="32" fillId="0" borderId="73" xfId="2" quotePrefix="1" applyNumberFormat="1" applyFont="1" applyBorder="1" applyAlignment="1">
      <alignment horizontal="center" vertical="center"/>
    </xf>
    <xf numFmtId="165" fontId="44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2" fillId="0" borderId="128" xfId="2" applyNumberFormat="1" applyFont="1" applyBorder="1" applyAlignment="1">
      <alignment horizontal="center" vertical="center"/>
    </xf>
    <xf numFmtId="3" fontId="42" fillId="0" borderId="0" xfId="0" applyNumberFormat="1" applyFont="1" applyBorder="1"/>
    <xf numFmtId="165" fontId="38" fillId="0" borderId="76" xfId="2" quotePrefix="1" applyNumberFormat="1" applyFont="1" applyBorder="1" applyAlignment="1">
      <alignment horizontal="center" vertical="center"/>
    </xf>
    <xf numFmtId="3" fontId="32" fillId="0" borderId="8" xfId="0" applyNumberFormat="1" applyFont="1" applyBorder="1"/>
    <xf numFmtId="0" fontId="0" fillId="0" borderId="53" xfId="0" applyBorder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165" fontId="34" fillId="0" borderId="0" xfId="2" applyNumberFormat="1" applyFont="1" applyFill="1" applyBorder="1" applyAlignment="1">
      <alignment horizontal="center" vertical="center" wrapText="1"/>
    </xf>
    <xf numFmtId="165" fontId="82" fillId="0" borderId="0" xfId="2" applyNumberFormat="1" applyFont="1" applyBorder="1" applyAlignment="1">
      <alignment vertical="center"/>
    </xf>
    <xf numFmtId="165" fontId="82" fillId="0" borderId="0" xfId="2" applyNumberFormat="1" applyFont="1" applyBorder="1" applyAlignment="1">
      <alignment horizontal="center" vertical="center"/>
    </xf>
    <xf numFmtId="0" fontId="42" fillId="0" borderId="121" xfId="0" applyFont="1" applyFill="1" applyBorder="1" applyAlignment="1">
      <alignment vertical="center"/>
    </xf>
    <xf numFmtId="0" fontId="85" fillId="0" borderId="0" xfId="1" applyFont="1"/>
    <xf numFmtId="0" fontId="27" fillId="0" borderId="0" xfId="1" applyFont="1"/>
    <xf numFmtId="0" fontId="86" fillId="0" borderId="0" xfId="0" applyFont="1"/>
    <xf numFmtId="165" fontId="38" fillId="0" borderId="73" xfId="2" applyNumberFormat="1" applyFont="1" applyFill="1" applyBorder="1" applyAlignment="1">
      <alignment horizontal="center" vertical="center"/>
    </xf>
    <xf numFmtId="3" fontId="32" fillId="0" borderId="94" xfId="0" applyNumberFormat="1" applyFont="1" applyFill="1" applyBorder="1" applyAlignment="1">
      <alignment horizontal="right" vertical="center"/>
    </xf>
    <xf numFmtId="3" fontId="32" fillId="0" borderId="8" xfId="0" applyNumberFormat="1" applyFont="1" applyBorder="1" applyAlignment="1"/>
    <xf numFmtId="3" fontId="32" fillId="0" borderId="0" xfId="0" applyNumberFormat="1" applyFont="1" applyAlignment="1"/>
    <xf numFmtId="3" fontId="34" fillId="2" borderId="0" xfId="2" applyNumberFormat="1" applyFont="1" applyFill="1" applyBorder="1" applyAlignment="1">
      <alignment vertical="center" wrapText="1"/>
    </xf>
    <xf numFmtId="3" fontId="34" fillId="2" borderId="0" xfId="0" applyNumberFormat="1" applyFont="1" applyFill="1" applyAlignment="1">
      <alignment vertical="center" wrapText="1"/>
    </xf>
    <xf numFmtId="165" fontId="34" fillId="2" borderId="0" xfId="2" applyNumberFormat="1" applyFont="1" applyFill="1" applyAlignment="1">
      <alignment vertical="center" wrapText="1"/>
    </xf>
    <xf numFmtId="3" fontId="34" fillId="2" borderId="0" xfId="0" applyNumberFormat="1" applyFont="1" applyFill="1" applyBorder="1" applyAlignment="1">
      <alignment vertical="center" wrapText="1"/>
    </xf>
    <xf numFmtId="3" fontId="34" fillId="2" borderId="1" xfId="2" applyNumberFormat="1" applyFont="1" applyFill="1" applyBorder="1" applyAlignment="1">
      <alignment horizontal="right" vertical="center" wrapText="1"/>
    </xf>
    <xf numFmtId="3" fontId="32" fillId="0" borderId="22" xfId="0" applyNumberFormat="1" applyFont="1" applyBorder="1" applyAlignment="1">
      <alignment vertical="center"/>
    </xf>
    <xf numFmtId="3" fontId="32" fillId="0" borderId="19" xfId="0" applyNumberFormat="1" applyFont="1" applyBorder="1" applyAlignment="1">
      <alignment vertical="center"/>
    </xf>
    <xf numFmtId="3" fontId="32" fillId="0" borderId="20" xfId="0" applyNumberFormat="1" applyFont="1" applyBorder="1" applyAlignment="1">
      <alignment vertical="center"/>
    </xf>
    <xf numFmtId="3" fontId="38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6" fillId="0" borderId="0" xfId="0" applyFont="1"/>
    <xf numFmtId="166" fontId="89" fillId="0" borderId="0" xfId="247" applyNumberFormat="1" applyFont="1"/>
    <xf numFmtId="3" fontId="76" fillId="0" borderId="0" xfId="0" applyNumberFormat="1" applyFont="1"/>
    <xf numFmtId="4" fontId="76" fillId="0" borderId="0" xfId="0" applyNumberFormat="1" applyFont="1"/>
    <xf numFmtId="3" fontId="32" fillId="0" borderId="60" xfId="189" applyNumberFormat="1" applyFont="1" applyBorder="1"/>
    <xf numFmtId="2" fontId="42" fillId="0" borderId="0" xfId="337" applyNumberFormat="1" applyFont="1" applyAlignment="1">
      <alignment horizontal="right"/>
    </xf>
    <xf numFmtId="2" fontId="88" fillId="0" borderId="0" xfId="304" applyNumberFormat="1" applyFont="1" applyAlignment="1">
      <alignment horizontal="right"/>
    </xf>
    <xf numFmtId="2" fontId="37" fillId="0" borderId="0" xfId="0" applyNumberFormat="1" applyFont="1"/>
    <xf numFmtId="2" fontId="42" fillId="0" borderId="0" xfId="10" applyNumberFormat="1" applyFont="1" applyAlignment="1">
      <alignment horizontal="right"/>
    </xf>
    <xf numFmtId="3" fontId="38" fillId="0" borderId="124" xfId="0" applyNumberFormat="1" applyFont="1" applyBorder="1" applyAlignment="1">
      <alignment horizontal="right" vertical="center"/>
    </xf>
    <xf numFmtId="3" fontId="38" fillId="0" borderId="130" xfId="0" applyNumberFormat="1" applyFont="1" applyBorder="1" applyAlignment="1">
      <alignment horizontal="right" vertical="center"/>
    </xf>
    <xf numFmtId="3" fontId="32" fillId="0" borderId="84" xfId="0" applyNumberFormat="1" applyFont="1" applyBorder="1" applyAlignment="1">
      <alignment horizontal="right" vertical="center"/>
    </xf>
    <xf numFmtId="3" fontId="32" fillId="0" borderId="69" xfId="0" applyNumberFormat="1" applyFont="1" applyBorder="1" applyAlignment="1">
      <alignment horizontal="right" vertical="center"/>
    </xf>
    <xf numFmtId="3" fontId="32" fillId="0" borderId="92" xfId="0" applyNumberFormat="1" applyFont="1" applyFill="1" applyBorder="1" applyAlignment="1">
      <alignment horizontal="right" vertical="center"/>
    </xf>
    <xf numFmtId="3" fontId="32" fillId="0" borderId="72" xfId="0" applyNumberFormat="1" applyFont="1" applyFill="1" applyBorder="1" applyAlignment="1">
      <alignment horizontal="right" vertical="center"/>
    </xf>
    <xf numFmtId="3" fontId="38" fillId="0" borderId="78" xfId="0" applyNumberFormat="1" applyFont="1" applyBorder="1" applyAlignment="1">
      <alignment horizontal="right" vertical="center"/>
    </xf>
    <xf numFmtId="3" fontId="32" fillId="0" borderId="35" xfId="0" applyNumberFormat="1" applyFont="1" applyFill="1" applyBorder="1" applyAlignment="1">
      <alignment horizontal="right" vertical="center"/>
    </xf>
    <xf numFmtId="3" fontId="32" fillId="0" borderId="88" xfId="0" applyNumberFormat="1" applyFont="1" applyFill="1" applyBorder="1" applyAlignment="1">
      <alignment horizontal="right" vertical="center"/>
    </xf>
    <xf numFmtId="9" fontId="38" fillId="0" borderId="0" xfId="2" applyFont="1" applyAlignment="1">
      <alignment horizontal="center" vertical="center"/>
    </xf>
    <xf numFmtId="165" fontId="32" fillId="0" borderId="100" xfId="2" quotePrefix="1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right" vertical="center"/>
    </xf>
    <xf numFmtId="165" fontId="38" fillId="0" borderId="103" xfId="2" quotePrefix="1" applyNumberFormat="1" applyFont="1" applyFill="1" applyBorder="1" applyAlignment="1">
      <alignment horizontal="center" vertical="center"/>
    </xf>
    <xf numFmtId="9" fontId="38" fillId="0" borderId="80" xfId="2" quotePrefix="1" applyNumberFormat="1" applyFont="1" applyBorder="1" applyAlignment="1">
      <alignment horizontal="center" vertical="center"/>
    </xf>
    <xf numFmtId="165" fontId="38" fillId="0" borderId="76" xfId="2" quotePrefix="1" applyNumberFormat="1" applyFont="1" applyFill="1" applyBorder="1" applyAlignment="1">
      <alignment horizontal="center" vertical="center"/>
    </xf>
    <xf numFmtId="9" fontId="38" fillId="0" borderId="82" xfId="2" applyNumberFormat="1" applyFont="1" applyBorder="1" applyAlignment="1">
      <alignment horizontal="center" vertical="center"/>
    </xf>
    <xf numFmtId="9" fontId="38" fillId="0" borderId="81" xfId="2" applyNumberFormat="1" applyFont="1" applyBorder="1" applyAlignment="1">
      <alignment horizontal="center" vertical="center"/>
    </xf>
    <xf numFmtId="9" fontId="38" fillId="0" borderId="66" xfId="2" quotePrefix="1" applyNumberFormat="1" applyFont="1" applyBorder="1" applyAlignment="1">
      <alignment horizontal="center" vertical="center"/>
    </xf>
    <xf numFmtId="9" fontId="38" fillId="0" borderId="81" xfId="2" quotePrefix="1" applyNumberFormat="1" applyFont="1" applyBorder="1" applyAlignment="1">
      <alignment horizontal="center" vertical="center"/>
    </xf>
    <xf numFmtId="9" fontId="38" fillId="0" borderId="66" xfId="2" applyNumberFormat="1" applyFont="1" applyBorder="1" applyAlignment="1">
      <alignment horizontal="center" vertical="center"/>
    </xf>
    <xf numFmtId="2" fontId="88" fillId="0" borderId="0" xfId="304" applyNumberFormat="1" applyFont="1" applyAlignment="1">
      <alignment horizontal="left" vertical="center"/>
    </xf>
    <xf numFmtId="3" fontId="38" fillId="0" borderId="94" xfId="304" applyNumberFormat="1" applyFont="1" applyBorder="1" applyAlignment="1">
      <alignment vertical="center"/>
    </xf>
    <xf numFmtId="3" fontId="38" fillId="0" borderId="22" xfId="304" applyNumberFormat="1" applyFont="1" applyBorder="1" applyAlignment="1">
      <alignment vertical="center"/>
    </xf>
    <xf numFmtId="0" fontId="42" fillId="0" borderId="91" xfId="10" applyFont="1" applyBorder="1"/>
    <xf numFmtId="165" fontId="32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2" fillId="0" borderId="97" xfId="2" quotePrefix="1" applyNumberFormat="1" applyFont="1" applyBorder="1" applyAlignment="1">
      <alignment horizontal="center" vertical="center"/>
    </xf>
    <xf numFmtId="165" fontId="32" fillId="0" borderId="21" xfId="2" quotePrefix="1" applyNumberFormat="1" applyFont="1" applyBorder="1" applyAlignment="1">
      <alignment horizontal="center" vertical="center"/>
    </xf>
    <xf numFmtId="165" fontId="34" fillId="2" borderId="0" xfId="2" quotePrefix="1" applyNumberFormat="1" applyFont="1" applyFill="1" applyBorder="1" applyAlignment="1">
      <alignment horizontal="center" vertical="center" wrapText="1"/>
    </xf>
    <xf numFmtId="3" fontId="34" fillId="2" borderId="36" xfId="0" applyNumberFormat="1" applyFont="1" applyFill="1" applyBorder="1" applyAlignment="1">
      <alignment horizontal="right" vertical="center" wrapText="1"/>
    </xf>
    <xf numFmtId="3" fontId="32" fillId="0" borderId="35" xfId="0" applyNumberFormat="1" applyFont="1" applyBorder="1" applyAlignment="1">
      <alignment vertical="center"/>
    </xf>
    <xf numFmtId="165" fontId="32" fillId="0" borderId="36" xfId="2" quotePrefix="1" applyNumberFormat="1" applyFont="1" applyBorder="1" applyAlignment="1">
      <alignment horizontal="center" vertical="center"/>
    </xf>
    <xf numFmtId="0" fontId="28" fillId="2" borderId="36" xfId="0" applyFont="1" applyFill="1" applyBorder="1" applyAlignment="1">
      <alignment vertical="center"/>
    </xf>
    <xf numFmtId="3" fontId="34" fillId="2" borderId="132" xfId="0" applyNumberFormat="1" applyFont="1" applyFill="1" applyBorder="1" applyAlignment="1">
      <alignment horizontal="right" vertical="center" wrapText="1"/>
    </xf>
    <xf numFmtId="165" fontId="32" fillId="0" borderId="100" xfId="2" applyNumberFormat="1" applyFont="1" applyBorder="1" applyAlignment="1">
      <alignment horizontal="center" vertical="center"/>
    </xf>
    <xf numFmtId="165" fontId="32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8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34" fillId="2" borderId="61" xfId="0" applyNumberFormat="1" applyFont="1" applyFill="1" applyBorder="1" applyAlignment="1">
      <alignment horizontal="center" vertical="center" wrapText="1"/>
    </xf>
    <xf numFmtId="3" fontId="32" fillId="0" borderId="96" xfId="0" applyNumberFormat="1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3" fontId="34" fillId="2" borderId="132" xfId="0" applyNumberFormat="1" applyFont="1" applyFill="1" applyBorder="1" applyAlignment="1">
      <alignment horizontal="center" vertical="center" wrapText="1"/>
    </xf>
    <xf numFmtId="3" fontId="34" fillId="2" borderId="28" xfId="0" applyNumberFormat="1" applyFont="1" applyFill="1" applyBorder="1" applyAlignment="1">
      <alignment horizontal="center" vertical="center" wrapText="1"/>
    </xf>
    <xf numFmtId="3" fontId="32" fillId="0" borderId="60" xfId="0" applyNumberFormat="1" applyFont="1" applyBorder="1" applyAlignment="1">
      <alignment vertical="center"/>
    </xf>
    <xf numFmtId="164" fontId="32" fillId="0" borderId="9" xfId="0" quotePrefix="1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1" fillId="0" borderId="55" xfId="0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165" fontId="34" fillId="2" borderId="28" xfId="2" applyNumberFormat="1" applyFont="1" applyFill="1" applyBorder="1" applyAlignment="1">
      <alignment horizontal="center" vertical="center" wrapText="1"/>
    </xf>
    <xf numFmtId="165" fontId="34" fillId="2" borderId="133" xfId="2" applyNumberFormat="1" applyFont="1" applyFill="1" applyBorder="1" applyAlignment="1">
      <alignment horizontal="center" vertical="center" wrapText="1"/>
    </xf>
    <xf numFmtId="165" fontId="32" fillId="0" borderId="63" xfId="0" applyNumberFormat="1" applyFont="1" applyBorder="1" applyAlignment="1">
      <alignment horizontal="center" vertical="center"/>
    </xf>
    <xf numFmtId="165" fontId="34" fillId="2" borderId="60" xfId="0" applyNumberFormat="1" applyFont="1" applyFill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right" vertical="center"/>
    </xf>
    <xf numFmtId="3" fontId="32" fillId="0" borderId="54" xfId="0" applyNumberFormat="1" applyFont="1" applyBorder="1" applyAlignment="1">
      <alignment horizontal="right" vertical="center"/>
    </xf>
    <xf numFmtId="0" fontId="28" fillId="2" borderId="133" xfId="0" applyFont="1" applyFill="1" applyBorder="1" applyAlignment="1">
      <alignment vertical="center"/>
    </xf>
    <xf numFmtId="0" fontId="29" fillId="2" borderId="28" xfId="0" applyFont="1" applyFill="1" applyBorder="1" applyAlignment="1">
      <alignment vertical="center"/>
    </xf>
    <xf numFmtId="165" fontId="38" fillId="0" borderId="55" xfId="2" applyNumberFormat="1" applyFont="1" applyBorder="1" applyAlignment="1">
      <alignment horizontal="center" vertical="center"/>
    </xf>
    <xf numFmtId="3" fontId="38" fillId="0" borderId="35" xfId="0" applyNumberFormat="1" applyFont="1" applyFill="1" applyBorder="1" applyAlignment="1">
      <alignment horizontal="right" vertical="center"/>
    </xf>
    <xf numFmtId="165" fontId="38" fillId="0" borderId="9" xfId="2" quotePrefix="1" applyNumberFormat="1" applyFont="1" applyBorder="1" applyAlignment="1">
      <alignment horizontal="center" vertical="center"/>
    </xf>
    <xf numFmtId="165" fontId="38" fillId="0" borderId="10" xfId="2" applyNumberFormat="1" applyFont="1" applyBorder="1" applyAlignment="1">
      <alignment horizontal="center" vertical="center"/>
    </xf>
    <xf numFmtId="9" fontId="38" fillId="0" borderId="41" xfId="2" applyNumberFormat="1" applyFont="1" applyBorder="1" applyAlignment="1">
      <alignment horizontal="center" vertical="center"/>
    </xf>
    <xf numFmtId="165" fontId="34" fillId="2" borderId="60" xfId="0" applyNumberFormat="1" applyFont="1" applyFill="1" applyBorder="1" applyAlignment="1">
      <alignment horizontal="center" vertical="center"/>
    </xf>
    <xf numFmtId="165" fontId="32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2" fillId="0" borderId="134" xfId="4" applyBorder="1"/>
    <xf numFmtId="0" fontId="43" fillId="3" borderId="36" xfId="0" applyFont="1" applyFill="1" applyBorder="1" applyAlignment="1">
      <alignment vertical="center"/>
    </xf>
    <xf numFmtId="3" fontId="32" fillId="0" borderId="130" xfId="0" applyNumberFormat="1" applyFont="1" applyBorder="1" applyAlignment="1">
      <alignment horizontal="right" vertical="center"/>
    </xf>
    <xf numFmtId="3" fontId="44" fillId="3" borderId="35" xfId="0" applyNumberFormat="1" applyFont="1" applyFill="1" applyBorder="1" applyAlignment="1">
      <alignment horizontal="right" vertical="center" wrapText="1"/>
    </xf>
    <xf numFmtId="3" fontId="32" fillId="0" borderId="134" xfId="0" applyNumberFormat="1" applyFont="1" applyBorder="1" applyAlignment="1">
      <alignment horizontal="right" vertical="center"/>
    </xf>
    <xf numFmtId="165" fontId="32" fillId="0" borderId="134" xfId="2" quotePrefix="1" applyNumberFormat="1" applyFont="1" applyBorder="1" applyAlignment="1">
      <alignment horizontal="center" vertical="center"/>
    </xf>
    <xf numFmtId="165" fontId="32" fillId="0" borderId="135" xfId="2" quotePrefix="1" applyNumberFormat="1" applyFont="1" applyBorder="1" applyAlignment="1">
      <alignment horizontal="center" vertical="center"/>
    </xf>
    <xf numFmtId="3" fontId="34" fillId="2" borderId="136" xfId="0" applyNumberFormat="1" applyFont="1" applyFill="1" applyBorder="1" applyAlignment="1">
      <alignment horizontal="center" vertical="center" wrapText="1"/>
    </xf>
    <xf numFmtId="165" fontId="32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4" fillId="2" borderId="116" xfId="2" applyNumberFormat="1" applyFont="1" applyFill="1" applyBorder="1" applyAlignment="1">
      <alignment horizontal="center" vertical="center" wrapText="1"/>
    </xf>
    <xf numFmtId="3" fontId="32" fillId="0" borderId="125" xfId="0" applyNumberFormat="1" applyFont="1" applyBorder="1" applyAlignment="1">
      <alignment horizontal="right" vertical="center"/>
    </xf>
    <xf numFmtId="3" fontId="32" fillId="0" borderId="90" xfId="0" applyNumberFormat="1" applyFont="1" applyBorder="1" applyAlignment="1">
      <alignment vertical="center"/>
    </xf>
    <xf numFmtId="0" fontId="28" fillId="2" borderId="137" xfId="0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horizontal="right" vertical="center"/>
    </xf>
    <xf numFmtId="3" fontId="32" fillId="0" borderId="139" xfId="0" applyNumberFormat="1" applyFont="1" applyBorder="1" applyAlignment="1">
      <alignment horizontal="right" vertical="center"/>
    </xf>
    <xf numFmtId="3" fontId="32" fillId="0" borderId="137" xfId="0" applyNumberFormat="1" applyFont="1" applyBorder="1" applyAlignment="1">
      <alignment horizontal="right" vertical="center"/>
    </xf>
    <xf numFmtId="3" fontId="34" fillId="2" borderId="137" xfId="0" applyNumberFormat="1" applyFont="1" applyFill="1" applyBorder="1" applyAlignment="1">
      <alignment horizontal="right" vertical="center" wrapText="1"/>
    </xf>
    <xf numFmtId="3" fontId="32" fillId="0" borderId="140" xfId="0" applyNumberFormat="1" applyFont="1" applyBorder="1" applyAlignment="1">
      <alignment horizontal="right" vertical="center"/>
    </xf>
    <xf numFmtId="0" fontId="32" fillId="0" borderId="141" xfId="0" quotePrefix="1" applyFont="1" applyBorder="1" applyAlignment="1">
      <alignment horizontal="center" vertical="center"/>
    </xf>
    <xf numFmtId="0" fontId="28" fillId="2" borderId="141" xfId="0" applyFont="1" applyFill="1" applyBorder="1" applyAlignment="1">
      <alignment horizontal="center" vertical="center" wrapText="1"/>
    </xf>
    <xf numFmtId="165" fontId="32" fillId="0" borderId="142" xfId="2" applyNumberFormat="1" applyFont="1" applyBorder="1" applyAlignment="1">
      <alignment horizontal="center" vertical="center"/>
    </xf>
    <xf numFmtId="165" fontId="32" fillId="0" borderId="143" xfId="2" applyNumberFormat="1" applyFont="1" applyBorder="1" applyAlignment="1">
      <alignment horizontal="center" vertical="center"/>
    </xf>
    <xf numFmtId="165" fontId="34" fillId="2" borderId="141" xfId="2" applyNumberFormat="1" applyFont="1" applyFill="1" applyBorder="1" applyAlignment="1">
      <alignment horizontal="center" vertical="center" wrapText="1"/>
    </xf>
    <xf numFmtId="165" fontId="32" fillId="0" borderId="144" xfId="2" applyNumberFormat="1" applyFont="1" applyBorder="1" applyAlignment="1">
      <alignment horizontal="center" vertical="center"/>
    </xf>
    <xf numFmtId="3" fontId="34" fillId="2" borderId="145" xfId="0" applyNumberFormat="1" applyFont="1" applyFill="1" applyBorder="1" applyAlignment="1">
      <alignment horizontal="right" vertical="center" wrapText="1"/>
    </xf>
    <xf numFmtId="165" fontId="34" fillId="2" borderId="146" xfId="2" applyNumberFormat="1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vertical="center"/>
    </xf>
    <xf numFmtId="3" fontId="32" fillId="0" borderId="139" xfId="0" applyNumberFormat="1" applyFont="1" applyBorder="1" applyAlignment="1">
      <alignment vertical="center"/>
    </xf>
    <xf numFmtId="3" fontId="32" fillId="0" borderId="140" xfId="0" applyNumberFormat="1" applyFont="1" applyBorder="1" applyAlignment="1">
      <alignment vertical="center"/>
    </xf>
    <xf numFmtId="3" fontId="32" fillId="0" borderId="147" xfId="0" applyNumberFormat="1" applyFont="1" applyBorder="1" applyAlignment="1">
      <alignment horizontal="right" vertical="center"/>
    </xf>
    <xf numFmtId="3" fontId="32" fillId="0" borderId="148" xfId="0" applyNumberFormat="1" applyFont="1" applyBorder="1" applyAlignment="1">
      <alignment horizontal="right" vertical="center"/>
    </xf>
    <xf numFmtId="3" fontId="32" fillId="0" borderId="149" xfId="0" applyNumberFormat="1" applyFont="1" applyBorder="1" applyAlignment="1">
      <alignment horizontal="right" vertical="center"/>
    </xf>
    <xf numFmtId="3" fontId="32" fillId="0" borderId="150" xfId="0" applyNumberFormat="1" applyFont="1" applyBorder="1" applyAlignment="1">
      <alignment horizontal="right" vertical="center"/>
    </xf>
    <xf numFmtId="3" fontId="32" fillId="0" borderId="151" xfId="0" applyNumberFormat="1" applyFont="1" applyBorder="1" applyAlignment="1">
      <alignment horizontal="right" vertical="center"/>
    </xf>
    <xf numFmtId="165" fontId="32" fillId="0" borderId="134" xfId="2" applyNumberFormat="1" applyFont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 wrapText="1"/>
    </xf>
    <xf numFmtId="165" fontId="32" fillId="0" borderId="152" xfId="2" applyNumberFormat="1" applyFont="1" applyBorder="1" applyAlignment="1">
      <alignment horizontal="center" vertical="center"/>
    </xf>
    <xf numFmtId="165" fontId="32" fillId="0" borderId="153" xfId="2" quotePrefix="1" applyNumberFormat="1" applyFont="1" applyBorder="1" applyAlignment="1">
      <alignment horizontal="center" vertical="center"/>
    </xf>
    <xf numFmtId="165" fontId="32" fillId="0" borderId="153" xfId="2" applyNumberFormat="1" applyFont="1" applyBorder="1" applyAlignment="1">
      <alignment horizontal="center" vertical="center"/>
    </xf>
    <xf numFmtId="165" fontId="32" fillId="0" borderId="154" xfId="2" applyNumberFormat="1" applyFont="1" applyBorder="1" applyAlignment="1">
      <alignment horizontal="center" vertical="center"/>
    </xf>
    <xf numFmtId="165" fontId="32" fillId="0" borderId="155" xfId="2" applyNumberFormat="1" applyFont="1" applyBorder="1" applyAlignment="1">
      <alignment horizontal="center" vertical="center"/>
    </xf>
    <xf numFmtId="165" fontId="32" fillId="0" borderId="156" xfId="2" applyNumberFormat="1" applyFont="1" applyBorder="1" applyAlignment="1">
      <alignment horizontal="center" vertical="center"/>
    </xf>
    <xf numFmtId="165" fontId="32" fillId="0" borderId="157" xfId="2" applyNumberFormat="1" applyFont="1" applyBorder="1" applyAlignment="1">
      <alignment horizontal="center" vertical="center"/>
    </xf>
    <xf numFmtId="165" fontId="32" fillId="0" borderId="157" xfId="2" quotePrefix="1" applyNumberFormat="1" applyFont="1" applyBorder="1" applyAlignment="1">
      <alignment horizontal="center" vertical="center"/>
    </xf>
    <xf numFmtId="165" fontId="32" fillId="0" borderId="158" xfId="2" applyNumberFormat="1" applyFont="1" applyBorder="1" applyAlignment="1">
      <alignment horizontal="center" vertical="center"/>
    </xf>
    <xf numFmtId="165" fontId="32" fillId="0" borderId="159" xfId="2" applyNumberFormat="1" applyFont="1" applyBorder="1" applyAlignment="1">
      <alignment horizontal="center" vertical="center"/>
    </xf>
    <xf numFmtId="165" fontId="44" fillId="3" borderId="67" xfId="2" applyNumberFormat="1" applyFont="1" applyFill="1" applyBorder="1" applyAlignment="1">
      <alignment horizontal="center" vertical="center" wrapText="1"/>
    </xf>
    <xf numFmtId="165" fontId="44" fillId="0" borderId="160" xfId="2" applyNumberFormat="1" applyFont="1" applyFill="1" applyBorder="1" applyAlignment="1">
      <alignment horizontal="center" vertical="center" wrapText="1"/>
    </xf>
    <xf numFmtId="165" fontId="32" fillId="0" borderId="156" xfId="2" applyNumberFormat="1" applyFont="1" applyFill="1" applyBorder="1" applyAlignment="1">
      <alignment horizontal="center" vertical="center"/>
    </xf>
    <xf numFmtId="165" fontId="44" fillId="3" borderId="158" xfId="2" applyNumberFormat="1" applyFont="1" applyFill="1" applyBorder="1" applyAlignment="1">
      <alignment horizontal="center" vertical="center" wrapText="1"/>
    </xf>
    <xf numFmtId="3" fontId="32" fillId="0" borderId="162" xfId="0" applyNumberFormat="1" applyFont="1" applyBorder="1" applyAlignment="1">
      <alignment horizontal="right" vertical="center"/>
    </xf>
    <xf numFmtId="3" fontId="32" fillId="0" borderId="163" xfId="0" applyNumberFormat="1" applyFont="1" applyBorder="1" applyAlignment="1">
      <alignment horizontal="right" vertical="center"/>
    </xf>
    <xf numFmtId="3" fontId="44" fillId="3" borderId="137" xfId="0" applyNumberFormat="1" applyFont="1" applyFill="1" applyBorder="1" applyAlignment="1">
      <alignment horizontal="right" vertical="center" wrapText="1"/>
    </xf>
    <xf numFmtId="3" fontId="32" fillId="0" borderId="150" xfId="2" applyNumberFormat="1" applyFont="1" applyBorder="1" applyAlignment="1">
      <alignment horizontal="right" vertical="center"/>
    </xf>
    <xf numFmtId="3" fontId="44" fillId="3" borderId="163" xfId="0" applyNumberFormat="1" applyFont="1" applyFill="1" applyBorder="1" applyAlignment="1">
      <alignment horizontal="right" vertical="center" wrapText="1"/>
    </xf>
    <xf numFmtId="165" fontId="34" fillId="2" borderId="164" xfId="2" applyNumberFormat="1" applyFont="1" applyFill="1" applyBorder="1" applyAlignment="1">
      <alignment horizontal="center" vertical="center" wrapText="1"/>
    </xf>
    <xf numFmtId="3" fontId="34" fillId="2" borderId="161" xfId="0" applyNumberFormat="1" applyFont="1" applyFill="1" applyBorder="1" applyAlignment="1">
      <alignment horizontal="right" vertical="center" wrapText="1"/>
    </xf>
    <xf numFmtId="165" fontId="34" fillId="2" borderId="165" xfId="2" applyNumberFormat="1" applyFont="1" applyFill="1" applyBorder="1" applyAlignment="1">
      <alignment horizontal="center" vertical="center" wrapText="1"/>
    </xf>
    <xf numFmtId="165" fontId="32" fillId="0" borderId="8" xfId="2" applyNumberFormat="1" applyFont="1" applyFill="1" applyBorder="1" applyAlignment="1">
      <alignment horizontal="center" vertical="center"/>
    </xf>
    <xf numFmtId="0" fontId="32" fillId="0" borderId="67" xfId="0" quotePrefix="1" applyFont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3" fontId="32" fillId="0" borderId="137" xfId="0" applyNumberFormat="1" applyFont="1" applyFill="1" applyBorder="1" applyAlignment="1">
      <alignment vertical="center"/>
    </xf>
    <xf numFmtId="3" fontId="32" fillId="0" borderId="138" xfId="0" applyNumberFormat="1" applyFont="1" applyFill="1" applyBorder="1" applyAlignment="1">
      <alignment vertical="center"/>
    </xf>
    <xf numFmtId="3" fontId="32" fillId="0" borderId="139" xfId="0" applyNumberFormat="1" applyFont="1" applyFill="1" applyBorder="1" applyAlignment="1">
      <alignment vertical="center"/>
    </xf>
    <xf numFmtId="4" fontId="32" fillId="0" borderId="137" xfId="0" applyNumberFormat="1" applyFont="1" applyBorder="1" applyAlignment="1">
      <alignment vertical="center"/>
    </xf>
    <xf numFmtId="3" fontId="32" fillId="0" borderId="140" xfId="0" applyNumberFormat="1" applyFont="1" applyFill="1" applyBorder="1" applyAlignment="1">
      <alignment vertical="center"/>
    </xf>
    <xf numFmtId="3" fontId="34" fillId="2" borderId="137" xfId="0" applyNumberFormat="1" applyFont="1" applyFill="1" applyBorder="1" applyAlignment="1">
      <alignment horizontal="center" vertical="center" wrapText="1"/>
    </xf>
    <xf numFmtId="3" fontId="34" fillId="2" borderId="145" xfId="0" applyNumberFormat="1" applyFont="1" applyFill="1" applyBorder="1" applyAlignment="1">
      <alignment horizontal="center" vertical="center" wrapText="1"/>
    </xf>
    <xf numFmtId="165" fontId="34" fillId="2" borderId="167" xfId="2" applyNumberFormat="1" applyFont="1" applyFill="1" applyBorder="1" applyAlignment="1">
      <alignment horizontal="center" vertical="center" wrapText="1"/>
    </xf>
    <xf numFmtId="3" fontId="38" fillId="0" borderId="137" xfId="304" applyNumberFormat="1" applyFont="1" applyBorder="1" applyAlignment="1">
      <alignment horizontal="right" vertical="center"/>
    </xf>
    <xf numFmtId="0" fontId="32" fillId="0" borderId="169" xfId="0" quotePrefix="1" applyFont="1" applyBorder="1" applyAlignment="1">
      <alignment horizontal="center" vertical="center"/>
    </xf>
    <xf numFmtId="0" fontId="28" fillId="2" borderId="169" xfId="0" applyFont="1" applyFill="1" applyBorder="1" applyAlignment="1">
      <alignment horizontal="center" vertical="center" wrapText="1"/>
    </xf>
    <xf numFmtId="165" fontId="32" fillId="0" borderId="122" xfId="2" applyNumberFormat="1" applyFont="1" applyBorder="1" applyAlignment="1">
      <alignment horizontal="center" vertical="center"/>
    </xf>
    <xf numFmtId="165" fontId="32" fillId="0" borderId="170" xfId="2" applyNumberFormat="1" applyFont="1" applyBorder="1" applyAlignment="1">
      <alignment horizontal="center" vertical="center"/>
    </xf>
    <xf numFmtId="165" fontId="32" fillId="0" borderId="171" xfId="2" applyNumberFormat="1" applyFont="1" applyBorder="1" applyAlignment="1">
      <alignment horizontal="center" vertical="center"/>
    </xf>
    <xf numFmtId="165" fontId="32" fillId="0" borderId="172" xfId="2" applyNumberFormat="1" applyFont="1" applyBorder="1" applyAlignment="1">
      <alignment horizontal="center" vertical="center"/>
    </xf>
    <xf numFmtId="165" fontId="34" fillId="2" borderId="169" xfId="2" applyNumberFormat="1" applyFont="1" applyFill="1" applyBorder="1" applyAlignment="1">
      <alignment horizontal="center" vertical="center" wrapText="1"/>
    </xf>
    <xf numFmtId="165" fontId="34" fillId="2" borderId="173" xfId="2" applyNumberFormat="1" applyFont="1" applyFill="1" applyBorder="1" applyAlignment="1">
      <alignment horizontal="center" vertical="center" wrapText="1"/>
    </xf>
    <xf numFmtId="3" fontId="28" fillId="2" borderId="137" xfId="0" applyNumberFormat="1" applyFont="1" applyFill="1" applyBorder="1" applyAlignment="1">
      <alignment horizontal="center" vertical="center" wrapText="1"/>
    </xf>
    <xf numFmtId="3" fontId="32" fillId="0" borderId="138" xfId="0" applyNumberFormat="1" applyFont="1" applyBorder="1" applyAlignment="1">
      <alignment horizontal="center" vertical="center"/>
    </xf>
    <xf numFmtId="3" fontId="32" fillId="0" borderId="140" xfId="0" applyNumberFormat="1" applyFont="1" applyBorder="1" applyAlignment="1">
      <alignment horizontal="center" vertical="center"/>
    </xf>
    <xf numFmtId="3" fontId="32" fillId="0" borderId="137" xfId="0" applyNumberFormat="1" applyFont="1" applyBorder="1" applyAlignment="1">
      <alignment horizontal="center" vertical="center"/>
    </xf>
    <xf numFmtId="3" fontId="32" fillId="0" borderId="174" xfId="0" applyNumberFormat="1" applyFont="1" applyBorder="1" applyAlignment="1">
      <alignment vertical="center"/>
    </xf>
    <xf numFmtId="165" fontId="34" fillId="2" borderId="6" xfId="2" applyNumberFormat="1" applyFont="1" applyFill="1" applyBorder="1" applyAlignment="1">
      <alignment horizontal="center" vertical="center" wrapText="1"/>
    </xf>
    <xf numFmtId="165" fontId="32" fillId="0" borderId="160" xfId="2" applyNumberFormat="1" applyFont="1" applyBorder="1" applyAlignment="1">
      <alignment horizontal="center" vertical="center"/>
    </xf>
    <xf numFmtId="0" fontId="32" fillId="0" borderId="35" xfId="0" quotePrefix="1" applyFont="1" applyBorder="1" applyAlignment="1">
      <alignment horizontal="center" vertical="center"/>
    </xf>
    <xf numFmtId="0" fontId="34" fillId="2" borderId="116" xfId="0" applyFont="1" applyFill="1" applyBorder="1" applyAlignment="1">
      <alignment horizontal="center" vertical="center" wrapText="1"/>
    </xf>
    <xf numFmtId="165" fontId="34" fillId="2" borderId="164" xfId="2" quotePrefix="1" applyNumberFormat="1" applyFont="1" applyFill="1" applyBorder="1" applyAlignment="1">
      <alignment horizontal="center" vertical="center" wrapText="1"/>
    </xf>
    <xf numFmtId="165" fontId="34" fillId="2" borderId="175" xfId="2" applyNumberFormat="1" applyFont="1" applyFill="1" applyBorder="1" applyAlignment="1">
      <alignment horizontal="center" vertical="center" wrapText="1"/>
    </xf>
    <xf numFmtId="0" fontId="34" fillId="2" borderId="175" xfId="0" quotePrefix="1" applyFont="1" applyFill="1" applyBorder="1" applyAlignment="1">
      <alignment horizontal="center" vertical="center" wrapText="1"/>
    </xf>
    <xf numFmtId="165" fontId="32" fillId="0" borderId="0" xfId="0" quotePrefix="1" applyNumberFormat="1" applyFont="1" applyBorder="1" applyAlignment="1">
      <alignment horizontal="center" vertical="center"/>
    </xf>
    <xf numFmtId="165" fontId="28" fillId="2" borderId="0" xfId="0" applyNumberFormat="1" applyFont="1" applyFill="1" applyBorder="1" applyAlignment="1">
      <alignment horizontal="center" vertical="center" wrapText="1"/>
    </xf>
    <xf numFmtId="165" fontId="32" fillId="0" borderId="176" xfId="2" applyNumberFormat="1" applyFont="1" applyBorder="1" applyAlignment="1">
      <alignment horizontal="center" vertical="center"/>
    </xf>
    <xf numFmtId="165" fontId="32" fillId="0" borderId="177" xfId="2" applyNumberFormat="1" applyFont="1" applyBorder="1" applyAlignment="1">
      <alignment horizontal="center" vertical="center"/>
    </xf>
    <xf numFmtId="165" fontId="34" fillId="2" borderId="178" xfId="2" applyNumberFormat="1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shrinkToFit="1"/>
    </xf>
    <xf numFmtId="3" fontId="32" fillId="0" borderId="35" xfId="0" applyNumberFormat="1" applyFont="1" applyFill="1" applyBorder="1" applyAlignment="1">
      <alignment vertical="center"/>
    </xf>
    <xf numFmtId="3" fontId="32" fillId="0" borderId="50" xfId="0" applyNumberFormat="1" applyFont="1" applyFill="1" applyBorder="1" applyAlignment="1">
      <alignment vertical="center"/>
    </xf>
    <xf numFmtId="3" fontId="32" fillId="0" borderId="52" xfId="0" applyNumberFormat="1" applyFont="1" applyFill="1" applyBorder="1" applyAlignment="1">
      <alignment vertical="center"/>
    </xf>
    <xf numFmtId="4" fontId="32" fillId="0" borderId="35" xfId="0" applyNumberFormat="1" applyFont="1" applyBorder="1" applyAlignment="1">
      <alignment vertical="center"/>
    </xf>
    <xf numFmtId="3" fontId="32" fillId="0" borderId="54" xfId="0" applyNumberFormat="1" applyFont="1" applyFill="1" applyBorder="1" applyAlignment="1">
      <alignment vertical="center"/>
    </xf>
    <xf numFmtId="165" fontId="38" fillId="0" borderId="0" xfId="2" applyNumberFormat="1" applyFont="1" applyBorder="1" applyAlignment="1">
      <alignment horizontal="center" vertical="center"/>
    </xf>
    <xf numFmtId="165" fontId="38" fillId="0" borderId="22" xfId="2" applyNumberFormat="1" applyFont="1" applyBorder="1" applyAlignment="1">
      <alignment horizontal="center" vertical="center"/>
    </xf>
    <xf numFmtId="3" fontId="38" fillId="0" borderId="21" xfId="0" applyNumberFormat="1" applyFont="1" applyBorder="1" applyAlignment="1">
      <alignment horizontal="right" vertical="center"/>
    </xf>
    <xf numFmtId="3" fontId="38" fillId="0" borderId="19" xfId="0" applyNumberFormat="1" applyFont="1" applyBorder="1" applyAlignment="1">
      <alignment horizontal="right" vertical="center"/>
    </xf>
    <xf numFmtId="165" fontId="38" fillId="0" borderId="95" xfId="2" quotePrefix="1" applyNumberFormat="1" applyFont="1" applyBorder="1" applyAlignment="1">
      <alignment horizontal="center" vertical="center"/>
    </xf>
    <xf numFmtId="3" fontId="38" fillId="0" borderId="20" xfId="0" applyNumberFormat="1" applyFont="1" applyBorder="1" applyAlignment="1">
      <alignment horizontal="right" vertical="center"/>
    </xf>
    <xf numFmtId="165" fontId="38" fillId="0" borderId="67" xfId="2" applyNumberFormat="1" applyFont="1" applyFill="1" applyBorder="1" applyAlignment="1">
      <alignment horizontal="center" vertical="center" wrapText="1"/>
    </xf>
    <xf numFmtId="3" fontId="32" fillId="0" borderId="105" xfId="0" applyNumberFormat="1" applyFont="1" applyBorder="1" applyAlignment="1">
      <alignment vertical="center"/>
    </xf>
    <xf numFmtId="0" fontId="31" fillId="0" borderId="106" xfId="0" applyFont="1" applyBorder="1" applyAlignment="1">
      <alignment vertical="center"/>
    </xf>
    <xf numFmtId="3" fontId="32" fillId="0" borderId="104" xfId="0" applyNumberFormat="1" applyFont="1" applyFill="1" applyBorder="1" applyAlignment="1">
      <alignment vertical="center"/>
    </xf>
    <xf numFmtId="3" fontId="32" fillId="0" borderId="174" xfId="0" applyNumberFormat="1" applyFont="1" applyFill="1" applyBorder="1" applyAlignment="1">
      <alignment vertical="center"/>
    </xf>
    <xf numFmtId="165" fontId="32" fillId="0" borderId="128" xfId="2" quotePrefix="1" applyNumberFormat="1" applyFont="1" applyBorder="1" applyAlignment="1">
      <alignment horizontal="center" vertical="center"/>
    </xf>
    <xf numFmtId="164" fontId="32" fillId="0" borderId="106" xfId="0" quotePrefix="1" applyNumberFormat="1" applyFont="1" applyBorder="1" applyAlignment="1">
      <alignment horizontal="center" vertical="center"/>
    </xf>
    <xf numFmtId="165" fontId="32" fillId="0" borderId="103" xfId="2" quotePrefix="1" applyNumberFormat="1" applyFont="1" applyBorder="1" applyAlignment="1">
      <alignment horizontal="center" vertical="center"/>
    </xf>
    <xf numFmtId="0" fontId="31" fillId="0" borderId="103" xfId="0" applyFont="1" applyBorder="1" applyAlignment="1">
      <alignment vertical="center"/>
    </xf>
    <xf numFmtId="164" fontId="32" fillId="0" borderId="106" xfId="0" quotePrefix="1" applyNumberFormat="1" applyFont="1" applyFill="1" applyBorder="1" applyAlignment="1">
      <alignment horizontal="center" vertical="center"/>
    </xf>
    <xf numFmtId="165" fontId="32" fillId="0" borderId="179" xfId="2" applyNumberFormat="1" applyFont="1" applyBorder="1" applyAlignment="1">
      <alignment horizontal="center" vertical="center"/>
    </xf>
    <xf numFmtId="0" fontId="27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2" fillId="0" borderId="181" xfId="2" quotePrefix="1" applyNumberFormat="1" applyFont="1" applyBorder="1" applyAlignment="1">
      <alignment horizontal="center" vertical="center"/>
    </xf>
    <xf numFmtId="3" fontId="32" fillId="0" borderId="181" xfId="0" quotePrefix="1" applyNumberFormat="1" applyFont="1" applyBorder="1" applyAlignment="1">
      <alignment horizontal="center" vertical="center"/>
    </xf>
    <xf numFmtId="3" fontId="32" fillId="0" borderId="87" xfId="0" applyNumberFormat="1" applyFont="1" applyBorder="1" applyAlignment="1">
      <alignment vertical="center"/>
    </xf>
    <xf numFmtId="0" fontId="31" fillId="0" borderId="181" xfId="0" applyFont="1" applyBorder="1" applyAlignment="1">
      <alignment vertical="center"/>
    </xf>
    <xf numFmtId="3" fontId="32" fillId="0" borderId="180" xfId="0" applyNumberFormat="1" applyFont="1" applyBorder="1" applyAlignment="1">
      <alignment vertical="center"/>
    </xf>
    <xf numFmtId="165" fontId="32" fillId="0" borderId="182" xfId="2" applyNumberFormat="1" applyFont="1" applyBorder="1" applyAlignment="1">
      <alignment horizontal="center" vertical="center"/>
    </xf>
    <xf numFmtId="0" fontId="29" fillId="2" borderId="0" xfId="0" applyFont="1" applyFill="1" applyBorder="1"/>
    <xf numFmtId="3" fontId="32" fillId="0" borderId="181" xfId="0" quotePrefix="1" applyNumberFormat="1" applyFont="1" applyBorder="1" applyAlignment="1">
      <alignment horizontal="right" vertical="center"/>
    </xf>
    <xf numFmtId="165" fontId="34" fillId="2" borderId="28" xfId="2" quotePrefix="1" applyNumberFormat="1" applyFont="1" applyFill="1" applyBorder="1" applyAlignment="1">
      <alignment horizontal="center" vertical="center" wrapText="1"/>
    </xf>
    <xf numFmtId="3" fontId="32" fillId="0" borderId="19" xfId="0" applyNumberFormat="1" applyFont="1" applyFill="1" applyBorder="1" applyAlignment="1">
      <alignment horizontal="right" vertical="center"/>
    </xf>
    <xf numFmtId="165" fontId="32" fillId="0" borderId="143" xfId="2" quotePrefix="1" applyNumberFormat="1" applyFont="1" applyBorder="1" applyAlignment="1">
      <alignment horizontal="center" vertical="center"/>
    </xf>
    <xf numFmtId="165" fontId="32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2" fillId="0" borderId="0" xfId="0" applyNumberFormat="1" applyFont="1" applyAlignment="1">
      <alignment horizontal="center"/>
    </xf>
    <xf numFmtId="10" fontId="0" fillId="0" borderId="0" xfId="0" applyNumberFormat="1"/>
    <xf numFmtId="3" fontId="32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2" fillId="0" borderId="139" xfId="0" quotePrefix="1" applyNumberFormat="1" applyFont="1" applyFill="1" applyBorder="1" applyAlignment="1">
      <alignment horizontal="right" vertical="center"/>
    </xf>
    <xf numFmtId="165" fontId="32" fillId="0" borderId="187" xfId="2" applyNumberFormat="1" applyFont="1" applyBorder="1" applyAlignment="1">
      <alignment horizontal="center" vertical="center"/>
    </xf>
    <xf numFmtId="0" fontId="32" fillId="0" borderId="186" xfId="0" applyFont="1" applyBorder="1" applyAlignment="1">
      <alignment horizontal="center" vertical="center"/>
    </xf>
    <xf numFmtId="3" fontId="32" fillId="0" borderId="193" xfId="0" applyNumberFormat="1" applyFont="1" applyBorder="1" applyAlignment="1">
      <alignment vertical="center"/>
    </xf>
    <xf numFmtId="3" fontId="32" fillId="0" borderId="94" xfId="0" applyNumberFormat="1" applyFont="1" applyBorder="1" applyAlignment="1">
      <alignment vertical="center"/>
    </xf>
    <xf numFmtId="3" fontId="32" fillId="0" borderId="192" xfId="0" applyNumberFormat="1" applyFont="1" applyBorder="1" applyAlignment="1">
      <alignment vertical="center"/>
    </xf>
    <xf numFmtId="3" fontId="32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2" fillId="0" borderId="6" xfId="0" quotePrefix="1" applyNumberFormat="1" applyFont="1" applyFill="1" applyBorder="1" applyAlignment="1">
      <alignment horizontal="center" vertical="center"/>
    </xf>
    <xf numFmtId="3" fontId="34" fillId="2" borderId="194" xfId="0" applyNumberFormat="1" applyFont="1" applyFill="1" applyBorder="1" applyAlignment="1">
      <alignment horizontal="right" vertical="center" wrapText="1"/>
    </xf>
    <xf numFmtId="3" fontId="32" fillId="0" borderId="0" xfId="0" applyNumberFormat="1" applyFont="1" applyAlignment="1">
      <alignment horizontal="center"/>
    </xf>
    <xf numFmtId="3" fontId="94" fillId="0" borderId="196" xfId="0" applyNumberFormat="1" applyFont="1" applyFill="1" applyBorder="1" applyAlignment="1">
      <alignment vertical="center"/>
    </xf>
    <xf numFmtId="3" fontId="94" fillId="0" borderId="197" xfId="0" applyNumberFormat="1" applyFont="1" applyFill="1" applyBorder="1" applyAlignment="1">
      <alignment horizontal="right" vertical="center"/>
    </xf>
    <xf numFmtId="3" fontId="94" fillId="0" borderId="196" xfId="0" applyNumberFormat="1" applyFont="1" applyFill="1" applyBorder="1" applyAlignment="1">
      <alignment horizontal="right" vertical="center"/>
    </xf>
    <xf numFmtId="3" fontId="95" fillId="35" borderId="0" xfId="0" applyNumberFormat="1" applyFont="1" applyFill="1" applyBorder="1" applyAlignment="1">
      <alignment horizontal="right" vertical="center" wrapText="1"/>
    </xf>
    <xf numFmtId="3" fontId="94" fillId="0" borderId="195" xfId="0" applyNumberFormat="1" applyFont="1" applyFill="1" applyBorder="1" applyAlignment="1">
      <alignment vertical="center"/>
    </xf>
    <xf numFmtId="3" fontId="94" fillId="0" borderId="197" xfId="0" applyNumberFormat="1" applyFont="1" applyFill="1" applyBorder="1" applyAlignment="1">
      <alignment vertical="center"/>
    </xf>
    <xf numFmtId="3" fontId="95" fillId="35" borderId="198" xfId="0" applyNumberFormat="1" applyFont="1" applyFill="1" applyBorder="1" applyAlignment="1">
      <alignment horizontal="right" vertical="center" wrapText="1"/>
    </xf>
    <xf numFmtId="9" fontId="38" fillId="0" borderId="82" xfId="2" quotePrefix="1" applyNumberFormat="1" applyFont="1" applyBorder="1" applyAlignment="1">
      <alignment horizontal="center" vertical="center"/>
    </xf>
    <xf numFmtId="165" fontId="38" fillId="0" borderId="51" xfId="2" quotePrefix="1" applyNumberFormat="1" applyFont="1" applyFill="1" applyBorder="1" applyAlignment="1">
      <alignment horizontal="center" vertical="center"/>
    </xf>
    <xf numFmtId="165" fontId="38" fillId="0" borderId="89" xfId="2" quotePrefix="1" applyNumberFormat="1" applyFont="1" applyBorder="1" applyAlignment="1">
      <alignment horizontal="center" vertical="center"/>
    </xf>
    <xf numFmtId="165" fontId="38" fillId="0" borderId="91" xfId="2" quotePrefix="1" applyNumberFormat="1" applyFont="1" applyBorder="1" applyAlignment="1">
      <alignment horizontal="center" vertical="center"/>
    </xf>
    <xf numFmtId="3" fontId="34" fillId="2" borderId="96" xfId="0" applyNumberFormat="1" applyFont="1" applyFill="1" applyBorder="1" applyAlignment="1">
      <alignment horizontal="center" vertical="center" wrapText="1"/>
    </xf>
    <xf numFmtId="3" fontId="34" fillId="2" borderId="21" xfId="0" applyNumberFormat="1" applyFont="1" applyFill="1" applyBorder="1" applyAlignment="1">
      <alignment horizontal="center" vertical="center" wrapText="1"/>
    </xf>
    <xf numFmtId="3" fontId="32" fillId="0" borderId="139" xfId="0" applyNumberFormat="1" applyFont="1" applyFill="1" applyBorder="1" applyAlignment="1">
      <alignment horizontal="right" vertical="center"/>
    </xf>
    <xf numFmtId="2" fontId="38" fillId="0" borderId="0" xfId="304" applyNumberFormat="1" applyFont="1" applyAlignment="1">
      <alignment horizontal="right" vertical="center"/>
    </xf>
    <xf numFmtId="164" fontId="32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5" fillId="0" borderId="0" xfId="11" applyFont="1"/>
    <xf numFmtId="165" fontId="32" fillId="0" borderId="6" xfId="0" quotePrefix="1" applyNumberFormat="1" applyFont="1" applyBorder="1" applyAlignment="1">
      <alignment horizontal="center" vertical="center"/>
    </xf>
    <xf numFmtId="165" fontId="32" fillId="0" borderId="9" xfId="0" quotePrefix="1" applyNumberFormat="1" applyFont="1" applyBorder="1" applyAlignment="1">
      <alignment horizontal="center" vertical="center"/>
    </xf>
    <xf numFmtId="165" fontId="34" fillId="2" borderId="0" xfId="0" quotePrefix="1" applyNumberFormat="1" applyFont="1" applyFill="1" applyBorder="1" applyAlignment="1">
      <alignment horizontal="center" vertical="center" wrapText="1"/>
    </xf>
    <xf numFmtId="165" fontId="34" fillId="2" borderId="6" xfId="2" applyNumberFormat="1" applyFont="1" applyFill="1" applyBorder="1" applyAlignment="1">
      <alignment horizontal="center" vertical="center"/>
    </xf>
    <xf numFmtId="165" fontId="32" fillId="0" borderId="199" xfId="2" applyNumberFormat="1" applyFont="1" applyBorder="1" applyAlignment="1">
      <alignment horizontal="center" vertical="center"/>
    </xf>
    <xf numFmtId="3" fontId="32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 shrinkToFit="1"/>
    </xf>
    <xf numFmtId="0" fontId="32" fillId="0" borderId="13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33" fillId="0" borderId="2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129" xfId="0" quotePrefix="1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17" fontId="37" fillId="0" borderId="33" xfId="0" quotePrefix="1" applyNumberFormat="1" applyFont="1" applyFill="1" applyBorder="1" applyAlignment="1">
      <alignment horizontal="center"/>
    </xf>
    <xf numFmtId="17" fontId="37" fillId="0" borderId="49" xfId="0" quotePrefix="1" applyNumberFormat="1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/>
    </xf>
    <xf numFmtId="0" fontId="37" fillId="0" borderId="34" xfId="0" applyFont="1" applyFill="1" applyBorder="1" applyAlignment="1">
      <alignment horizontal="center"/>
    </xf>
    <xf numFmtId="0" fontId="33" fillId="0" borderId="47" xfId="0" quotePrefix="1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17" fontId="33" fillId="0" borderId="47" xfId="0" quotePrefix="1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3" fillId="0" borderId="29" xfId="0" quotePrefix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7" fillId="0" borderId="33" xfId="0" quotePrefix="1" applyNumberFormat="1" applyFont="1" applyBorder="1" applyAlignment="1">
      <alignment horizontal="center"/>
    </xf>
    <xf numFmtId="0" fontId="37" fillId="0" borderId="49" xfId="0" applyNumberFormat="1" applyFont="1" applyBorder="1" applyAlignment="1">
      <alignment horizontal="center"/>
    </xf>
    <xf numFmtId="0" fontId="37" fillId="0" borderId="34" xfId="0" applyNumberFormat="1" applyFont="1" applyBorder="1" applyAlignment="1">
      <alignment horizontal="center"/>
    </xf>
    <xf numFmtId="17" fontId="33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3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7" fillId="0" borderId="0" xfId="1" applyFont="1" applyAlignment="1">
      <alignment wrapText="1"/>
    </xf>
    <xf numFmtId="0" fontId="32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37" fillId="0" borderId="188" xfId="0" quotePrefix="1" applyNumberFormat="1" applyFont="1" applyBorder="1" applyAlignment="1">
      <alignment horizontal="center"/>
    </xf>
    <xf numFmtId="17" fontId="37" fillId="0" borderId="189" xfId="0" quotePrefix="1" applyNumberFormat="1" applyFont="1" applyBorder="1" applyAlignment="1">
      <alignment horizontal="center"/>
    </xf>
    <xf numFmtId="17" fontId="37" fillId="0" borderId="49" xfId="0" quotePrefix="1" applyNumberFormat="1" applyFont="1" applyBorder="1" applyAlignment="1">
      <alignment horizontal="center"/>
    </xf>
    <xf numFmtId="17" fontId="37" fillId="0" borderId="190" xfId="0" quotePrefix="1" applyNumberFormat="1" applyFont="1" applyBorder="1" applyAlignment="1">
      <alignment horizontal="center"/>
    </xf>
    <xf numFmtId="17" fontId="33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27" fillId="0" borderId="0" xfId="1" applyFont="1" applyAlignment="1">
      <alignment wrapText="1"/>
    </xf>
    <xf numFmtId="0" fontId="86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0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0" fillId="0" borderId="0" xfId="1" applyFont="1" applyAlignment="1"/>
    <xf numFmtId="0" fontId="0" fillId="0" borderId="0" xfId="0" applyAlignment="1"/>
    <xf numFmtId="0" fontId="33" fillId="0" borderId="49" xfId="0" quotePrefix="1" applyFont="1" applyBorder="1" applyAlignment="1">
      <alignment horizontal="center"/>
    </xf>
    <xf numFmtId="0" fontId="33" fillId="0" borderId="166" xfId="0" quotePrefix="1" applyFont="1" applyBorder="1" applyAlignment="1">
      <alignment horizontal="center"/>
    </xf>
    <xf numFmtId="3" fontId="0" fillId="0" borderId="0" xfId="0" applyNumberFormat="1" applyAlignment="1">
      <alignment shrinkToFit="1"/>
    </xf>
  </cellXfs>
  <cellStyles count="505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MAIG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0.34007315843118457</c:v>
                </c:pt>
                <c:pt idx="1">
                  <c:v>0.321770804646413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0.15208332763230328</c:v>
                </c:pt>
                <c:pt idx="1">
                  <c:v>0.14880185399123658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0.86345316587272647</c:v>
                </c:pt>
                <c:pt idx="1">
                  <c:v>0.30834408840947669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0.34799188963115263</c:v>
                </c:pt>
                <c:pt idx="1">
                  <c:v>0.29412060825778297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74120960"/>
        <c:axId val="174122496"/>
      </c:barChart>
      <c:catAx>
        <c:axId val="1741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74122496"/>
        <c:crosses val="autoZero"/>
        <c:auto val="1"/>
        <c:lblAlgn val="ctr"/>
        <c:lblOffset val="100"/>
        <c:noMultiLvlLbl val="0"/>
      </c:catAx>
      <c:valAx>
        <c:axId val="174122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120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0.321770804646413</c:v>
                </c:pt>
                <c:pt idx="1">
                  <c:v>0.14880185399123658</c:v>
                </c:pt>
                <c:pt idx="2">
                  <c:v>0.30834408840947669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459392"/>
        <c:axId val="180687616"/>
      </c:barChart>
      <c:catAx>
        <c:axId val="18045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687616"/>
        <c:crosses val="autoZero"/>
        <c:auto val="1"/>
        <c:lblAlgn val="ctr"/>
        <c:lblOffset val="100"/>
        <c:noMultiLvlLbl val="0"/>
      </c:catAx>
      <c:valAx>
        <c:axId val="180687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4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0.23657300755502322</c:v>
                </c:pt>
                <c:pt idx="1">
                  <c:v>0.50881665671540377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846528"/>
        <c:axId val="199852416"/>
      </c:barChart>
      <c:catAx>
        <c:axId val="19984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852416"/>
        <c:crosses val="autoZero"/>
        <c:auto val="1"/>
        <c:lblAlgn val="ctr"/>
        <c:lblOffset val="100"/>
        <c:noMultiLvlLbl val="0"/>
      </c:catAx>
      <c:valAx>
        <c:axId val="19985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84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7.5849262141786777E-2</c:v>
                </c:pt>
                <c:pt idx="1">
                  <c:v>0.69508709313949546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885568"/>
        <c:axId val="199887104"/>
      </c:barChart>
      <c:catAx>
        <c:axId val="199885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887104"/>
        <c:crosses val="autoZero"/>
        <c:auto val="1"/>
        <c:lblAlgn val="ctr"/>
        <c:lblOffset val="100"/>
        <c:noMultiLvlLbl val="0"/>
      </c:catAx>
      <c:valAx>
        <c:axId val="19988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88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3.8734913589490521E-3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924352"/>
        <c:axId val="199926144"/>
      </c:barChart>
      <c:catAx>
        <c:axId val="199924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926144"/>
        <c:crosses val="autoZero"/>
        <c:auto val="1"/>
        <c:lblAlgn val="ctr"/>
        <c:lblOffset val="100"/>
        <c:noMultiLvlLbl val="0"/>
      </c:catAx>
      <c:valAx>
        <c:axId val="19992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9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941120"/>
        <c:axId val="212875136"/>
      </c:barChart>
      <c:catAx>
        <c:axId val="199941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2875136"/>
        <c:crosses val="autoZero"/>
        <c:auto val="1"/>
        <c:lblAlgn val="ctr"/>
        <c:lblOffset val="100"/>
        <c:noMultiLvlLbl val="0"/>
      </c:catAx>
      <c:valAx>
        <c:axId val="21287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94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0.25595896713116711</c:v>
                </c:pt>
                <c:pt idx="1">
                  <c:v>0.40618238471378182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978304"/>
        <c:axId val="212980096"/>
      </c:barChart>
      <c:catAx>
        <c:axId val="21297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2980096"/>
        <c:crosses val="autoZero"/>
        <c:auto val="1"/>
        <c:lblAlgn val="ctr"/>
        <c:lblOffset val="100"/>
        <c:noMultiLvlLbl val="0"/>
      </c:catAx>
      <c:valAx>
        <c:axId val="212980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97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264990914597216E-3"/>
                  <c:y val="-1.6502873849629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0.19217084281006414</c:v>
                </c:pt>
                <c:pt idx="1">
                  <c:v>0.27171550373361142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191680"/>
        <c:axId val="213223296"/>
      </c:barChart>
      <c:catAx>
        <c:axId val="213191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3223296"/>
        <c:crosses val="autoZero"/>
        <c:auto val="1"/>
        <c:lblAlgn val="ctr"/>
        <c:lblOffset val="100"/>
        <c:noMultiLvlLbl val="0"/>
      </c:catAx>
      <c:valAx>
        <c:axId val="213223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19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0.16346538682589112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235968"/>
        <c:axId val="213647360"/>
      </c:barChart>
      <c:catAx>
        <c:axId val="213235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3647360"/>
        <c:crosses val="autoZero"/>
        <c:auto val="1"/>
        <c:lblAlgn val="ctr"/>
        <c:lblOffset val="100"/>
        <c:noMultiLvlLbl val="0"/>
      </c:catAx>
      <c:valAx>
        <c:axId val="21364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23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1725636250775917E-2"/>
                  <c:y val="-3.231918748542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0.43795255355771956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622400"/>
        <c:axId val="193623552"/>
      </c:barChart>
      <c:catAx>
        <c:axId val="19362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623552"/>
        <c:crosses val="autoZero"/>
        <c:auto val="1"/>
        <c:lblAlgn val="ctr"/>
        <c:lblOffset val="100"/>
        <c:noMultiLvlLbl val="0"/>
      </c:catAx>
      <c:valAx>
        <c:axId val="193623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62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0.23760066032023611</c:v>
                </c:pt>
                <c:pt idx="1">
                  <c:v>0.4810134245263441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3993728"/>
        <c:axId val="213995520"/>
      </c:barChart>
      <c:catAx>
        <c:axId val="213993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3995520"/>
        <c:crosses val="autoZero"/>
        <c:auto val="1"/>
        <c:lblAlgn val="ctr"/>
        <c:lblOffset val="100"/>
        <c:noMultiLvlLbl val="0"/>
      </c:catAx>
      <c:valAx>
        <c:axId val="213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99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745406824145E-3"/>
                  <c:y val="4.25263297783979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0.31445287848436876</c:v>
                </c:pt>
                <c:pt idx="1">
                  <c:v>0.21225278649726165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002304"/>
        <c:axId val="214017536"/>
      </c:barChart>
      <c:catAx>
        <c:axId val="214002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017536"/>
        <c:crosses val="autoZero"/>
        <c:auto val="1"/>
        <c:lblAlgn val="ctr"/>
        <c:lblOffset val="100"/>
        <c:noMultiLvlLbl val="0"/>
      </c:catAx>
      <c:valAx>
        <c:axId val="214017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00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50296176628969E-3"/>
                  <c:y val="-6.7069081153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5148088314485E-3"/>
                  <c:y val="-4.4712720769058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-9.25853018372703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-5.1366724246194373E-2</c:v>
                </c:pt>
                <c:pt idx="1">
                  <c:v>5.3934365462557032E-2</c:v>
                </c:pt>
                <c:pt idx="2">
                  <c:v>-0.69827884736679868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694400"/>
        <c:axId val="180721920"/>
      </c:barChart>
      <c:catAx>
        <c:axId val="18069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721920"/>
        <c:crosses val="autoZero"/>
        <c:auto val="1"/>
        <c:lblAlgn val="ctr"/>
        <c:lblOffset val="100"/>
        <c:noMultiLvlLbl val="0"/>
      </c:catAx>
      <c:valAx>
        <c:axId val="180721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69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6.8097531415172954E-2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468480"/>
        <c:axId val="214470016"/>
      </c:barChart>
      <c:catAx>
        <c:axId val="21446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4470016"/>
        <c:crosses val="autoZero"/>
        <c:auto val="1"/>
        <c:lblAlgn val="ctr"/>
        <c:lblOffset val="100"/>
        <c:noMultiLvlLbl val="0"/>
      </c:catAx>
      <c:valAx>
        <c:axId val="21447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46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1.716823371762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9.5981392254906623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477056"/>
        <c:axId val="214496384"/>
      </c:barChart>
      <c:catAx>
        <c:axId val="214477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4496384"/>
        <c:crosses val="autoZero"/>
        <c:auto val="1"/>
        <c:lblAlgn val="ctr"/>
        <c:lblOffset val="100"/>
        <c:noMultiLvlLbl val="0"/>
      </c:catAx>
      <c:valAx>
        <c:axId val="214496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47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0.22247329115146131</c:v>
                </c:pt>
                <c:pt idx="1">
                  <c:v>0.40415117074346396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143040"/>
        <c:axId val="203144576"/>
      </c:barChart>
      <c:catAx>
        <c:axId val="203143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144576"/>
        <c:crosses val="autoZero"/>
        <c:auto val="1"/>
        <c:lblAlgn val="ctr"/>
        <c:lblOffset val="100"/>
        <c:noMultiLvlLbl val="0"/>
      </c:catAx>
      <c:valAx>
        <c:axId val="203144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14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16490955390349E-3"/>
                  <c:y val="0.22995916442434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-4.1866944078519652E-2</c:v>
                </c:pt>
                <c:pt idx="1">
                  <c:v>0.26169581237521933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920576"/>
        <c:axId val="212931712"/>
      </c:barChart>
      <c:catAx>
        <c:axId val="21292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2931712"/>
        <c:crosses val="autoZero"/>
        <c:auto val="1"/>
        <c:lblAlgn val="ctr"/>
        <c:lblOffset val="100"/>
        <c:noMultiLvlLbl val="0"/>
      </c:catAx>
      <c:valAx>
        <c:axId val="21293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92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0.13032809070555015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872960"/>
        <c:axId val="208874496"/>
      </c:barChart>
      <c:catAx>
        <c:axId val="208872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874496"/>
        <c:crosses val="autoZero"/>
        <c:auto val="1"/>
        <c:lblAlgn val="ctr"/>
        <c:lblOffset val="100"/>
        <c:noMultiLvlLbl val="0"/>
      </c:catAx>
      <c:valAx>
        <c:axId val="208874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8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2.5577627140244812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902016"/>
        <c:axId val="208909056"/>
      </c:barChart>
      <c:catAx>
        <c:axId val="20890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909056"/>
        <c:crosses val="autoZero"/>
        <c:auto val="1"/>
        <c:lblAlgn val="ctr"/>
        <c:lblOffset val="100"/>
        <c:noMultiLvlLbl val="0"/>
      </c:catAx>
      <c:valAx>
        <c:axId val="208909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90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0.23489295005173538</c:v>
                </c:pt>
                <c:pt idx="1">
                  <c:v>0.4477259727124091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110592"/>
        <c:axId val="216112128"/>
      </c:barChart>
      <c:catAx>
        <c:axId val="216110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6112128"/>
        <c:crosses val="autoZero"/>
        <c:auto val="1"/>
        <c:lblAlgn val="ctr"/>
        <c:lblOffset val="100"/>
        <c:noMultiLvlLbl val="0"/>
      </c:catAx>
      <c:valAx>
        <c:axId val="21611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11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7.7783439148842115E-2</c:v>
                </c:pt>
                <c:pt idx="1">
                  <c:v>0.53344806388665322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119168"/>
        <c:axId val="216339200"/>
      </c:barChart>
      <c:catAx>
        <c:axId val="216119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6339200"/>
        <c:crosses val="autoZero"/>
        <c:auto val="1"/>
        <c:lblAlgn val="ctr"/>
        <c:lblOffset val="100"/>
        <c:noMultiLvlLbl val="0"/>
      </c:catAx>
      <c:valAx>
        <c:axId val="216339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11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8.7575885177888044E-2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384640"/>
        <c:axId val="216386176"/>
      </c:barChart>
      <c:catAx>
        <c:axId val="216384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6386176"/>
        <c:crosses val="autoZero"/>
        <c:auto val="1"/>
        <c:lblAlgn val="ctr"/>
        <c:lblOffset val="100"/>
        <c:noMultiLvlLbl val="0"/>
      </c:catAx>
      <c:valAx>
        <c:axId val="216386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38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4.0112720048505786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794624"/>
        <c:axId val="216818048"/>
      </c:barChart>
      <c:catAx>
        <c:axId val="216794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6818048"/>
        <c:crosses val="autoZero"/>
        <c:auto val="1"/>
        <c:lblAlgn val="ctr"/>
        <c:lblOffset val="100"/>
        <c:noMultiLvlLbl val="0"/>
      </c:catAx>
      <c:valAx>
        <c:axId val="21681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679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0.38850568820918091</c:v>
                </c:pt>
                <c:pt idx="1">
                  <c:v>0.22582962242813034</c:v>
                </c:pt>
                <c:pt idx="2">
                  <c:v>0.23805928597285067</c:v>
                </c:pt>
                <c:pt idx="3">
                  <c:v>0.36090047609872178</c:v>
                </c:pt>
                <c:pt idx="4">
                  <c:v>0</c:v>
                </c:pt>
                <c:pt idx="5">
                  <c:v>0.16000319376393163</c:v>
                </c:pt>
                <c:pt idx="6">
                  <c:v>4.2003548083392427E-3</c:v>
                </c:pt>
                <c:pt idx="7">
                  <c:v>0.38992557370198577</c:v>
                </c:pt>
                <c:pt idx="8">
                  <c:v>0.29048840853395963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747648"/>
        <c:axId val="181142656"/>
      </c:barChart>
      <c:catAx>
        <c:axId val="18074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1142656"/>
        <c:crosses val="autoZero"/>
        <c:auto val="1"/>
        <c:lblAlgn val="ctr"/>
        <c:lblOffset val="100"/>
        <c:noMultiLvlLbl val="0"/>
      </c:catAx>
      <c:valAx>
        <c:axId val="181142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74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50296176628969E-3"/>
                  <c:y val="0.244200491536068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702572517692158E-3"/>
                  <c:y val="-2.7212366089093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589491135902037E-4"/>
                  <c:y val="0.22930230194254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81977111504034E-3"/>
                  <c:y val="0.11449450561418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925148088314485E-3"/>
                  <c:y val="1.2469551264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672391936485117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5304338977015E-3"/>
                  <c:y val="0.17056737202455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5589491135902037E-4"/>
                  <c:y val="0.57362876320957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-0.22061966653842979</c:v>
                </c:pt>
                <c:pt idx="1">
                  <c:v>9.2035992148779666E-2</c:v>
                </c:pt>
                <c:pt idx="2">
                  <c:v>-0.20819916859614351</c:v>
                </c:pt>
                <c:pt idx="3">
                  <c:v>-1.9137939913877688E-2</c:v>
                </c:pt>
                <c:pt idx="4">
                  <c:v>0</c:v>
                </c:pt>
                <c:pt idx="5">
                  <c:v>8.9640111025307556E-2</c:v>
                </c:pt>
                <c:pt idx="6">
                  <c:v>-0.93841645165772003</c:v>
                </c:pt>
                <c:pt idx="7">
                  <c:v>-0.10965090025513813</c:v>
                </c:pt>
                <c:pt idx="8">
                  <c:v>-0.74735106848554689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170176"/>
        <c:axId val="181172864"/>
      </c:barChart>
      <c:catAx>
        <c:axId val="181170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1172864"/>
        <c:crosses val="autoZero"/>
        <c:auto val="1"/>
        <c:lblAlgn val="ctr"/>
        <c:lblOffset val="100"/>
        <c:noMultiLvlLbl val="0"/>
      </c:catAx>
      <c:valAx>
        <c:axId val="18117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170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(DDetallCorrent!$J$11,DDetallCorrent!$J$61,DDetallCorrent!$J$65,DDetallCorrent!$J$139)</c:f>
              <c:numCache>
                <c:formatCode>0.0%</c:formatCode>
                <c:ptCount val="4"/>
                <c:pt idx="0">
                  <c:v>0.38850568820918085</c:v>
                </c:pt>
                <c:pt idx="1">
                  <c:v>0.22582962242813037</c:v>
                </c:pt>
                <c:pt idx="2">
                  <c:v>0.2380592859728507</c:v>
                </c:pt>
                <c:pt idx="3">
                  <c:v>0.35794814033278977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578752"/>
        <c:axId val="181580544"/>
      </c:barChart>
      <c:catAx>
        <c:axId val="18157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81580544"/>
        <c:crosses val="autoZero"/>
        <c:auto val="1"/>
        <c:lblAlgn val="ctr"/>
        <c:lblOffset val="100"/>
        <c:noMultiLvlLbl val="0"/>
      </c:catAx>
      <c:valAx>
        <c:axId val="181580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5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85641282379861E-3"/>
                  <c:y val="0.66609977398988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9280784071659891E-3"/>
                  <c:y val="0.542393440038511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7158408702046228E-5"/>
                  <c:y val="0.150588962913302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(DDetallCorrent!$B$11,DDetallCorrent!$B$61,DDetallCorrent!$B$65,DDetallCorrent!$B$139)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(DDetallCorrent!$P$11,DDetallCorrent!$P$61,DDetallCorrent!$P$65,DDetallCorrent!$P$139)</c:f>
              <c:numCache>
                <c:formatCode>0.0%</c:formatCode>
                <c:ptCount val="4"/>
                <c:pt idx="0">
                  <c:v>-0.2206196665384299</c:v>
                </c:pt>
                <c:pt idx="1">
                  <c:v>9.2035992148779888E-2</c:v>
                </c:pt>
                <c:pt idx="2">
                  <c:v>-0.20819916859614329</c:v>
                </c:pt>
                <c:pt idx="3">
                  <c:v>-1.9137939913877577E-2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474432"/>
        <c:axId val="181591424"/>
      </c:barChart>
      <c:catAx>
        <c:axId val="18147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591424"/>
        <c:crosses val="autoZero"/>
        <c:auto val="1"/>
        <c:lblAlgn val="ctr"/>
        <c:lblOffset val="100"/>
        <c:noMultiLvlLbl val="0"/>
      </c:catAx>
      <c:valAx>
        <c:axId val="18159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4744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0.27025724161484677</c:v>
                </c:pt>
                <c:pt idx="1">
                  <c:v>0.24036407473556473</c:v>
                </c:pt>
                <c:pt idx="2">
                  <c:v>0.33485781919286955</c:v>
                </c:pt>
                <c:pt idx="3">
                  <c:v>0.42423286983303937</c:v>
                </c:pt>
                <c:pt idx="4">
                  <c:v>0.29190047445440737</c:v>
                </c:pt>
                <c:pt idx="5">
                  <c:v>0.31879483167808215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517696"/>
        <c:axId val="181949568"/>
      </c:barChart>
      <c:catAx>
        <c:axId val="181517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1949568"/>
        <c:crosses val="autoZero"/>
        <c:auto val="1"/>
        <c:lblAlgn val="ctr"/>
        <c:lblOffset val="100"/>
        <c:noMultiLvlLbl val="0"/>
      </c:catAx>
      <c:valAx>
        <c:axId val="18194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51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7742144302698724E-3"/>
                  <c:y val="0.6802749580627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930801896979595E-4"/>
                  <c:y val="0.136228977590434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29146197409158E-3"/>
                  <c:y val="-1.1710711764010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683829904889757E-3"/>
                  <c:y val="0.1252621080476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980599021060488E-5"/>
                  <c:y val="0.1588743064217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1613216454048095E-3"/>
                  <c:y val="9.4536324142973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-0.72611440888941958</c:v>
                </c:pt>
                <c:pt idx="1">
                  <c:v>-7.5023500310206215E-2</c:v>
                </c:pt>
                <c:pt idx="2">
                  <c:v>9.5390986674113609E-2</c:v>
                </c:pt>
                <c:pt idx="3">
                  <c:v>-6.0631257716195486E-2</c:v>
                </c:pt>
                <c:pt idx="4">
                  <c:v>-9.6963949549170314E-2</c:v>
                </c:pt>
                <c:pt idx="5">
                  <c:v>-1.9010960078034267E-2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985280"/>
        <c:axId val="181987968"/>
      </c:barChart>
      <c:catAx>
        <c:axId val="181985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987968"/>
        <c:crosses val="autoZero"/>
        <c:auto val="1"/>
        <c:lblAlgn val="ctr"/>
        <c:lblOffset val="100"/>
        <c:noMultiLvlLbl val="0"/>
      </c:catAx>
      <c:valAx>
        <c:axId val="181987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98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0.2390843740648379</c:v>
                </c:pt>
                <c:pt idx="1">
                  <c:v>0.27208343987834988</c:v>
                </c:pt>
                <c:pt idx="2">
                  <c:v>0.33663289017234466</c:v>
                </c:pt>
                <c:pt idx="3">
                  <c:v>0.42944918350943034</c:v>
                </c:pt>
                <c:pt idx="4">
                  <c:v>0.34026274126484563</c:v>
                </c:pt>
                <c:pt idx="5">
                  <c:v>0.32017854799219586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082560"/>
        <c:axId val="182088448"/>
      </c:barChart>
      <c:catAx>
        <c:axId val="18208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82088448"/>
        <c:crosses val="autoZero"/>
        <c:auto val="1"/>
        <c:lblAlgn val="ctr"/>
        <c:lblOffset val="100"/>
        <c:noMultiLvlLbl val="0"/>
      </c:catAx>
      <c:valAx>
        <c:axId val="18208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08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7279757302209607E-3"/>
                  <c:y val="0.49380566804767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664644681455423E-3"/>
                  <c:y val="0.30295030770120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-5.8560883241593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178249524689527E-3"/>
                  <c:y val="0.182262900548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3025971478021E-4"/>
                  <c:y val="0.39918570190634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62912641527485E-5"/>
                  <c:y val="0.13795346105203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-0.16727918110719586</c:v>
                </c:pt>
                <c:pt idx="1">
                  <c:v>-9.1100589546259991E-2</c:v>
                </c:pt>
                <c:pt idx="2">
                  <c:v>9.5390986674113609E-2</c:v>
                </c:pt>
                <c:pt idx="3">
                  <c:v>-4.3862219217083998E-2</c:v>
                </c:pt>
                <c:pt idx="4">
                  <c:v>-0.13571217163067006</c:v>
                </c:pt>
                <c:pt idx="5">
                  <c:v>-2.8906871876117846E-2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103424"/>
        <c:axId val="182122752"/>
      </c:barChart>
      <c:catAx>
        <c:axId val="182103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122752"/>
        <c:crosses val="autoZero"/>
        <c:auto val="1"/>
        <c:lblAlgn val="ctr"/>
        <c:lblOffset val="100"/>
        <c:noMultiLvlLbl val="0"/>
      </c:catAx>
      <c:valAx>
        <c:axId val="18212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10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MAIG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0.46193901489921763</c:v>
                </c:pt>
                <c:pt idx="1">
                  <c:v>0.44703649044951638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0.8188037857227265</c:v>
                </c:pt>
                <c:pt idx="1">
                  <c:v>0.10222459267062863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2.5128588325652457E-3</c:v>
                </c:pt>
                <c:pt idx="1">
                  <c:v>6.4396799894337877E-3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0.39212671718752895</c:v>
                </c:pt>
                <c:pt idx="1">
                  <c:v>0.40856835529032992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556672"/>
        <c:axId val="174558208"/>
      </c:barChart>
      <c:catAx>
        <c:axId val="1745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74558208"/>
        <c:crosses val="autoZero"/>
        <c:auto val="1"/>
        <c:lblAlgn val="ctr"/>
        <c:lblOffset val="100"/>
        <c:noMultiLvlLbl val="0"/>
      </c:catAx>
      <c:valAx>
        <c:axId val="17455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556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0.29029470092805421</c:v>
                </c:pt>
                <c:pt idx="1">
                  <c:v>0.32064922982886912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643520"/>
        <c:axId val="183657600"/>
      </c:barChart>
      <c:catAx>
        <c:axId val="18364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3657600"/>
        <c:crosses val="autoZero"/>
        <c:auto val="1"/>
        <c:lblAlgn val="ctr"/>
        <c:lblOffset val="100"/>
        <c:noMultiLvlLbl val="0"/>
      </c:catAx>
      <c:valAx>
        <c:axId val="18365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64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93101663873807E-2"/>
                  <c:y val="0.587741471501017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-0.17917512538422042</c:v>
                </c:pt>
                <c:pt idx="1">
                  <c:v>6.5434836467713975E-2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3689216"/>
        <c:axId val="183691904"/>
      </c:barChart>
      <c:catAx>
        <c:axId val="183689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3691904"/>
        <c:crosses val="autoZero"/>
        <c:auto val="1"/>
        <c:lblAlgn val="ctr"/>
        <c:lblOffset val="100"/>
        <c:noMultiLvlLbl val="0"/>
      </c:catAx>
      <c:valAx>
        <c:axId val="183691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368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0.3198855613001233</c:v>
                </c:pt>
                <c:pt idx="1">
                  <c:v>0.33219999741249984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105984"/>
        <c:axId val="184115968"/>
      </c:barChart>
      <c:catAx>
        <c:axId val="18410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115968"/>
        <c:crosses val="autoZero"/>
        <c:auto val="1"/>
        <c:lblAlgn val="ctr"/>
        <c:lblOffset val="100"/>
        <c:noMultiLvlLbl val="0"/>
      </c:catAx>
      <c:valAx>
        <c:axId val="184115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10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6418127034288355E-2"/>
                  <c:y val="0.34732422165166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-6.9762566360785927E-2</c:v>
                </c:pt>
                <c:pt idx="1">
                  <c:v>6.0331369847099303E-2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126848"/>
        <c:axId val="184150272"/>
      </c:barChart>
      <c:catAx>
        <c:axId val="18412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150272"/>
        <c:crosses val="autoZero"/>
        <c:auto val="1"/>
        <c:lblAlgn val="ctr"/>
        <c:lblOffset val="100"/>
        <c:noMultiLvlLbl val="0"/>
      </c:catAx>
      <c:valAx>
        <c:axId val="18415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12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0.22132237243428113</c:v>
                </c:pt>
                <c:pt idx="1">
                  <c:v>0.35049504229317474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0504832"/>
        <c:axId val="160551680"/>
      </c:barChart>
      <c:catAx>
        <c:axId val="16050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0551680"/>
        <c:crosses val="autoZero"/>
        <c:auto val="1"/>
        <c:lblAlgn val="ctr"/>
        <c:lblOffset val="100"/>
        <c:noMultiLvlLbl val="0"/>
      </c:catAx>
      <c:valAx>
        <c:axId val="16055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050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23985408116735E-2"/>
                  <c:y val="0.26968758759523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9.6957769760598111E-2</c:v>
                </c:pt>
                <c:pt idx="1">
                  <c:v>-4.0273351367855148E-2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861760"/>
        <c:axId val="184645888"/>
      </c:barChart>
      <c:catAx>
        <c:axId val="18186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645888"/>
        <c:crosses val="autoZero"/>
        <c:auto val="1"/>
        <c:lblAlgn val="ctr"/>
        <c:lblOffset val="100"/>
        <c:noMultiLvlLbl val="0"/>
      </c:catAx>
      <c:valAx>
        <c:axId val="18464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86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0.1636913553189665</c:v>
                </c:pt>
                <c:pt idx="1">
                  <c:v>4.2296588828709411E-3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583104"/>
        <c:axId val="187593088"/>
      </c:barChart>
      <c:catAx>
        <c:axId val="187583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593088"/>
        <c:crosses val="autoZero"/>
        <c:auto val="1"/>
        <c:lblAlgn val="ctr"/>
        <c:lblOffset val="100"/>
        <c:noMultiLvlLbl val="0"/>
      </c:catAx>
      <c:valAx>
        <c:axId val="18759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58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756801945585E-3"/>
                  <c:y val="-2.024794070552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8.0635669930387621E-2</c:v>
                </c:pt>
                <c:pt idx="1">
                  <c:v>-0.93841645165772003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603968"/>
        <c:axId val="187627392"/>
      </c:barChart>
      <c:catAx>
        <c:axId val="187603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7627392"/>
        <c:crosses val="autoZero"/>
        <c:auto val="1"/>
        <c:lblAlgn val="ctr"/>
        <c:lblOffset val="100"/>
        <c:noMultiLvlLbl val="0"/>
      </c:catAx>
      <c:valAx>
        <c:axId val="187627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0.16844410474451477</c:v>
                </c:pt>
                <c:pt idx="1">
                  <c:v>0.40214848174372853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173312"/>
        <c:axId val="188179200"/>
      </c:barChart>
      <c:catAx>
        <c:axId val="18817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8179200"/>
        <c:crosses val="autoZero"/>
        <c:auto val="1"/>
        <c:lblAlgn val="ctr"/>
        <c:lblOffset val="100"/>
        <c:noMultiLvlLbl val="0"/>
      </c:catAx>
      <c:valAx>
        <c:axId val="188179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17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-0.32270518953134886</c:v>
                </c:pt>
                <c:pt idx="1">
                  <c:v>0.34304822938135104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185984"/>
        <c:axId val="188209408"/>
      </c:barChart>
      <c:catAx>
        <c:axId val="18818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8209408"/>
        <c:crosses val="autoZero"/>
        <c:auto val="1"/>
        <c:lblAlgn val="ctr"/>
        <c:lblOffset val="100"/>
        <c:noMultiLvlLbl val="0"/>
      </c:catAx>
      <c:valAx>
        <c:axId val="188209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18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0.51898616996800939</c:v>
                </c:pt>
                <c:pt idx="1">
                  <c:v>0.45953732198038061</c:v>
                </c:pt>
                <c:pt idx="2">
                  <c:v>0.35006032669505849</c:v>
                </c:pt>
                <c:pt idx="3">
                  <c:v>0.40802973155879119</c:v>
                </c:pt>
                <c:pt idx="4">
                  <c:v>0.30296036473762689</c:v>
                </c:pt>
                <c:pt idx="5">
                  <c:v>0.12400333166476558</c:v>
                </c:pt>
                <c:pt idx="6">
                  <c:v>9.6765022665879621E-2</c:v>
                </c:pt>
                <c:pt idx="7">
                  <c:v>0</c:v>
                </c:pt>
                <c:pt idx="8">
                  <c:v>6.5966511269338196E-3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531328"/>
        <c:axId val="178558848"/>
      </c:barChart>
      <c:catAx>
        <c:axId val="1785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8558848"/>
        <c:crosses val="autoZero"/>
        <c:auto val="1"/>
        <c:lblAlgn val="ctr"/>
        <c:lblOffset val="100"/>
        <c:noMultiLvlLbl val="0"/>
      </c:catAx>
      <c:valAx>
        <c:axId val="178558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53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4.6125160898435075E-2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242560"/>
        <c:axId val="188256640"/>
      </c:barChart>
      <c:catAx>
        <c:axId val="18824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8256640"/>
        <c:crosses val="autoZero"/>
        <c:auto val="1"/>
        <c:lblAlgn val="ctr"/>
        <c:lblOffset val="100"/>
        <c:noMultiLvlLbl val="0"/>
      </c:catAx>
      <c:valAx>
        <c:axId val="188256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24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0938891137191417E-3"/>
                  <c:y val="0.20120724346076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-4.2351088950848825E-2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263424"/>
        <c:axId val="188282752"/>
      </c:barChart>
      <c:catAx>
        <c:axId val="188263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8282752"/>
        <c:crosses val="autoZero"/>
        <c:auto val="1"/>
        <c:lblAlgn val="ctr"/>
        <c:lblOffset val="100"/>
        <c:noMultiLvlLbl val="0"/>
      </c:catAx>
      <c:valAx>
        <c:axId val="18828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26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0.23034586939342599</c:v>
                </c:pt>
                <c:pt idx="1">
                  <c:v>0.41868602506985453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327232"/>
        <c:axId val="191349504"/>
      </c:barChart>
      <c:catAx>
        <c:axId val="19132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349504"/>
        <c:crosses val="autoZero"/>
        <c:auto val="1"/>
        <c:lblAlgn val="ctr"/>
        <c:lblOffset val="100"/>
        <c:noMultiLvlLbl val="0"/>
      </c:catAx>
      <c:valAx>
        <c:axId val="191349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3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-3.2483003715613967E-2</c:v>
                </c:pt>
                <c:pt idx="1">
                  <c:v>-4.7732339100563514E-2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360384"/>
        <c:axId val="191654144"/>
      </c:barChart>
      <c:catAx>
        <c:axId val="19136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654144"/>
        <c:crosses val="autoZero"/>
        <c:auto val="1"/>
        <c:lblAlgn val="ctr"/>
        <c:lblOffset val="100"/>
        <c:noMultiLvlLbl val="0"/>
      </c:catAx>
      <c:valAx>
        <c:axId val="191654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36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5.0751092213721259E-3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675008"/>
        <c:axId val="191689088"/>
      </c:barChart>
      <c:catAx>
        <c:axId val="19167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91689088"/>
        <c:crosses val="autoZero"/>
        <c:auto val="1"/>
        <c:lblAlgn val="ctr"/>
        <c:lblOffset val="100"/>
        <c:noMultiLvlLbl val="0"/>
      </c:catAx>
      <c:valAx>
        <c:axId val="19168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67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3862788963460103E-2"/>
                  <c:y val="-1.617748398734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097280"/>
        <c:axId val="192104320"/>
      </c:barChart>
      <c:catAx>
        <c:axId val="19209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2104320"/>
        <c:crosses val="autoZero"/>
        <c:auto val="1"/>
        <c:lblAlgn val="ctr"/>
        <c:lblOffset val="100"/>
        <c:noMultiLvlLbl val="0"/>
      </c:catAx>
      <c:valAx>
        <c:axId val="192104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09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0.27052691181829897</c:v>
                </c:pt>
                <c:pt idx="1">
                  <c:v>0.31300038516256307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246016"/>
        <c:axId val="182251904"/>
      </c:barChart>
      <c:catAx>
        <c:axId val="182246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251904"/>
        <c:crosses val="autoZero"/>
        <c:auto val="1"/>
        <c:lblAlgn val="ctr"/>
        <c:lblOffset val="100"/>
        <c:noMultiLvlLbl val="0"/>
      </c:catAx>
      <c:valAx>
        <c:axId val="182251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24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247104"/>
        <c:axId val="191248640"/>
      </c:barChart>
      <c:catAx>
        <c:axId val="191247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248640"/>
        <c:crosses val="autoZero"/>
        <c:auto val="1"/>
        <c:lblAlgn val="ctr"/>
        <c:lblOffset val="100"/>
        <c:noMultiLvlLbl val="0"/>
      </c:catAx>
      <c:valAx>
        <c:axId val="191248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2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524544"/>
        <c:axId val="182534528"/>
      </c:barChart>
      <c:catAx>
        <c:axId val="18252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82534528"/>
        <c:crosses val="autoZero"/>
        <c:auto val="1"/>
        <c:lblAlgn val="ctr"/>
        <c:lblOffset val="100"/>
        <c:noMultiLvlLbl val="0"/>
      </c:catAx>
      <c:valAx>
        <c:axId val="18253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5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571776"/>
        <c:axId val="182573312"/>
      </c:barChart>
      <c:catAx>
        <c:axId val="18257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2573312"/>
        <c:crosses val="autoZero"/>
        <c:auto val="1"/>
        <c:lblAlgn val="ctr"/>
        <c:lblOffset val="100"/>
        <c:noMultiLvlLbl val="0"/>
      </c:catAx>
      <c:valAx>
        <c:axId val="182573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571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61562637288365E-2"/>
                  <c:y val="0.13942215223097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46631671041631E-3"/>
                  <c:y val="-7.382257217847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391019792053363E-3"/>
                  <c:y val="-7.9244094488188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613298337707787E-3"/>
                  <c:y val="0.19200083989501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224409448818894E-3"/>
                  <c:y val="0.19200083989501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2.3655955153554231E-2</c:v>
                </c:pt>
                <c:pt idx="1">
                  <c:v>8.1924112151860129E-2</c:v>
                </c:pt>
                <c:pt idx="2">
                  <c:v>-6.3363614640652988E-2</c:v>
                </c:pt>
                <c:pt idx="3">
                  <c:v>5.5895433519574489E-2</c:v>
                </c:pt>
                <c:pt idx="4">
                  <c:v>0.2757192038976044</c:v>
                </c:pt>
                <c:pt idx="5">
                  <c:v>4.6838377928680037</c:v>
                </c:pt>
                <c:pt idx="6">
                  <c:v>-0.90022794575383769</c:v>
                </c:pt>
                <c:pt idx="7">
                  <c:v>-1</c:v>
                </c:pt>
                <c:pt idx="8">
                  <c:v>0.2876746243209316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045120"/>
        <c:axId val="179047808"/>
      </c:barChart>
      <c:catAx>
        <c:axId val="1790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047808"/>
        <c:crosses val="autoZero"/>
        <c:auto val="1"/>
        <c:lblAlgn val="ctr"/>
        <c:lblOffset val="100"/>
        <c:noMultiLvlLbl val="0"/>
      </c:catAx>
      <c:valAx>
        <c:axId val="17904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0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0.19056220669172871</c:v>
                </c:pt>
                <c:pt idx="1">
                  <c:v>0.96258198593790223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372096"/>
        <c:axId val="192394368"/>
      </c:barChart>
      <c:catAx>
        <c:axId val="19237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394368"/>
        <c:crosses val="autoZero"/>
        <c:auto val="1"/>
        <c:lblAlgn val="ctr"/>
        <c:lblOffset val="100"/>
        <c:noMultiLvlLbl val="0"/>
      </c:catAx>
      <c:valAx>
        <c:axId val="192394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37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0581039755351682E-3"/>
                  <c:y val="-1.4665826771653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5.5257967586803014E-2</c:v>
                </c:pt>
                <c:pt idx="1">
                  <c:v>144.48749444105681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007040"/>
        <c:axId val="194009728"/>
      </c:barChart>
      <c:catAx>
        <c:axId val="19400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009728"/>
        <c:crosses val="autoZero"/>
        <c:auto val="1"/>
        <c:lblAlgn val="ctr"/>
        <c:lblOffset val="100"/>
        <c:noMultiLvlLbl val="0"/>
      </c:catAx>
      <c:valAx>
        <c:axId val="19400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00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8.9410854172030707E-2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026496"/>
        <c:axId val="194040576"/>
      </c:barChart>
      <c:catAx>
        <c:axId val="19402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040576"/>
        <c:crosses val="autoZero"/>
        <c:auto val="1"/>
        <c:lblAlgn val="ctr"/>
        <c:lblOffset val="100"/>
        <c:noMultiLvlLbl val="0"/>
      </c:catAx>
      <c:valAx>
        <c:axId val="19404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02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51340996168581E-2"/>
                  <c:y val="-9.87754857638992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047360"/>
        <c:axId val="193943808"/>
      </c:barChart>
      <c:catAx>
        <c:axId val="19404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943808"/>
        <c:crosses val="autoZero"/>
        <c:auto val="1"/>
        <c:lblAlgn val="ctr"/>
        <c:lblOffset val="100"/>
        <c:noMultiLvlLbl val="0"/>
      </c:catAx>
      <c:valAx>
        <c:axId val="193943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04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0.19134303986167386</c:v>
                </c:pt>
                <c:pt idx="1">
                  <c:v>0.31232755810782076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551168"/>
        <c:axId val="194557056"/>
      </c:barChart>
      <c:catAx>
        <c:axId val="194551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557056"/>
        <c:crosses val="autoZero"/>
        <c:auto val="1"/>
        <c:lblAlgn val="ctr"/>
        <c:lblOffset val="100"/>
        <c:noMultiLvlLbl val="0"/>
      </c:catAx>
      <c:valAx>
        <c:axId val="1945570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55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732107016034761E-2"/>
                  <c:y val="-9.4054861534777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0.26646654336315567</c:v>
                </c:pt>
                <c:pt idx="1">
                  <c:v>-0.1762364658504374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108864"/>
        <c:axId val="195111552"/>
      </c:barChart>
      <c:catAx>
        <c:axId val="195108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111552"/>
        <c:crosses val="autoZero"/>
        <c:auto val="1"/>
        <c:lblAlgn val="ctr"/>
        <c:lblOffset val="100"/>
        <c:noMultiLvlLbl val="0"/>
      </c:catAx>
      <c:valAx>
        <c:axId val="195111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10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6.3011689533777598E-3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144704"/>
        <c:axId val="195150592"/>
      </c:barChart>
      <c:catAx>
        <c:axId val="195144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150592"/>
        <c:crosses val="autoZero"/>
        <c:auto val="1"/>
        <c:lblAlgn val="ctr"/>
        <c:lblOffset val="100"/>
        <c:noMultiLvlLbl val="0"/>
      </c:catAx>
      <c:valAx>
        <c:axId val="195150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1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1082220660576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-0.97586819556951954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060864"/>
        <c:axId val="195165568"/>
      </c:barChart>
      <c:catAx>
        <c:axId val="19506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165568"/>
        <c:crosses val="autoZero"/>
        <c:auto val="1"/>
        <c:lblAlgn val="ctr"/>
        <c:lblOffset val="100"/>
        <c:noMultiLvlLbl val="0"/>
      </c:catAx>
      <c:valAx>
        <c:axId val="19516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06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0.2192529565116571</c:v>
                </c:pt>
                <c:pt idx="1">
                  <c:v>0.31938938079940549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394880"/>
        <c:axId val="182396416"/>
      </c:barChart>
      <c:catAx>
        <c:axId val="18239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396416"/>
        <c:crosses val="autoZero"/>
        <c:auto val="1"/>
        <c:lblAlgn val="ctr"/>
        <c:lblOffset val="100"/>
        <c:noMultiLvlLbl val="0"/>
      </c:catAx>
      <c:valAx>
        <c:axId val="18239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39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7.305585353339894E-2</c:v>
                </c:pt>
                <c:pt idx="1">
                  <c:v>-0.19660461985511812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436224"/>
        <c:axId val="182438912"/>
      </c:barChart>
      <c:catAx>
        <c:axId val="18243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438912"/>
        <c:crosses val="autoZero"/>
        <c:auto val="1"/>
        <c:lblAlgn val="ctr"/>
        <c:lblOffset val="100"/>
        <c:noMultiLvlLbl val="0"/>
      </c:catAx>
      <c:valAx>
        <c:axId val="182438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43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0.44703649044951638</c:v>
                </c:pt>
                <c:pt idx="1">
                  <c:v>0.10222459267062863</c:v>
                </c:pt>
                <c:pt idx="2">
                  <c:v>6.4396799894337877E-3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105792"/>
        <c:axId val="179107328"/>
      </c:barChart>
      <c:catAx>
        <c:axId val="179105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107328"/>
        <c:crosses val="autoZero"/>
        <c:auto val="1"/>
        <c:lblAlgn val="ctr"/>
        <c:lblOffset val="100"/>
        <c:noMultiLvlLbl val="0"/>
      </c:catAx>
      <c:valAx>
        <c:axId val="179107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10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8.8603504810122555E-3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990016"/>
        <c:axId val="194520192"/>
      </c:barChart>
      <c:catAx>
        <c:axId val="193990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520192"/>
        <c:crosses val="autoZero"/>
        <c:auto val="1"/>
        <c:lblAlgn val="ctr"/>
        <c:lblOffset val="100"/>
        <c:noMultiLvlLbl val="0"/>
      </c:catAx>
      <c:valAx>
        <c:axId val="194520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99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2.8064096085304584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461952"/>
        <c:axId val="182463488"/>
      </c:barChart>
      <c:catAx>
        <c:axId val="182461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2463488"/>
        <c:crosses val="autoZero"/>
        <c:auto val="1"/>
        <c:lblAlgn val="ctr"/>
        <c:lblOffset val="100"/>
        <c:noMultiLvlLbl val="0"/>
      </c:catAx>
      <c:valAx>
        <c:axId val="182463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461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0.22892508251849603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685824"/>
        <c:axId val="196687360"/>
      </c:barChart>
      <c:catAx>
        <c:axId val="19668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687360"/>
        <c:crosses val="autoZero"/>
        <c:auto val="1"/>
        <c:lblAlgn val="ctr"/>
        <c:lblOffset val="100"/>
        <c:noMultiLvlLbl val="0"/>
      </c:catAx>
      <c:valAx>
        <c:axId val="196687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68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0.31521107438262708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723072"/>
        <c:axId val="196725760"/>
      </c:barChart>
      <c:catAx>
        <c:axId val="19672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725760"/>
        <c:crosses val="autoZero"/>
        <c:auto val="1"/>
        <c:lblAlgn val="ctr"/>
        <c:lblOffset val="100"/>
        <c:noMultiLvlLbl val="0"/>
      </c:catAx>
      <c:valAx>
        <c:axId val="196725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7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401984"/>
        <c:axId val="197403776"/>
      </c:barChart>
      <c:catAx>
        <c:axId val="19740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403776"/>
        <c:crosses val="autoZero"/>
        <c:auto val="1"/>
        <c:lblAlgn val="ctr"/>
        <c:lblOffset val="100"/>
        <c:noMultiLvlLbl val="0"/>
      </c:catAx>
      <c:valAx>
        <c:axId val="19740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40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424640"/>
        <c:axId val="197426176"/>
      </c:barChart>
      <c:catAx>
        <c:axId val="197424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426176"/>
        <c:crosses val="autoZero"/>
        <c:auto val="1"/>
        <c:lblAlgn val="ctr"/>
        <c:lblOffset val="100"/>
        <c:noMultiLvlLbl val="0"/>
      </c:catAx>
      <c:valAx>
        <c:axId val="197426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42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0.21079620142592512</c:v>
                </c:pt>
                <c:pt idx="1">
                  <c:v>0.47549070163433538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598592"/>
        <c:axId val="195630208"/>
      </c:barChart>
      <c:catAx>
        <c:axId val="195598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630208"/>
        <c:crosses val="autoZero"/>
        <c:auto val="1"/>
        <c:lblAlgn val="ctr"/>
        <c:lblOffset val="100"/>
        <c:noMultiLvlLbl val="0"/>
      </c:catAx>
      <c:valAx>
        <c:axId val="19563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5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1.106370002504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0.33840973188763313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661824"/>
        <c:axId val="195664512"/>
      </c:barChart>
      <c:catAx>
        <c:axId val="195661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664512"/>
        <c:crosses val="autoZero"/>
        <c:auto val="1"/>
        <c:lblAlgn val="ctr"/>
        <c:lblOffset val="100"/>
        <c:noMultiLvlLbl val="0"/>
      </c:catAx>
      <c:valAx>
        <c:axId val="195664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66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8.0151492891737522E-2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673088"/>
        <c:axId val="195695360"/>
      </c:barChart>
      <c:catAx>
        <c:axId val="19567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695360"/>
        <c:crosses val="autoZero"/>
        <c:auto val="1"/>
        <c:lblAlgn val="ctr"/>
        <c:lblOffset val="100"/>
        <c:noMultiLvlLbl val="0"/>
      </c:catAx>
      <c:valAx>
        <c:axId val="19569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67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113037893384713E-3"/>
                  <c:y val="0.22017409114183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-0.23534886959702839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706240"/>
        <c:axId val="195741952"/>
      </c:barChart>
      <c:catAx>
        <c:axId val="19570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741952"/>
        <c:crosses val="autoZero"/>
        <c:auto val="1"/>
        <c:lblAlgn val="ctr"/>
        <c:lblOffset val="100"/>
        <c:noMultiLvlLbl val="0"/>
      </c:catAx>
      <c:valAx>
        <c:axId val="19574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70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293267360376E-3"/>
                  <c:y val="-2.61057433323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385706223047798E-2"/>
                  <c:y val="0.5337222585168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3.1420787578517073E-2</c:v>
                </c:pt>
                <c:pt idx="1">
                  <c:v>-0.86891555117395858</c:v>
                </c:pt>
                <c:pt idx="2">
                  <c:v>0.22994528331881736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999680"/>
        <c:axId val="179002368"/>
      </c:barChart>
      <c:catAx>
        <c:axId val="17899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002368"/>
        <c:crosses val="autoZero"/>
        <c:auto val="1"/>
        <c:lblAlgn val="ctr"/>
        <c:lblOffset val="100"/>
        <c:noMultiLvlLbl val="0"/>
      </c:catAx>
      <c:valAx>
        <c:axId val="1790023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899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0.34810471283605193</c:v>
                </c:pt>
                <c:pt idx="1">
                  <c:v>0.23922531927468768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324224"/>
        <c:axId val="182334208"/>
      </c:barChart>
      <c:catAx>
        <c:axId val="18232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334208"/>
        <c:crosses val="autoZero"/>
        <c:auto val="1"/>
        <c:lblAlgn val="ctr"/>
        <c:lblOffset val="100"/>
        <c:noMultiLvlLbl val="0"/>
      </c:catAx>
      <c:valAx>
        <c:axId val="18233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32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656499636892E-3"/>
                  <c:y val="-8.357918673076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-2.0131210413870337E-2</c:v>
                </c:pt>
                <c:pt idx="1">
                  <c:v>-0.31250176098693605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340992"/>
        <c:axId val="182364416"/>
      </c:barChart>
      <c:catAx>
        <c:axId val="18234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364416"/>
        <c:crosses val="autoZero"/>
        <c:auto val="1"/>
        <c:lblAlgn val="ctr"/>
        <c:lblOffset val="100"/>
        <c:noMultiLvlLbl val="0"/>
      </c:catAx>
      <c:valAx>
        <c:axId val="18236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34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0.85703902899920048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794432"/>
        <c:axId val="197808512"/>
      </c:barChart>
      <c:catAx>
        <c:axId val="19779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808512"/>
        <c:crosses val="autoZero"/>
        <c:auto val="1"/>
        <c:lblAlgn val="ctr"/>
        <c:lblOffset val="100"/>
        <c:noMultiLvlLbl val="0"/>
      </c:catAx>
      <c:valAx>
        <c:axId val="1978085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779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833472"/>
        <c:axId val="197835008"/>
      </c:barChart>
      <c:catAx>
        <c:axId val="19783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7835008"/>
        <c:crosses val="autoZero"/>
        <c:auto val="1"/>
        <c:lblAlgn val="ctr"/>
        <c:lblOffset val="100"/>
        <c:noMultiLvlLbl val="0"/>
      </c:catAx>
      <c:valAx>
        <c:axId val="197835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833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7.6044429501774119E-2</c:v>
                </c:pt>
                <c:pt idx="1">
                  <c:v>0.19864237809113944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806144"/>
        <c:axId val="198807936"/>
      </c:barChart>
      <c:catAx>
        <c:axId val="198806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807936"/>
        <c:crosses val="autoZero"/>
        <c:auto val="1"/>
        <c:lblAlgn val="ctr"/>
        <c:lblOffset val="100"/>
        <c:noMultiLvlLbl val="0"/>
      </c:catAx>
      <c:valAx>
        <c:axId val="198807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80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3.6987718307363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05128205128205E-3"/>
                  <c:y val="0.14554500980775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7.9555385351032726</c:v>
                </c:pt>
                <c:pt idx="1">
                  <c:v>-0.56156148052417465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822912"/>
        <c:axId val="200083328"/>
      </c:barChart>
      <c:catAx>
        <c:axId val="198822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083328"/>
        <c:crosses val="autoZero"/>
        <c:auto val="1"/>
        <c:lblAlgn val="ctr"/>
        <c:lblOffset val="100"/>
        <c:noMultiLvlLbl val="0"/>
      </c:catAx>
      <c:valAx>
        <c:axId val="200083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82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00096"/>
        <c:axId val="200130560"/>
      </c:barChart>
      <c:catAx>
        <c:axId val="200100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130560"/>
        <c:crosses val="autoZero"/>
        <c:auto val="1"/>
        <c:lblAlgn val="ctr"/>
        <c:lblOffset val="100"/>
        <c:noMultiLvlLbl val="0"/>
      </c:catAx>
      <c:valAx>
        <c:axId val="200130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8846153846153848E-2"/>
                  <c:y val="1.7168233717620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141440"/>
        <c:axId val="200611328"/>
      </c:barChart>
      <c:catAx>
        <c:axId val="200141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611328"/>
        <c:crosses val="autoZero"/>
        <c:auto val="1"/>
        <c:lblAlgn val="ctr"/>
        <c:lblOffset val="100"/>
        <c:noMultiLvlLbl val="0"/>
      </c:catAx>
      <c:valAx>
        <c:axId val="20061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14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0.19652393792194961</c:v>
                </c:pt>
                <c:pt idx="1">
                  <c:v>0.36929254332786343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895104"/>
        <c:axId val="200900992"/>
      </c:barChart>
      <c:catAx>
        <c:axId val="20089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900992"/>
        <c:crosses val="autoZero"/>
        <c:auto val="1"/>
        <c:lblAlgn val="ctr"/>
        <c:lblOffset val="100"/>
        <c:noMultiLvlLbl val="0"/>
      </c:catAx>
      <c:valAx>
        <c:axId val="200900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89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6.5338349610496893E-2</c:v>
                </c:pt>
                <c:pt idx="1">
                  <c:v>-4.1212696850338459E-2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130752"/>
        <c:axId val="201132288"/>
      </c:barChart>
      <c:catAx>
        <c:axId val="201130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132288"/>
        <c:crosses val="autoZero"/>
        <c:auto val="1"/>
        <c:lblAlgn val="ctr"/>
        <c:lblOffset val="100"/>
        <c:noMultiLvlLbl val="0"/>
      </c:catAx>
      <c:valAx>
        <c:axId val="201132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13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0.52457142701356652</c:v>
                </c:pt>
                <c:pt idx="1">
                  <c:v>0.40325845703558105</c:v>
                </c:pt>
                <c:pt idx="2">
                  <c:v>0.35006032669505843</c:v>
                </c:pt>
                <c:pt idx="3">
                  <c:v>0.48487281846944646</c:v>
                </c:pt>
                <c:pt idx="4">
                  <c:v>0.30296036473762689</c:v>
                </c:pt>
                <c:pt idx="5">
                  <c:v>0.44703649044951638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295168"/>
        <c:axId val="178296704"/>
      </c:barChart>
      <c:catAx>
        <c:axId val="178295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8296704"/>
        <c:crosses val="autoZero"/>
        <c:auto val="1"/>
        <c:lblAlgn val="ctr"/>
        <c:lblOffset val="100"/>
        <c:noMultiLvlLbl val="0"/>
      </c:catAx>
      <c:valAx>
        <c:axId val="178296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29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0.16637116759681933</c:v>
                </c:pt>
                <c:pt idx="1">
                  <c:v>5.3140821167449318E-3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165440"/>
        <c:axId val="201171328"/>
      </c:barChart>
      <c:catAx>
        <c:axId val="201165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171328"/>
        <c:crosses val="autoZero"/>
        <c:auto val="1"/>
        <c:lblAlgn val="ctr"/>
        <c:lblOffset val="100"/>
        <c:noMultiLvlLbl val="0"/>
      </c:catAx>
      <c:valAx>
        <c:axId val="20117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16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6.3365139573946738E-2</c:v>
                </c:pt>
                <c:pt idx="1">
                  <c:v>0.30830859545931166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921280"/>
        <c:axId val="201922816"/>
      </c:barChart>
      <c:catAx>
        <c:axId val="201921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922816"/>
        <c:crosses val="autoZero"/>
        <c:auto val="1"/>
        <c:lblAlgn val="ctr"/>
        <c:lblOffset val="100"/>
        <c:noMultiLvlLbl val="0"/>
      </c:catAx>
      <c:valAx>
        <c:axId val="201922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92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0.21094431416359574</c:v>
                </c:pt>
                <c:pt idx="1">
                  <c:v>0.21774800938942773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564288"/>
        <c:axId val="195565824"/>
      </c:barChart>
      <c:catAx>
        <c:axId val="195564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565824"/>
        <c:crosses val="autoZero"/>
        <c:auto val="1"/>
        <c:lblAlgn val="ctr"/>
        <c:lblOffset val="100"/>
        <c:noMultiLvlLbl val="0"/>
      </c:catAx>
      <c:valAx>
        <c:axId val="195565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56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520882584712374E-3"/>
                  <c:y val="0.22298456260720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1.6095604050694181</c:v>
                </c:pt>
                <c:pt idx="1">
                  <c:v>-0.88132055148728172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025216"/>
        <c:axId val="200028160"/>
      </c:barChart>
      <c:catAx>
        <c:axId val="200025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028160"/>
        <c:crosses val="autoZero"/>
        <c:auto val="1"/>
        <c:lblAlgn val="ctr"/>
        <c:lblOffset val="100"/>
        <c:noMultiLvlLbl val="0"/>
      </c:catAx>
      <c:valAx>
        <c:axId val="200028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02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0.12487956968997904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057216"/>
        <c:axId val="200058752"/>
      </c:barChart>
      <c:catAx>
        <c:axId val="200057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0058752"/>
        <c:crosses val="autoZero"/>
        <c:auto val="1"/>
        <c:lblAlgn val="ctr"/>
        <c:lblOffset val="100"/>
        <c:noMultiLvlLbl val="0"/>
      </c:catAx>
      <c:valAx>
        <c:axId val="20005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05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2.328536519142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073984"/>
        <c:axId val="200076672"/>
      </c:barChart>
      <c:catAx>
        <c:axId val="200073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076672"/>
        <c:crosses val="autoZero"/>
        <c:auto val="1"/>
        <c:lblAlgn val="ctr"/>
        <c:lblOffset val="100"/>
        <c:noMultiLvlLbl val="0"/>
      </c:catAx>
      <c:valAx>
        <c:axId val="20007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07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0.23783921048316431</c:v>
                </c:pt>
                <c:pt idx="1">
                  <c:v>0.45662100321636001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015488"/>
        <c:axId val="202017024"/>
      </c:barChart>
      <c:catAx>
        <c:axId val="20201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2017024"/>
        <c:crosses val="autoZero"/>
        <c:auto val="1"/>
        <c:lblAlgn val="ctr"/>
        <c:lblOffset val="100"/>
        <c:noMultiLvlLbl val="0"/>
      </c:catAx>
      <c:valAx>
        <c:axId val="202017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01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8.002102427366875E-2</c:v>
                </c:pt>
                <c:pt idx="1">
                  <c:v>0.16147255918160841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2036352"/>
        <c:axId val="203829248"/>
      </c:barChart>
      <c:catAx>
        <c:axId val="202036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3829248"/>
        <c:crosses val="autoZero"/>
        <c:auto val="1"/>
        <c:lblAlgn val="ctr"/>
        <c:lblOffset val="100"/>
        <c:noMultiLvlLbl val="0"/>
      </c:catAx>
      <c:valAx>
        <c:axId val="203829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203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6.3829093173925683E-2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3854208"/>
        <c:axId val="203855744"/>
      </c:barChart>
      <c:catAx>
        <c:axId val="203854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3855744"/>
        <c:crosses val="autoZero"/>
        <c:auto val="1"/>
        <c:lblAlgn val="ctr"/>
        <c:lblOffset val="100"/>
        <c:noMultiLvlLbl val="0"/>
      </c:catAx>
      <c:valAx>
        <c:axId val="203855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385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2549019607842E-3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1.460949372374535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346112"/>
        <c:axId val="204348800"/>
      </c:barChart>
      <c:catAx>
        <c:axId val="20434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348800"/>
        <c:crosses val="autoZero"/>
        <c:auto val="1"/>
        <c:lblAlgn val="ctr"/>
        <c:lblOffset val="100"/>
        <c:noMultiLvlLbl val="0"/>
      </c:catAx>
      <c:valAx>
        <c:axId val="20434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34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0094182194690643E-3"/>
                  <c:y val="-2.567023887357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424927622863227E-3"/>
                  <c:y val="0.1362316533538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50037656273533E-3"/>
                  <c:y val="1.925391095066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376556653822531E-4"/>
                  <c:y val="-3.4338667955314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498376925658804E-3"/>
                  <c:y val="-2.4066251646342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2.8299937886580029E-2</c:v>
                </c:pt>
                <c:pt idx="1">
                  <c:v>0</c:v>
                </c:pt>
                <c:pt idx="2">
                  <c:v>-6.3363614640652766E-2</c:v>
                </c:pt>
                <c:pt idx="3">
                  <c:v>1.6529865539153317</c:v>
                </c:pt>
                <c:pt idx="4">
                  <c:v>0.27571920389760418</c:v>
                </c:pt>
                <c:pt idx="5">
                  <c:v>3.1420787578517073E-2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908992"/>
        <c:axId val="179912064"/>
      </c:barChart>
      <c:catAx>
        <c:axId val="179908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912064"/>
        <c:crosses val="autoZero"/>
        <c:auto val="1"/>
        <c:lblAlgn val="ctr"/>
        <c:lblOffset val="100"/>
        <c:noMultiLvlLbl val="0"/>
      </c:catAx>
      <c:valAx>
        <c:axId val="179912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90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0.24424357046024836</c:v>
                </c:pt>
                <c:pt idx="1">
                  <c:v>0.5904478574971137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333440"/>
        <c:axId val="204334976"/>
      </c:barChart>
      <c:catAx>
        <c:axId val="204333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334976"/>
        <c:crosses val="autoZero"/>
        <c:auto val="1"/>
        <c:lblAlgn val="ctr"/>
        <c:lblOffset val="100"/>
        <c:noMultiLvlLbl val="0"/>
      </c:catAx>
      <c:valAx>
        <c:axId val="204334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3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1036623215394167E-3"/>
                  <c:y val="0.369437447523089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0.1222386083218967</c:v>
                </c:pt>
                <c:pt idx="1">
                  <c:v>-2.1216410919503659E-2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40320"/>
        <c:axId val="204443008"/>
      </c:barChart>
      <c:catAx>
        <c:axId val="20444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443008"/>
        <c:crosses val="autoZero"/>
        <c:auto val="1"/>
        <c:lblAlgn val="ctr"/>
        <c:lblOffset val="100"/>
        <c:noMultiLvlLbl val="0"/>
      </c:catAx>
      <c:valAx>
        <c:axId val="204443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4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3.7228601188888877E-2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476416"/>
        <c:axId val="204477952"/>
      </c:barChart>
      <c:catAx>
        <c:axId val="20447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4477952"/>
        <c:crosses val="autoZero"/>
        <c:auto val="1"/>
        <c:lblAlgn val="ctr"/>
        <c:lblOffset val="100"/>
        <c:noMultiLvlLbl val="0"/>
      </c:catAx>
      <c:valAx>
        <c:axId val="20447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47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1036623215394164E-2"/>
                  <c:y val="-4.861910598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0.81016435598373149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505472"/>
        <c:axId val="204508160"/>
      </c:barChart>
      <c:catAx>
        <c:axId val="204505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508160"/>
        <c:crosses val="autoZero"/>
        <c:auto val="1"/>
        <c:lblAlgn val="ctr"/>
        <c:lblOffset val="100"/>
        <c:noMultiLvlLbl val="0"/>
      </c:catAx>
      <c:valAx>
        <c:axId val="204508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50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0.24945175662004146</c:v>
                </c:pt>
                <c:pt idx="1">
                  <c:v>0.41025463342463298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613952"/>
        <c:axId val="207615488"/>
      </c:barChart>
      <c:catAx>
        <c:axId val="207613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615488"/>
        <c:crosses val="autoZero"/>
        <c:auto val="1"/>
        <c:lblAlgn val="ctr"/>
        <c:lblOffset val="100"/>
        <c:noMultiLvlLbl val="0"/>
      </c:catAx>
      <c:valAx>
        <c:axId val="207615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61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0.11513882559652666</c:v>
                </c:pt>
                <c:pt idx="1">
                  <c:v>-7.9510713048936088E-2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841152"/>
        <c:axId val="207842688"/>
      </c:barChart>
      <c:catAx>
        <c:axId val="207841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7842688"/>
        <c:crosses val="autoZero"/>
        <c:auto val="1"/>
        <c:lblAlgn val="ctr"/>
        <c:lblOffset val="100"/>
        <c:noMultiLvlLbl val="0"/>
      </c:catAx>
      <c:valAx>
        <c:axId val="207842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8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0.13791619682801615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3536"/>
        <c:axId val="2115072"/>
      </c:barChart>
      <c:catAx>
        <c:axId val="2113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5072"/>
        <c:crosses val="autoZero"/>
        <c:auto val="1"/>
        <c:lblAlgn val="ctr"/>
        <c:lblOffset val="100"/>
        <c:noMultiLvlLbl val="0"/>
      </c:catAx>
      <c:valAx>
        <c:axId val="211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9.6153846153846159E-3"/>
                  <c:y val="2.250351617440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281.08412047345604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4280192"/>
        <c:axId val="204282880"/>
      </c:barChart>
      <c:catAx>
        <c:axId val="204280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282880"/>
        <c:crosses val="autoZero"/>
        <c:auto val="1"/>
        <c:lblAlgn val="ctr"/>
        <c:lblOffset val="100"/>
        <c:noMultiLvlLbl val="0"/>
      </c:catAx>
      <c:valAx>
        <c:axId val="20428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42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0.24133255480632737</c:v>
                </c:pt>
                <c:pt idx="1">
                  <c:v>0.31397529529559604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742592"/>
        <c:axId val="197744128"/>
      </c:barChart>
      <c:catAx>
        <c:axId val="197742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744128"/>
        <c:crosses val="autoZero"/>
        <c:auto val="1"/>
        <c:lblAlgn val="ctr"/>
        <c:lblOffset val="100"/>
        <c:noMultiLvlLbl val="0"/>
      </c:catAx>
      <c:valAx>
        <c:axId val="197744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74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1602809425358143E-2"/>
                  <c:y val="-0.1471499941600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6792611251049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4.3150781040075303E-2</c:v>
                </c:pt>
                <c:pt idx="1">
                  <c:v>0.56766022615565515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7779840"/>
        <c:axId val="197782528"/>
      </c:barChart>
      <c:catAx>
        <c:axId val="19777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782528"/>
        <c:crosses val="autoZero"/>
        <c:auto val="1"/>
        <c:lblAlgn val="ctr"/>
        <c:lblOffset val="100"/>
        <c:noMultiLvlLbl val="0"/>
      </c:catAx>
      <c:valAx>
        <c:axId val="197782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779840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0.12400333166476558</c:v>
                </c:pt>
                <c:pt idx="1">
                  <c:v>9.6765022665879621E-2</c:v>
                </c:pt>
                <c:pt idx="2">
                  <c:v>0.10222459267062863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2215296"/>
        <c:axId val="178264320"/>
      </c:barChart>
      <c:catAx>
        <c:axId val="17221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8264320"/>
        <c:crosses val="autoZero"/>
        <c:auto val="1"/>
        <c:lblAlgn val="ctr"/>
        <c:lblOffset val="100"/>
        <c:noMultiLvlLbl val="0"/>
      </c:catAx>
      <c:valAx>
        <c:axId val="178264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221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1.5328802124932459E-2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957888"/>
        <c:axId val="199992448"/>
      </c:barChart>
      <c:catAx>
        <c:axId val="19995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992448"/>
        <c:crosses val="autoZero"/>
        <c:auto val="1"/>
        <c:lblAlgn val="ctr"/>
        <c:lblOffset val="100"/>
        <c:noMultiLvlLbl val="0"/>
      </c:catAx>
      <c:valAx>
        <c:axId val="19999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95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0011776"/>
        <c:axId val="200014464"/>
      </c:barChart>
      <c:catAx>
        <c:axId val="20001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0014464"/>
        <c:crosses val="autoZero"/>
        <c:auto val="1"/>
        <c:lblAlgn val="ctr"/>
        <c:lblOffset val="100"/>
        <c:noMultiLvlLbl val="0"/>
      </c:catAx>
      <c:valAx>
        <c:axId val="200014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001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0.22775630399018387</c:v>
                </c:pt>
                <c:pt idx="1">
                  <c:v>0.48930094023251991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730944"/>
        <c:axId val="209736832"/>
      </c:barChart>
      <c:catAx>
        <c:axId val="20973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736832"/>
        <c:crosses val="autoZero"/>
        <c:auto val="1"/>
        <c:lblAlgn val="ctr"/>
        <c:lblOffset val="100"/>
        <c:noMultiLvlLbl val="0"/>
      </c:catAx>
      <c:valAx>
        <c:axId val="20973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73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414649286157695E-2"/>
                  <c:y val="0.25217874214085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-5.7439342914117786E-2</c:v>
                </c:pt>
                <c:pt idx="1">
                  <c:v>0.16681346702127997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764352"/>
        <c:axId val="209767040"/>
      </c:barChart>
      <c:catAx>
        <c:axId val="209764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767040"/>
        <c:crosses val="autoZero"/>
        <c:auto val="1"/>
        <c:lblAlgn val="ctr"/>
        <c:lblOffset val="100"/>
        <c:noMultiLvlLbl val="0"/>
      </c:catAx>
      <c:valAx>
        <c:axId val="209767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76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1.0219626430667685E-2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271232"/>
        <c:axId val="210273024"/>
      </c:barChart>
      <c:catAx>
        <c:axId val="210271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273024"/>
        <c:crosses val="autoZero"/>
        <c:auto val="1"/>
        <c:lblAlgn val="ctr"/>
        <c:lblOffset val="100"/>
        <c:noMultiLvlLbl val="0"/>
      </c:catAx>
      <c:valAx>
        <c:axId val="21027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27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-0.89389953958634272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283904"/>
        <c:axId val="210299136"/>
      </c:barChart>
      <c:catAx>
        <c:axId val="21028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299136"/>
        <c:crosses val="autoZero"/>
        <c:auto val="1"/>
        <c:lblAlgn val="ctr"/>
        <c:lblOffset val="100"/>
        <c:noMultiLvlLbl val="0"/>
      </c:catAx>
      <c:valAx>
        <c:axId val="210299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28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0.20503137760961695</c:v>
                </c:pt>
                <c:pt idx="1">
                  <c:v>0.58600229174173879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754560"/>
        <c:axId val="211043072"/>
      </c:barChart>
      <c:catAx>
        <c:axId val="210754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1043072"/>
        <c:crosses val="autoZero"/>
        <c:auto val="1"/>
        <c:lblAlgn val="ctr"/>
        <c:lblOffset val="100"/>
        <c:noMultiLvlLbl val="0"/>
      </c:catAx>
      <c:valAx>
        <c:axId val="211043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75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0632468409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-0.12656707189833272</c:v>
                </c:pt>
                <c:pt idx="1">
                  <c:v>-0.29721164402645817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062144"/>
        <c:axId val="211085568"/>
      </c:barChart>
      <c:catAx>
        <c:axId val="21106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085568"/>
        <c:crosses val="autoZero"/>
        <c:auto val="1"/>
        <c:lblAlgn val="ctr"/>
        <c:lblOffset val="100"/>
        <c:noMultiLvlLbl val="0"/>
      </c:catAx>
      <c:valAx>
        <c:axId val="21108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6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2.691131476610607E-2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967168"/>
        <c:axId val="210985344"/>
      </c:barChart>
      <c:catAx>
        <c:axId val="21096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985344"/>
        <c:crosses val="autoZero"/>
        <c:auto val="1"/>
        <c:lblAlgn val="ctr"/>
        <c:lblOffset val="100"/>
        <c:noMultiLvlLbl val="0"/>
      </c:catAx>
      <c:valAx>
        <c:axId val="210985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96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5095822519391781E-3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-0.45850751305734005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000320"/>
        <c:axId val="211556224"/>
      </c:barChart>
      <c:catAx>
        <c:axId val="21100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556224"/>
        <c:crosses val="autoZero"/>
        <c:auto val="1"/>
        <c:lblAlgn val="ctr"/>
        <c:lblOffset val="100"/>
        <c:noMultiLvlLbl val="0"/>
      </c:catAx>
      <c:valAx>
        <c:axId val="21155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0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O137"/>
  <sheetViews>
    <sheetView zoomScaleNormal="100" workbookViewId="0">
      <selection activeCell="H7" sqref="H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8" bestFit="1" customWidth="1"/>
    <col min="12" max="12" width="6.33203125" customWidth="1"/>
  </cols>
  <sheetData>
    <row r="1" spans="1:13" ht="14.4" thickBot="1" x14ac:dyDescent="0.3">
      <c r="A1" s="7" t="s">
        <v>397</v>
      </c>
    </row>
    <row r="2" spans="1:13" x14ac:dyDescent="0.25">
      <c r="A2" s="8" t="s">
        <v>398</v>
      </c>
      <c r="H2" s="729" t="s">
        <v>778</v>
      </c>
      <c r="I2" s="730"/>
      <c r="J2" s="731"/>
    </row>
    <row r="3" spans="1:13" x14ac:dyDescent="0.25">
      <c r="C3" s="14"/>
      <c r="D3" s="14"/>
      <c r="E3" s="14"/>
      <c r="F3" s="128"/>
      <c r="G3" s="14"/>
      <c r="H3" s="101"/>
      <c r="I3" s="129"/>
      <c r="J3" s="102" t="s">
        <v>764</v>
      </c>
    </row>
    <row r="4" spans="1:13" x14ac:dyDescent="0.25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762</v>
      </c>
      <c r="H4" s="11" t="s">
        <v>763</v>
      </c>
      <c r="I4" s="89" t="s">
        <v>507</v>
      </c>
      <c r="J4" s="12" t="s">
        <v>18</v>
      </c>
    </row>
    <row r="5" spans="1:13" x14ac:dyDescent="0.25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1121404652.8899999</v>
      </c>
      <c r="I5" s="105">
        <f>'ICap '!L10</f>
        <v>1087242633.0699999</v>
      </c>
      <c r="J5" s="57">
        <f>+H5/I5-1</f>
        <v>3.1420787578517073E-2</v>
      </c>
    </row>
    <row r="6" spans="1:13" x14ac:dyDescent="0.25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698040168.48000002</v>
      </c>
      <c r="I6" s="105">
        <f>DCap!Q10</f>
        <v>735837742.91000009</v>
      </c>
      <c r="J6" s="57">
        <f>+H6/I6-1</f>
        <v>-5.1366724246194373E-2</v>
      </c>
    </row>
    <row r="7" spans="1:13" x14ac:dyDescent="0.25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423364484.40999985</v>
      </c>
      <c r="I7" s="108">
        <f>+I5-I6</f>
        <v>351404890.15999985</v>
      </c>
      <c r="J7" s="43">
        <f>+H7/I7-1</f>
        <v>0.20477687210680462</v>
      </c>
      <c r="M7" s="340"/>
    </row>
    <row r="8" spans="1:13" x14ac:dyDescent="0.25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2050953.29</v>
      </c>
      <c r="I8" s="105">
        <f>'ICap '!L13</f>
        <v>15646045.800000001</v>
      </c>
      <c r="J8" s="57">
        <f>+H8/I8-1</f>
        <v>-0.86891555117395858</v>
      </c>
      <c r="M8" s="340"/>
    </row>
    <row r="9" spans="1:13" x14ac:dyDescent="0.25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63688640.020000003</v>
      </c>
      <c r="I9" s="105">
        <f>DCap!Q13</f>
        <v>60429417.719999999</v>
      </c>
      <c r="J9" s="57">
        <f t="shared" ref="J9:J13" si="2">+H9/I9-1</f>
        <v>5.3934365462557032E-2</v>
      </c>
      <c r="M9" s="340"/>
    </row>
    <row r="10" spans="1:13" x14ac:dyDescent="0.25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361726797.67999989</v>
      </c>
      <c r="I10" s="108">
        <f>+I7+I8-I9</f>
        <v>306621518.23999989</v>
      </c>
      <c r="J10" s="43">
        <f t="shared" si="2"/>
        <v>0.17971758719447672</v>
      </c>
      <c r="M10" s="340"/>
    </row>
    <row r="11" spans="1:13" x14ac:dyDescent="0.25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1357809.78</v>
      </c>
      <c r="I11" s="105">
        <f>+'ICap '!L16</f>
        <v>1103959.5</v>
      </c>
      <c r="J11" s="57">
        <f t="shared" si="2"/>
        <v>0.22994528331881736</v>
      </c>
    </row>
    <row r="12" spans="1:13" ht="13.8" thickBot="1" x14ac:dyDescent="0.3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48003031.459999993</v>
      </c>
      <c r="I12" s="105">
        <f>DCap!Q16</f>
        <v>159097335.53999999</v>
      </c>
      <c r="J12" s="252">
        <f t="shared" si="2"/>
        <v>-0.69827884736679868</v>
      </c>
    </row>
    <row r="13" spans="1:13" ht="13.8" thickBot="1" x14ac:dyDescent="0.3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315081575.99999988</v>
      </c>
      <c r="I13" s="111">
        <f>+I10+I11-I12</f>
        <v>148628142.1999999</v>
      </c>
      <c r="J13" s="246">
        <f t="shared" si="2"/>
        <v>1.1199321429720466</v>
      </c>
    </row>
    <row r="14" spans="1:13" ht="13.8" thickBot="1" x14ac:dyDescent="0.3"/>
    <row r="15" spans="1:13" x14ac:dyDescent="0.25">
      <c r="H15" s="732" t="s">
        <v>779</v>
      </c>
      <c r="I15" s="733"/>
    </row>
    <row r="16" spans="1:13" x14ac:dyDescent="0.25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765</v>
      </c>
      <c r="H16" s="112" t="s">
        <v>763</v>
      </c>
      <c r="I16" s="113" t="s">
        <v>507</v>
      </c>
    </row>
    <row r="17" spans="1:11" x14ac:dyDescent="0.25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0.37753052238452611</v>
      </c>
      <c r="I17" s="116">
        <f t="shared" si="7"/>
        <v>0.32320742350560067</v>
      </c>
      <c r="K17" s="100" t="s">
        <v>148</v>
      </c>
    </row>
    <row r="18" spans="1:11" ht="24" thickBot="1" x14ac:dyDescent="0.3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0.32197693944485428</v>
      </c>
      <c r="I18" s="120">
        <f t="shared" ref="I18" si="9">+I10/(I5+I8)</f>
        <v>0.27801674286307737</v>
      </c>
      <c r="J18" s="6"/>
    </row>
    <row r="19" spans="1:11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5">
      <c r="L136" s="688"/>
      <c r="O136" s="688">
        <v>0.58699999999999997</v>
      </c>
    </row>
    <row r="137" spans="12:15" x14ac:dyDescent="0.25">
      <c r="L137" s="688"/>
      <c r="N137">
        <f>+N11+N61+N65+N136</f>
        <v>0</v>
      </c>
      <c r="O137" s="688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  <pageSetUpPr fitToPage="1"/>
  </sheetPr>
  <dimension ref="A1:S227"/>
  <sheetViews>
    <sheetView topLeftCell="B116" zoomScaleNormal="100" workbookViewId="0">
      <selection activeCell="J140" sqref="J140"/>
    </sheetView>
  </sheetViews>
  <sheetFormatPr defaultColWidth="11.44140625" defaultRowHeight="13.2" x14ac:dyDescent="0.25"/>
  <cols>
    <col min="1" max="1" width="0.6640625" customWidth="1"/>
    <col min="2" max="2" width="32.109375" customWidth="1"/>
    <col min="3" max="3" width="13.5546875" customWidth="1"/>
    <col min="4" max="4" width="13.6640625" customWidth="1"/>
    <col min="5" max="5" width="11.33203125" customWidth="1"/>
    <col min="6" max="6" width="8.88671875" style="97" bestFit="1" customWidth="1"/>
    <col min="7" max="7" width="12.33203125" customWidth="1"/>
    <col min="8" max="8" width="8.88671875" style="97" bestFit="1" customWidth="1"/>
    <col min="9" max="9" width="12.5546875" customWidth="1"/>
    <col min="10" max="10" width="8.88671875" style="97" bestFit="1" customWidth="1"/>
    <col min="11" max="11" width="11.109375" style="97" customWidth="1"/>
    <col min="12" max="12" width="6.33203125" style="97" customWidth="1"/>
    <col min="13" max="13" width="8.88671875" style="97" customWidth="1"/>
    <col min="14" max="14" width="11.109375" customWidth="1"/>
    <col min="15" max="15" width="6.33203125" style="97" customWidth="1"/>
    <col min="16" max="16" width="8.88671875" style="97" customWidth="1"/>
    <col min="17" max="17" width="15.33203125" style="60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233</v>
      </c>
    </row>
    <row r="2" spans="1:19" x14ac:dyDescent="0.25">
      <c r="A2" s="8" t="s">
        <v>291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2" t="s">
        <v>781</v>
      </c>
      <c r="L2" s="753"/>
      <c r="M2" s="753"/>
      <c r="N2" s="753"/>
      <c r="O2" s="753"/>
      <c r="P2" s="754"/>
    </row>
    <row r="3" spans="1:19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727" t="s">
        <v>39</v>
      </c>
      <c r="O3" s="88" t="s">
        <v>40</v>
      </c>
      <c r="P3" s="149" t="s">
        <v>362</v>
      </c>
    </row>
    <row r="4" spans="1:19" ht="26.4" x14ac:dyDescent="0.25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7" t="s">
        <v>764</v>
      </c>
      <c r="N4" s="564" t="s">
        <v>17</v>
      </c>
      <c r="O4" s="89" t="s">
        <v>18</v>
      </c>
      <c r="P4" s="587" t="s">
        <v>764</v>
      </c>
      <c r="Q4" s="58" t="s">
        <v>163</v>
      </c>
    </row>
    <row r="5" spans="1:19" ht="15" customHeight="1" x14ac:dyDescent="0.25">
      <c r="A5" s="21"/>
      <c r="B5" s="21" t="s">
        <v>234</v>
      </c>
      <c r="C5" s="186">
        <v>17884241.539999999</v>
      </c>
      <c r="D5" s="190">
        <v>17774222.57</v>
      </c>
      <c r="E5" s="82">
        <v>6523072.5800000001</v>
      </c>
      <c r="F5" s="308">
        <f t="shared" ref="F5:F12" si="0">+E5/D5</f>
        <v>0.36699622469057447</v>
      </c>
      <c r="G5" s="82">
        <v>6523072.5800000001</v>
      </c>
      <c r="H5" s="48">
        <f>+G5/D5</f>
        <v>0.36699622469057447</v>
      </c>
      <c r="I5" s="82">
        <v>6523072.5800000001</v>
      </c>
      <c r="J5" s="153">
        <f>I5/D5</f>
        <v>0.36699622469057447</v>
      </c>
      <c r="K5" s="578">
        <v>6787334.5499999998</v>
      </c>
      <c r="L5" s="48">
        <v>0.39142580715889308</v>
      </c>
      <c r="M5" s="210">
        <f>+G5/K5-1</f>
        <v>-3.8934572629840347E-2</v>
      </c>
      <c r="N5" s="578">
        <v>6787334.5499999998</v>
      </c>
      <c r="O5" s="48">
        <v>0.39142580715889308</v>
      </c>
      <c r="P5" s="210">
        <f>+I5/N5-1</f>
        <v>-3.8934572629840347E-2</v>
      </c>
      <c r="Q5" s="59">
        <v>10</v>
      </c>
    </row>
    <row r="6" spans="1:19" ht="15" customHeight="1" x14ac:dyDescent="0.25">
      <c r="A6" s="23"/>
      <c r="B6" s="23" t="s">
        <v>235</v>
      </c>
      <c r="C6" s="184">
        <v>5861896.0199999996</v>
      </c>
      <c r="D6" s="188">
        <v>6121179.0199999996</v>
      </c>
      <c r="E6" s="237">
        <v>2144091.06</v>
      </c>
      <c r="F6" s="280">
        <f t="shared" si="0"/>
        <v>0.35027419603225396</v>
      </c>
      <c r="G6" s="237">
        <v>2144091.06</v>
      </c>
      <c r="H6" s="280">
        <f t="shared" ref="H6:H65" si="1">+G6/D6</f>
        <v>0.35027419603225396</v>
      </c>
      <c r="I6" s="237">
        <v>2144091.06</v>
      </c>
      <c r="J6" s="178">
        <f t="shared" ref="J6:J65" si="2">I6/D6</f>
        <v>0.35027419603225396</v>
      </c>
      <c r="K6" s="579">
        <v>3713318.89</v>
      </c>
      <c r="L6" s="280">
        <v>0.53252193568204875</v>
      </c>
      <c r="M6" s="210">
        <f t="shared" ref="M6:M65" si="3">+G6/K6-1</f>
        <v>-0.42259441660826491</v>
      </c>
      <c r="N6" s="579">
        <v>3713318.89</v>
      </c>
      <c r="O6" s="280">
        <v>0.53252193568204875</v>
      </c>
      <c r="P6" s="211">
        <f>+I6/N6-1</f>
        <v>-0.42259441660826491</v>
      </c>
      <c r="Q6" s="60">
        <v>11</v>
      </c>
    </row>
    <row r="7" spans="1:19" ht="15" customHeight="1" x14ac:dyDescent="0.25">
      <c r="A7" s="23"/>
      <c r="B7" s="23" t="s">
        <v>236</v>
      </c>
      <c r="C7" s="184">
        <v>221167595.94</v>
      </c>
      <c r="D7" s="188">
        <v>221702628.62</v>
      </c>
      <c r="E7" s="237">
        <v>79677879.560000002</v>
      </c>
      <c r="F7" s="280">
        <f t="shared" si="0"/>
        <v>0.35939077518367407</v>
      </c>
      <c r="G7" s="237">
        <v>79677879.560000002</v>
      </c>
      <c r="H7" s="280">
        <f t="shared" si="1"/>
        <v>0.35939077518367407</v>
      </c>
      <c r="I7" s="237">
        <v>79677879.560000002</v>
      </c>
      <c r="J7" s="178">
        <f t="shared" si="2"/>
        <v>0.35939077518367407</v>
      </c>
      <c r="K7" s="579">
        <v>113327011.76000001</v>
      </c>
      <c r="L7" s="280">
        <v>0.45143219451832989</v>
      </c>
      <c r="M7" s="210">
        <f t="shared" si="3"/>
        <v>-0.29692066946281936</v>
      </c>
      <c r="N7" s="579">
        <v>113327011.76000001</v>
      </c>
      <c r="O7" s="280">
        <v>0.45143219451832989</v>
      </c>
      <c r="P7" s="211">
        <f>+I7/N7-1</f>
        <v>-0.29692066946281936</v>
      </c>
      <c r="Q7" s="60">
        <v>12</v>
      </c>
    </row>
    <row r="8" spans="1:19" ht="15" customHeight="1" x14ac:dyDescent="0.25">
      <c r="A8" s="23"/>
      <c r="B8" s="23" t="s">
        <v>237</v>
      </c>
      <c r="C8" s="184">
        <v>8244543.7699999996</v>
      </c>
      <c r="D8" s="188">
        <v>8886196.8900000006</v>
      </c>
      <c r="E8" s="237">
        <v>3095127.58</v>
      </c>
      <c r="F8" s="280">
        <f>+E8/D8</f>
        <v>0.34830733758364879</v>
      </c>
      <c r="G8" s="237">
        <v>3095127.58</v>
      </c>
      <c r="H8" s="280">
        <f>+G8/D8</f>
        <v>0.34830733758364879</v>
      </c>
      <c r="I8" s="237">
        <v>3095127.58</v>
      </c>
      <c r="J8" s="178">
        <f>I8/D8</f>
        <v>0.34830733758364879</v>
      </c>
      <c r="K8" s="579">
        <v>4949291.9400000004</v>
      </c>
      <c r="L8" s="280">
        <v>0.48588246481581049</v>
      </c>
      <c r="M8" s="210">
        <f t="shared" si="3"/>
        <v>-0.37463224689065322</v>
      </c>
      <c r="N8" s="579">
        <v>4949291.9400000004</v>
      </c>
      <c r="O8" s="280">
        <v>0.48588246481581049</v>
      </c>
      <c r="P8" s="443">
        <f>+I8/N8-1</f>
        <v>-0.37463224689065322</v>
      </c>
      <c r="Q8" s="60">
        <v>13</v>
      </c>
    </row>
    <row r="9" spans="1:19" ht="15" customHeight="1" x14ac:dyDescent="0.25">
      <c r="A9" s="24"/>
      <c r="B9" s="24" t="s">
        <v>239</v>
      </c>
      <c r="C9" s="184">
        <v>46423331.969999999</v>
      </c>
      <c r="D9" s="188">
        <v>43904734.340000004</v>
      </c>
      <c r="E9" s="237">
        <v>21462072.73</v>
      </c>
      <c r="F9" s="280">
        <f>+E9/D9</f>
        <v>0.48883276604743486</v>
      </c>
      <c r="G9" s="237">
        <v>21462072.73</v>
      </c>
      <c r="H9" s="280">
        <f>+G9/D9</f>
        <v>0.48883276604743486</v>
      </c>
      <c r="I9" s="237">
        <v>21462072.73</v>
      </c>
      <c r="J9" s="178">
        <f>I9/D9</f>
        <v>0.48883276604743486</v>
      </c>
      <c r="K9" s="580">
        <v>23181413.41</v>
      </c>
      <c r="L9" s="390">
        <v>0.30611626363973249</v>
      </c>
      <c r="M9" s="210">
        <f t="shared" si="3"/>
        <v>-7.4168932221290285E-2</v>
      </c>
      <c r="N9" s="580">
        <v>23181413.41</v>
      </c>
      <c r="O9" s="390">
        <v>0.30611626363973249</v>
      </c>
      <c r="P9" s="245">
        <f t="shared" ref="P9:P59" si="4">+I9/N9-1</f>
        <v>-7.4168932221290285E-2</v>
      </c>
      <c r="Q9" s="60">
        <v>15</v>
      </c>
      <c r="R9" s="357"/>
      <c r="S9" s="357"/>
    </row>
    <row r="10" spans="1:19" ht="15" customHeight="1" x14ac:dyDescent="0.25">
      <c r="A10" s="24"/>
      <c r="B10" s="24" t="s">
        <v>238</v>
      </c>
      <c r="C10" s="395">
        <v>74901709.219999999</v>
      </c>
      <c r="D10" s="191">
        <v>76462481.640000001</v>
      </c>
      <c r="E10" s="137">
        <v>33831086.659999996</v>
      </c>
      <c r="F10" s="390">
        <f>+E10/D10</f>
        <v>0.44245342204930294</v>
      </c>
      <c r="G10" s="137">
        <v>33388312.640000001</v>
      </c>
      <c r="H10" s="390">
        <f>+G10/D10</f>
        <v>0.4366626863773343</v>
      </c>
      <c r="I10" s="137">
        <v>32729674.359999999</v>
      </c>
      <c r="J10" s="392">
        <f>I10/D10</f>
        <v>0.42804881110317045</v>
      </c>
      <c r="K10" s="580">
        <v>35342876.450000003</v>
      </c>
      <c r="L10" s="390">
        <v>0.44811499678899058</v>
      </c>
      <c r="M10" s="628">
        <f t="shared" si="3"/>
        <v>-5.5302907016217207E-2</v>
      </c>
      <c r="N10" s="580">
        <v>34897663.170000002</v>
      </c>
      <c r="O10" s="390">
        <v>0.44247010402481896</v>
      </c>
      <c r="P10" s="520">
        <f t="shared" si="4"/>
        <v>-6.2124182912732362E-2</v>
      </c>
      <c r="Q10" s="60">
        <v>16</v>
      </c>
    </row>
    <row r="11" spans="1:19" ht="15" customHeight="1" x14ac:dyDescent="0.25">
      <c r="A11" s="9"/>
      <c r="B11" s="2" t="s">
        <v>0</v>
      </c>
      <c r="C11" s="162">
        <f>SUM(C5:C10)</f>
        <v>374483318.46000004</v>
      </c>
      <c r="D11" s="152">
        <f>SUM(D5:D10)</f>
        <v>374851443.08000004</v>
      </c>
      <c r="E11" s="84">
        <f>SUM(E5:E10)</f>
        <v>146733330.17000002</v>
      </c>
      <c r="F11" s="90">
        <f>+E11/D11</f>
        <v>0.3914439516741689</v>
      </c>
      <c r="G11" s="84">
        <f>SUM(G5:G10)</f>
        <v>146290556.15000001</v>
      </c>
      <c r="H11" s="90">
        <f t="shared" si="1"/>
        <v>0.39026275302021174</v>
      </c>
      <c r="I11" s="84">
        <f>SUM(I5:I10)</f>
        <v>145631917.87</v>
      </c>
      <c r="J11" s="170">
        <f t="shared" si="2"/>
        <v>0.38850568820918085</v>
      </c>
      <c r="K11" s="568">
        <f>SUM(K5:K10)</f>
        <v>187301247</v>
      </c>
      <c r="L11" s="90">
        <v>0.42555338815402588</v>
      </c>
      <c r="M11" s="213">
        <f t="shared" si="3"/>
        <v>-0.2189557811646603</v>
      </c>
      <c r="N11" s="568">
        <f>SUM(N5:N10)</f>
        <v>186856033.72000003</v>
      </c>
      <c r="O11" s="90">
        <v>0.42454185180394938</v>
      </c>
      <c r="P11" s="213">
        <f t="shared" si="4"/>
        <v>-0.2206196665384299</v>
      </c>
      <c r="Q11" s="60">
        <v>1</v>
      </c>
    </row>
    <row r="12" spans="1:19" ht="15" customHeight="1" x14ac:dyDescent="0.25">
      <c r="A12" s="21"/>
      <c r="B12" s="21" t="s">
        <v>243</v>
      </c>
      <c r="C12" s="186">
        <v>19954343.75</v>
      </c>
      <c r="D12" s="190">
        <v>19664809.77</v>
      </c>
      <c r="E12" s="82">
        <v>16796388.789999999</v>
      </c>
      <c r="F12" s="48">
        <f t="shared" si="0"/>
        <v>0.85413431334708501</v>
      </c>
      <c r="G12" s="82">
        <v>16515401.039999999</v>
      </c>
      <c r="H12" s="48">
        <f t="shared" si="1"/>
        <v>0.83984545150268186</v>
      </c>
      <c r="I12" s="82">
        <v>7107231.0700000003</v>
      </c>
      <c r="J12" s="153">
        <f t="shared" si="2"/>
        <v>0.36141875528552342</v>
      </c>
      <c r="K12" s="565">
        <v>18205617.48</v>
      </c>
      <c r="L12" s="48">
        <v>0.8248779216079114</v>
      </c>
      <c r="M12" s="210">
        <f t="shared" si="3"/>
        <v>-9.2840379726576661E-2</v>
      </c>
      <c r="N12" s="565">
        <v>8641558.6699999999</v>
      </c>
      <c r="O12" s="48">
        <v>0.39154019153666336</v>
      </c>
      <c r="P12" s="210">
        <f t="shared" si="4"/>
        <v>-0.17755218226158265</v>
      </c>
      <c r="Q12" s="59">
        <v>20</v>
      </c>
    </row>
    <row r="13" spans="1:19" ht="15" customHeight="1" x14ac:dyDescent="0.25">
      <c r="A13" s="235"/>
      <c r="B13" s="235" t="s">
        <v>244</v>
      </c>
      <c r="C13" s="236">
        <v>21527982.960000001</v>
      </c>
      <c r="D13" s="188">
        <v>21773725.510000002</v>
      </c>
      <c r="E13" s="237">
        <v>17616616.59</v>
      </c>
      <c r="F13" s="412">
        <f t="shared" ref="F13:F59" si="5">+E13/D13</f>
        <v>0.80907681976192958</v>
      </c>
      <c r="G13" s="237">
        <v>15980687.789999999</v>
      </c>
      <c r="H13" s="412">
        <f t="shared" si="1"/>
        <v>0.73394365987853394</v>
      </c>
      <c r="I13" s="71">
        <v>4531256.9400000004</v>
      </c>
      <c r="J13" s="427">
        <f t="shared" si="2"/>
        <v>0.20810664385012723</v>
      </c>
      <c r="K13" s="565">
        <v>14576253.24</v>
      </c>
      <c r="L13" s="412">
        <v>0.76602051761871404</v>
      </c>
      <c r="M13" s="210">
        <f t="shared" si="3"/>
        <v>9.6350861011797129E-2</v>
      </c>
      <c r="N13" s="565">
        <v>4500741.25</v>
      </c>
      <c r="O13" s="412">
        <v>0.23652581258206087</v>
      </c>
      <c r="P13" s="443">
        <f t="shared" si="4"/>
        <v>6.7801476034643482E-3</v>
      </c>
      <c r="Q13" s="59">
        <v>21</v>
      </c>
    </row>
    <row r="14" spans="1:19" ht="15" customHeight="1" x14ac:dyDescent="0.25">
      <c r="A14" s="61"/>
      <c r="B14" s="61" t="s">
        <v>245</v>
      </c>
      <c r="C14" s="185">
        <v>2723382.21</v>
      </c>
      <c r="D14" s="189">
        <v>2111502.69</v>
      </c>
      <c r="E14" s="73">
        <v>1362487.25</v>
      </c>
      <c r="F14" s="413">
        <f t="shared" si="5"/>
        <v>0.64526900981594304</v>
      </c>
      <c r="G14" s="73">
        <v>825138.59</v>
      </c>
      <c r="H14" s="413">
        <f t="shared" si="1"/>
        <v>0.39078263736429336</v>
      </c>
      <c r="I14" s="73">
        <v>537723.72</v>
      </c>
      <c r="J14" s="428">
        <f t="shared" si="2"/>
        <v>0.25466399950454244</v>
      </c>
      <c r="K14" s="581">
        <v>735117.26</v>
      </c>
      <c r="L14" s="416">
        <v>0.44252774678938939</v>
      </c>
      <c r="M14" s="646">
        <f t="shared" si="3"/>
        <v>0.12245846329332544</v>
      </c>
      <c r="N14" s="581">
        <v>397864.9</v>
      </c>
      <c r="O14" s="416">
        <v>0.2395077184333636</v>
      </c>
      <c r="P14" s="588">
        <f t="shared" si="4"/>
        <v>0.35152339399630361</v>
      </c>
      <c r="Q14" s="59">
        <v>220</v>
      </c>
    </row>
    <row r="15" spans="1:19" ht="15" customHeight="1" x14ac:dyDescent="0.25">
      <c r="A15" s="68"/>
      <c r="B15" s="68" t="s">
        <v>247</v>
      </c>
      <c r="C15" s="186">
        <v>10719363.800000001</v>
      </c>
      <c r="D15" s="190">
        <v>6093214.6799999997</v>
      </c>
      <c r="E15" s="82">
        <v>5949204.6799999997</v>
      </c>
      <c r="F15" s="414">
        <f t="shared" si="5"/>
        <v>0.97636551351576539</v>
      </c>
      <c r="G15" s="82">
        <v>5886406.8099999996</v>
      </c>
      <c r="H15" s="414">
        <f t="shared" si="1"/>
        <v>0.96605931665614642</v>
      </c>
      <c r="I15" s="82">
        <v>3078867.6</v>
      </c>
      <c r="J15" s="429">
        <f t="shared" si="2"/>
        <v>0.50529445648877092</v>
      </c>
      <c r="K15" s="582">
        <v>10663798.1</v>
      </c>
      <c r="L15" s="415">
        <v>0.97938763020271258</v>
      </c>
      <c r="M15" s="210">
        <f t="shared" si="3"/>
        <v>-0.44800091348316129</v>
      </c>
      <c r="N15" s="582">
        <v>1992092.07</v>
      </c>
      <c r="O15" s="415">
        <v>0.18295829621745338</v>
      </c>
      <c r="P15" s="588">
        <f t="shared" si="4"/>
        <v>0.54554483016440103</v>
      </c>
      <c r="Q15" s="59">
        <v>22100</v>
      </c>
    </row>
    <row r="16" spans="1:19" ht="15" customHeight="1" x14ac:dyDescent="0.25">
      <c r="A16" s="70"/>
      <c r="B16" s="70" t="s">
        <v>249</v>
      </c>
      <c r="C16" s="236">
        <v>1129590</v>
      </c>
      <c r="D16" s="188">
        <v>1125430.44</v>
      </c>
      <c r="E16" s="237">
        <v>1103900</v>
      </c>
      <c r="F16" s="130">
        <f>+E16/D16</f>
        <v>0.98086915082908199</v>
      </c>
      <c r="G16" s="237">
        <v>1061290.18</v>
      </c>
      <c r="H16" s="130">
        <f>+G16/D16</f>
        <v>0.94300824136230044</v>
      </c>
      <c r="I16" s="71">
        <v>380677.37</v>
      </c>
      <c r="J16" s="194">
        <f>I16/D16</f>
        <v>0.33825046530641201</v>
      </c>
      <c r="K16" s="394">
        <v>1028099.51</v>
      </c>
      <c r="L16" s="130">
        <v>0.87789216121595082</v>
      </c>
      <c r="M16" s="210">
        <f t="shared" si="3"/>
        <v>3.2283518936800037E-2</v>
      </c>
      <c r="N16" s="394">
        <v>361281.95</v>
      </c>
      <c r="O16" s="130">
        <v>0.30849795064469304</v>
      </c>
      <c r="P16" s="588">
        <f t="shared" si="4"/>
        <v>5.3684995887560927E-2</v>
      </c>
      <c r="Q16" s="59">
        <v>22101</v>
      </c>
    </row>
    <row r="17" spans="1:17" ht="15" customHeight="1" x14ac:dyDescent="0.25">
      <c r="A17" s="70"/>
      <c r="B17" s="70" t="s">
        <v>248</v>
      </c>
      <c r="C17" s="236">
        <v>17267593.73</v>
      </c>
      <c r="D17" s="190">
        <v>17307593.73</v>
      </c>
      <c r="E17" s="237">
        <v>11006546.68</v>
      </c>
      <c r="F17" s="130">
        <f>+E17/D17</f>
        <v>0.63593743022300531</v>
      </c>
      <c r="G17" s="237">
        <v>11006546.68</v>
      </c>
      <c r="H17" s="130">
        <f>+G17/D17</f>
        <v>0.63593743022300531</v>
      </c>
      <c r="I17" s="71">
        <v>4070405.91</v>
      </c>
      <c r="J17" s="194">
        <f>I17/D17</f>
        <v>0.23518034762652129</v>
      </c>
      <c r="K17" s="394">
        <v>16853412.039999999</v>
      </c>
      <c r="L17" s="130">
        <v>0.81628595909895219</v>
      </c>
      <c r="M17" s="210">
        <f t="shared" si="3"/>
        <v>-0.34692472634757943</v>
      </c>
      <c r="N17" s="394">
        <v>3767575.67</v>
      </c>
      <c r="O17" s="130">
        <v>0.18248050376770039</v>
      </c>
      <c r="P17" s="588">
        <f t="shared" si="4"/>
        <v>8.0378011359225177E-2</v>
      </c>
      <c r="Q17" s="59">
        <v>22120</v>
      </c>
    </row>
    <row r="18" spans="1:17" ht="15" customHeight="1" x14ac:dyDescent="0.25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174379.38</v>
      </c>
      <c r="J18" s="194">
        <f>I18/D18</f>
        <v>0.29422542005982666</v>
      </c>
      <c r="K18" s="394">
        <v>538270.65</v>
      </c>
      <c r="L18" s="130">
        <v>0.96564232018021379</v>
      </c>
      <c r="M18" s="210">
        <f t="shared" si="3"/>
        <v>0.10106824512909984</v>
      </c>
      <c r="N18" s="394">
        <v>159808.12</v>
      </c>
      <c r="O18" s="130">
        <v>0.286691246829895</v>
      </c>
      <c r="P18" s="588">
        <f t="shared" si="4"/>
        <v>9.1179722281946596E-2</v>
      </c>
      <c r="Q18" s="59">
        <v>22121</v>
      </c>
    </row>
    <row r="19" spans="1:17" ht="15" customHeight="1" x14ac:dyDescent="0.25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350949.17</v>
      </c>
      <c r="J19" s="194">
        <f t="shared" si="2"/>
        <v>0.31530056314008659</v>
      </c>
      <c r="K19" s="394">
        <v>1119563.03</v>
      </c>
      <c r="L19" s="130">
        <v>0.99468834343845447</v>
      </c>
      <c r="M19" s="210">
        <f t="shared" si="3"/>
        <v>-9.9241665741677254E-3</v>
      </c>
      <c r="N19" s="394">
        <v>165332.14000000001</v>
      </c>
      <c r="O19" s="130">
        <v>0.14689119598182393</v>
      </c>
      <c r="P19" s="588">
        <f t="shared" si="4"/>
        <v>1.1226917524928908</v>
      </c>
      <c r="Q19" s="60" t="s">
        <v>251</v>
      </c>
    </row>
    <row r="20" spans="1:17" ht="15" customHeight="1" x14ac:dyDescent="0.25">
      <c r="A20" s="72"/>
      <c r="B20" s="72" t="s">
        <v>252</v>
      </c>
      <c r="C20" s="185">
        <v>5773648.7699999996</v>
      </c>
      <c r="D20" s="189">
        <v>5293450.2</v>
      </c>
      <c r="E20" s="237">
        <v>2836426.69</v>
      </c>
      <c r="F20" s="413">
        <f t="shared" si="5"/>
        <v>0.53583704065072713</v>
      </c>
      <c r="G20" s="237">
        <v>1818800.01</v>
      </c>
      <c r="H20" s="413">
        <f t="shared" si="1"/>
        <v>0.34359443109524296</v>
      </c>
      <c r="I20" s="73">
        <v>938323.58</v>
      </c>
      <c r="J20" s="430">
        <f t="shared" si="2"/>
        <v>0.17726124636064394</v>
      </c>
      <c r="K20" s="583">
        <v>3420751.7900000005</v>
      </c>
      <c r="L20" s="413">
        <v>0.59333147940072317</v>
      </c>
      <c r="M20" s="646">
        <f t="shared" si="3"/>
        <v>-0.46830400986211285</v>
      </c>
      <c r="N20" s="583">
        <v>732933.59000000008</v>
      </c>
      <c r="O20" s="413">
        <v>0.12712777715368323</v>
      </c>
      <c r="P20" s="589">
        <f t="shared" si="4"/>
        <v>0.28023001374517409</v>
      </c>
      <c r="Q20" s="60" t="s">
        <v>253</v>
      </c>
    </row>
    <row r="21" spans="1:17" ht="15" customHeight="1" x14ac:dyDescent="0.25">
      <c r="A21" s="68"/>
      <c r="B21" s="68" t="s">
        <v>254</v>
      </c>
      <c r="C21" s="186">
        <v>4085732</v>
      </c>
      <c r="D21" s="188">
        <v>4019499.24</v>
      </c>
      <c r="E21" s="69">
        <v>3992390.3</v>
      </c>
      <c r="F21" s="415">
        <f t="shared" si="5"/>
        <v>0.99325564246157183</v>
      </c>
      <c r="G21" s="69">
        <v>3958589.76</v>
      </c>
      <c r="H21" s="415">
        <f t="shared" si="1"/>
        <v>0.98484650043123267</v>
      </c>
      <c r="I21" s="69">
        <v>1062584.1599999999</v>
      </c>
      <c r="J21" s="431">
        <f t="shared" si="2"/>
        <v>0.26435734815563738</v>
      </c>
      <c r="K21" s="582">
        <v>2136208.4700000002</v>
      </c>
      <c r="L21" s="415">
        <v>0.57740735659086817</v>
      </c>
      <c r="M21" s="210">
        <f t="shared" si="3"/>
        <v>0.85309150094325736</v>
      </c>
      <c r="N21" s="582">
        <v>1383839.45</v>
      </c>
      <c r="O21" s="415">
        <v>0.37404545951016699</v>
      </c>
      <c r="P21" s="443">
        <f t="shared" si="4"/>
        <v>-0.23214780442919158</v>
      </c>
      <c r="Q21" s="59">
        <v>22200</v>
      </c>
    </row>
    <row r="22" spans="1:17" ht="15" customHeight="1" x14ac:dyDescent="0.25">
      <c r="A22" s="72"/>
      <c r="B22" s="72" t="s">
        <v>255</v>
      </c>
      <c r="C22" s="185">
        <v>1020103.84</v>
      </c>
      <c r="D22" s="189">
        <v>1235594.75</v>
      </c>
      <c r="E22" s="73">
        <v>836171.87000000011</v>
      </c>
      <c r="F22" s="416">
        <f t="shared" si="5"/>
        <v>0.67673634094026391</v>
      </c>
      <c r="G22" s="237">
        <v>742023.64</v>
      </c>
      <c r="H22" s="414">
        <f t="shared" si="1"/>
        <v>0.60053965104659113</v>
      </c>
      <c r="I22" s="62">
        <v>251086.22999999998</v>
      </c>
      <c r="J22" s="430">
        <f t="shared" si="2"/>
        <v>0.20321082620333242</v>
      </c>
      <c r="K22" s="583">
        <v>560375.99</v>
      </c>
      <c r="L22" s="413">
        <v>0.68229057682493699</v>
      </c>
      <c r="M22" s="646">
        <f t="shared" si="3"/>
        <v>0.32415316366427471</v>
      </c>
      <c r="N22" s="583">
        <v>170653.62</v>
      </c>
      <c r="O22" s="413">
        <v>0.20778077381056886</v>
      </c>
      <c r="P22" s="590">
        <f t="shared" si="4"/>
        <v>0.47132085448875904</v>
      </c>
      <c r="Q22" s="60" t="s">
        <v>256</v>
      </c>
    </row>
    <row r="23" spans="1:17" ht="15" customHeight="1" x14ac:dyDescent="0.25">
      <c r="A23" s="68"/>
      <c r="B23" s="68" t="s">
        <v>257</v>
      </c>
      <c r="C23" s="186">
        <v>733190.53</v>
      </c>
      <c r="D23" s="191">
        <v>735190.53</v>
      </c>
      <c r="E23" s="82">
        <v>620310.87</v>
      </c>
      <c r="F23" s="415">
        <f t="shared" si="5"/>
        <v>0.84374164884849645</v>
      </c>
      <c r="G23" s="69">
        <v>573095.07999999996</v>
      </c>
      <c r="H23" s="415">
        <f t="shared" si="1"/>
        <v>0.77951912683097258</v>
      </c>
      <c r="I23" s="69">
        <v>195763.68</v>
      </c>
      <c r="J23" s="429">
        <f t="shared" si="2"/>
        <v>0.26627611756642183</v>
      </c>
      <c r="K23" s="582">
        <v>477097.47</v>
      </c>
      <c r="L23" s="415">
        <v>0.62472370462309512</v>
      </c>
      <c r="M23" s="210">
        <f t="shared" si="3"/>
        <v>0.2012117356229115</v>
      </c>
      <c r="N23" s="582">
        <v>165976.93</v>
      </c>
      <c r="O23" s="415">
        <v>0.21733446331536432</v>
      </c>
      <c r="P23" s="590">
        <f t="shared" si="4"/>
        <v>0.17946319407160982</v>
      </c>
      <c r="Q23" s="59">
        <v>223</v>
      </c>
    </row>
    <row r="24" spans="1:17" ht="15" customHeight="1" x14ac:dyDescent="0.25">
      <c r="A24" s="70"/>
      <c r="B24" s="70" t="s">
        <v>258</v>
      </c>
      <c r="C24" s="186">
        <v>2494771.27</v>
      </c>
      <c r="D24" s="394">
        <v>2494971.27</v>
      </c>
      <c r="E24" s="237">
        <v>2337375.38</v>
      </c>
      <c r="F24" s="130">
        <f t="shared" si="5"/>
        <v>0.93683458727763225</v>
      </c>
      <c r="G24" s="82">
        <v>2337375.38</v>
      </c>
      <c r="H24" s="130">
        <f t="shared" si="1"/>
        <v>0.93683458727763225</v>
      </c>
      <c r="I24" s="82">
        <v>1700654.7</v>
      </c>
      <c r="J24" s="194">
        <f t="shared" si="2"/>
        <v>0.6816329792847674</v>
      </c>
      <c r="K24" s="394">
        <v>1697738.22</v>
      </c>
      <c r="L24" s="130">
        <v>0.68827365952205466</v>
      </c>
      <c r="M24" s="210">
        <f t="shared" si="3"/>
        <v>0.37675841449808445</v>
      </c>
      <c r="N24" s="394">
        <v>406.98</v>
      </c>
      <c r="O24" s="130">
        <v>1.6499222945707485E-4</v>
      </c>
      <c r="P24" s="590">
        <f t="shared" si="4"/>
        <v>4177.7181188264776</v>
      </c>
      <c r="Q24" s="59">
        <v>224</v>
      </c>
    </row>
    <row r="25" spans="1:17" ht="15" customHeight="1" x14ac:dyDescent="0.25">
      <c r="A25" s="72"/>
      <c r="B25" s="72" t="s">
        <v>259</v>
      </c>
      <c r="C25" s="185">
        <v>634347.34</v>
      </c>
      <c r="D25" s="167">
        <v>634347.34</v>
      </c>
      <c r="E25" s="73">
        <v>541428.77</v>
      </c>
      <c r="F25" s="413">
        <f t="shared" si="5"/>
        <v>0.85352099056646169</v>
      </c>
      <c r="G25" s="62">
        <v>142590.44</v>
      </c>
      <c r="H25" s="413">
        <f t="shared" si="1"/>
        <v>0.22478290836688936</v>
      </c>
      <c r="I25" s="62">
        <v>142590.44</v>
      </c>
      <c r="J25" s="430">
        <f t="shared" si="2"/>
        <v>0.22478290836688936</v>
      </c>
      <c r="K25" s="583">
        <v>83033.55</v>
      </c>
      <c r="L25" s="413">
        <v>0.10542067640844281</v>
      </c>
      <c r="M25" s="646">
        <f t="shared" si="3"/>
        <v>0.71726296177870275</v>
      </c>
      <c r="N25" s="583">
        <v>83033.55</v>
      </c>
      <c r="O25" s="413">
        <v>0.10542067640844281</v>
      </c>
      <c r="P25" s="590">
        <f t="shared" ref="P25" si="6">+I25/N25-1</f>
        <v>0.71726296177870275</v>
      </c>
      <c r="Q25" s="59">
        <v>225</v>
      </c>
    </row>
    <row r="26" spans="1:17" ht="15" customHeight="1" x14ac:dyDescent="0.25">
      <c r="A26" s="68"/>
      <c r="B26" s="68" t="s">
        <v>261</v>
      </c>
      <c r="C26" s="186">
        <v>926305.47</v>
      </c>
      <c r="D26" s="188">
        <v>1036877.87</v>
      </c>
      <c r="E26" s="82">
        <v>667609.31000000006</v>
      </c>
      <c r="F26" s="415">
        <f t="shared" si="5"/>
        <v>0.64386494235815839</v>
      </c>
      <c r="G26" s="82">
        <v>105091.8</v>
      </c>
      <c r="H26" s="415">
        <f t="shared" si="1"/>
        <v>0.10135407750577222</v>
      </c>
      <c r="I26" s="82">
        <v>105075.63</v>
      </c>
      <c r="J26" s="429">
        <f t="shared" si="2"/>
        <v>0.10133848261222897</v>
      </c>
      <c r="K26" s="582">
        <v>96246.35</v>
      </c>
      <c r="L26" s="415">
        <v>9.3540215659144291E-2</v>
      </c>
      <c r="M26" s="210">
        <f t="shared" si="3"/>
        <v>9.190426442145605E-2</v>
      </c>
      <c r="N26" s="582">
        <v>96246.35</v>
      </c>
      <c r="O26" s="415">
        <v>9.3540215659144291E-2</v>
      </c>
      <c r="P26" s="591">
        <f t="shared" si="4"/>
        <v>9.1736258050305164E-2</v>
      </c>
      <c r="Q26" s="59">
        <v>22601</v>
      </c>
    </row>
    <row r="27" spans="1:17" ht="15" customHeight="1" x14ac:dyDescent="0.25">
      <c r="A27" s="70"/>
      <c r="B27" s="70" t="s">
        <v>260</v>
      </c>
      <c r="C27" s="186">
        <v>10000000</v>
      </c>
      <c r="D27" s="188">
        <v>10016665.640000001</v>
      </c>
      <c r="E27" s="82">
        <v>9980709.4900000002</v>
      </c>
      <c r="F27" s="130">
        <f t="shared" si="5"/>
        <v>0.9964103673525434</v>
      </c>
      <c r="G27" s="82">
        <v>6228855.2000000002</v>
      </c>
      <c r="H27" s="130">
        <f t="shared" si="1"/>
        <v>0.62184916856224426</v>
      </c>
      <c r="I27" s="82">
        <v>1503256.78</v>
      </c>
      <c r="J27" s="194">
        <f t="shared" si="2"/>
        <v>0.15007556746198827</v>
      </c>
      <c r="K27" s="394">
        <v>2232891.15</v>
      </c>
      <c r="L27" s="130">
        <v>0.1736501180805263</v>
      </c>
      <c r="M27" s="210">
        <f t="shared" si="3"/>
        <v>1.7895919601813106</v>
      </c>
      <c r="N27" s="394">
        <v>721512.07</v>
      </c>
      <c r="O27" s="130">
        <v>5.611140343855317E-2</v>
      </c>
      <c r="P27" s="591">
        <f t="shared" si="4"/>
        <v>1.0834811259637003</v>
      </c>
      <c r="Q27" s="59">
        <v>22602</v>
      </c>
    </row>
    <row r="28" spans="1:17" ht="15" customHeight="1" x14ac:dyDescent="0.25">
      <c r="A28" s="70"/>
      <c r="B28" s="70" t="s">
        <v>262</v>
      </c>
      <c r="C28" s="186">
        <v>932269.14</v>
      </c>
      <c r="D28" s="394">
        <v>1221538.07</v>
      </c>
      <c r="E28" s="237">
        <v>775164.38</v>
      </c>
      <c r="F28" s="130">
        <f t="shared" si="5"/>
        <v>0.6345806152402601</v>
      </c>
      <c r="G28" s="82">
        <v>229162.43</v>
      </c>
      <c r="H28" s="130">
        <f t="shared" si="1"/>
        <v>0.18760154564810247</v>
      </c>
      <c r="I28" s="82">
        <v>214505.83</v>
      </c>
      <c r="J28" s="194">
        <f t="shared" si="2"/>
        <v>0.17560306573171311</v>
      </c>
      <c r="K28" s="394">
        <v>315484.65000000002</v>
      </c>
      <c r="L28" s="130">
        <v>0.28477218615052713</v>
      </c>
      <c r="M28" s="210">
        <f t="shared" si="3"/>
        <v>-0.27361781310120803</v>
      </c>
      <c r="N28" s="394">
        <v>293154.78000000003</v>
      </c>
      <c r="O28" s="130">
        <v>0.26461613134292533</v>
      </c>
      <c r="P28" s="443">
        <f t="shared" si="4"/>
        <v>-0.26828472658709512</v>
      </c>
      <c r="Q28" s="59">
        <v>22606</v>
      </c>
    </row>
    <row r="29" spans="1:17" ht="15" customHeight="1" x14ac:dyDescent="0.25">
      <c r="A29" s="70"/>
      <c r="B29" s="70" t="s">
        <v>263</v>
      </c>
      <c r="C29" s="186">
        <v>29213929.91</v>
      </c>
      <c r="D29" s="394">
        <v>31041480.219999999</v>
      </c>
      <c r="E29" s="237">
        <v>21904172.960000001</v>
      </c>
      <c r="F29" s="130">
        <f t="shared" si="5"/>
        <v>0.70564202495366701</v>
      </c>
      <c r="G29" s="82">
        <v>15301592.970000001</v>
      </c>
      <c r="H29" s="130">
        <f t="shared" si="1"/>
        <v>0.49294018395879191</v>
      </c>
      <c r="I29" s="82">
        <v>6255482.3300000001</v>
      </c>
      <c r="J29" s="194">
        <f t="shared" si="2"/>
        <v>0.20152010424971933</v>
      </c>
      <c r="K29" s="394">
        <v>12011252.439999999</v>
      </c>
      <c r="L29" s="130">
        <v>0.44149056036787182</v>
      </c>
      <c r="M29" s="210">
        <f t="shared" si="3"/>
        <v>0.27393817143018939</v>
      </c>
      <c r="N29" s="394">
        <v>4450608.47</v>
      </c>
      <c r="O29" s="130">
        <v>0.16358840489063076</v>
      </c>
      <c r="P29" s="443">
        <f t="shared" si="4"/>
        <v>0.40553418081280923</v>
      </c>
      <c r="Q29" s="59">
        <v>22610</v>
      </c>
    </row>
    <row r="30" spans="1:17" ht="15" customHeight="1" x14ac:dyDescent="0.25">
      <c r="A30" s="72"/>
      <c r="B30" s="72" t="s">
        <v>264</v>
      </c>
      <c r="C30" s="185">
        <v>35032601.990000002</v>
      </c>
      <c r="D30" s="167">
        <v>21665387.729999997</v>
      </c>
      <c r="E30" s="73">
        <v>11122254.67</v>
      </c>
      <c r="F30" s="413">
        <f t="shared" si="5"/>
        <v>0.5133651337612134</v>
      </c>
      <c r="G30" s="62">
        <v>8276000.209999999</v>
      </c>
      <c r="H30" s="413">
        <f t="shared" si="1"/>
        <v>0.38199178861406879</v>
      </c>
      <c r="I30" s="62">
        <v>2605757.6099999994</v>
      </c>
      <c r="J30" s="430">
        <f t="shared" si="2"/>
        <v>0.12027283529257198</v>
      </c>
      <c r="K30" s="583">
        <v>4215148.88</v>
      </c>
      <c r="L30" s="413">
        <v>0.26758418990466465</v>
      </c>
      <c r="M30" s="646">
        <f t="shared" si="3"/>
        <v>0.96339451953118194</v>
      </c>
      <c r="N30" s="583">
        <v>1624136.4699999997</v>
      </c>
      <c r="O30" s="413">
        <v>0.10310270265461456</v>
      </c>
      <c r="P30" s="590">
        <f t="shared" si="4"/>
        <v>0.60439572544048592</v>
      </c>
      <c r="Q30" s="60" t="s">
        <v>265</v>
      </c>
    </row>
    <row r="31" spans="1:17" ht="15" customHeight="1" x14ac:dyDescent="0.25">
      <c r="A31" s="68"/>
      <c r="B31" s="68" t="s">
        <v>266</v>
      </c>
      <c r="C31" s="184">
        <v>14665963.23</v>
      </c>
      <c r="D31" s="188">
        <v>21262695.199999999</v>
      </c>
      <c r="E31" s="71">
        <v>21186332.5</v>
      </c>
      <c r="F31" s="414">
        <f t="shared" si="5"/>
        <v>0.99640860675085074</v>
      </c>
      <c r="G31" s="71">
        <v>21134434.629999999</v>
      </c>
      <c r="H31" s="130">
        <f t="shared" si="1"/>
        <v>0.99396781222730413</v>
      </c>
      <c r="I31" s="71">
        <v>3928493.89</v>
      </c>
      <c r="J31" s="429">
        <f t="shared" si="2"/>
        <v>0.18475992121638465</v>
      </c>
      <c r="K31" s="582">
        <v>12020401.890000001</v>
      </c>
      <c r="L31" s="415">
        <v>0.9617250615347448</v>
      </c>
      <c r="M31" s="210">
        <f t="shared" si="3"/>
        <v>0.75821364571696503</v>
      </c>
      <c r="N31" s="582">
        <v>3551490.58</v>
      </c>
      <c r="O31" s="415">
        <v>0.28414669724412733</v>
      </c>
      <c r="P31" s="590">
        <f t="shared" si="4"/>
        <v>0.10615354356367179</v>
      </c>
      <c r="Q31" s="59">
        <v>22700</v>
      </c>
    </row>
    <row r="32" spans="1:17" ht="15" customHeight="1" x14ac:dyDescent="0.25">
      <c r="A32" s="70"/>
      <c r="B32" s="70" t="s">
        <v>267</v>
      </c>
      <c r="C32" s="184">
        <v>8752849.1600000001</v>
      </c>
      <c r="D32" s="188">
        <v>10103775.34</v>
      </c>
      <c r="E32" s="71">
        <v>5735862.5599999996</v>
      </c>
      <c r="F32" s="130">
        <f t="shared" si="5"/>
        <v>0.56769498202243274</v>
      </c>
      <c r="G32" s="71">
        <v>4164680.03</v>
      </c>
      <c r="H32" s="130">
        <f t="shared" si="1"/>
        <v>0.41219048225591287</v>
      </c>
      <c r="I32" s="71">
        <v>1590171.04</v>
      </c>
      <c r="J32" s="194">
        <f t="shared" si="2"/>
        <v>0.15738384776872918</v>
      </c>
      <c r="K32" s="394">
        <v>3094419.16</v>
      </c>
      <c r="L32" s="130">
        <v>0.55451823341483719</v>
      </c>
      <c r="M32" s="210">
        <f t="shared" si="3"/>
        <v>0.34586809823139775</v>
      </c>
      <c r="N32" s="394">
        <v>855853.52</v>
      </c>
      <c r="O32" s="130">
        <v>0.15336848611429552</v>
      </c>
      <c r="P32" s="443">
        <f t="shared" si="4"/>
        <v>0.85799439137669253</v>
      </c>
      <c r="Q32" s="59">
        <v>22703</v>
      </c>
    </row>
    <row r="33" spans="1:17" ht="15" customHeight="1" x14ac:dyDescent="0.25">
      <c r="A33" s="70"/>
      <c r="B33" s="70" t="s">
        <v>268</v>
      </c>
      <c r="C33" s="184">
        <v>2836163.11</v>
      </c>
      <c r="D33" s="188">
        <v>3418280.85</v>
      </c>
      <c r="E33" s="71">
        <v>1585705.16</v>
      </c>
      <c r="F33" s="130">
        <f t="shared" si="5"/>
        <v>0.46388966547321581</v>
      </c>
      <c r="G33" s="683">
        <v>1398637.66</v>
      </c>
      <c r="H33" s="130">
        <f t="shared" si="1"/>
        <v>0.40916405683868834</v>
      </c>
      <c r="I33" s="71">
        <v>498147.54</v>
      </c>
      <c r="J33" s="194">
        <f t="shared" si="2"/>
        <v>0.14573043054668838</v>
      </c>
      <c r="K33" s="394">
        <v>1166552.33</v>
      </c>
      <c r="L33" s="130">
        <v>0.49969200392272112</v>
      </c>
      <c r="M33" s="210">
        <f t="shared" si="3"/>
        <v>0.19894978050406009</v>
      </c>
      <c r="N33" s="394">
        <v>380132.51</v>
      </c>
      <c r="O33" s="130">
        <v>0.16282953691247937</v>
      </c>
      <c r="P33" s="443">
        <f t="shared" si="4"/>
        <v>0.31045760858496418</v>
      </c>
      <c r="Q33" s="59" t="s">
        <v>269</v>
      </c>
    </row>
    <row r="34" spans="1:17" ht="15" customHeight="1" x14ac:dyDescent="0.25">
      <c r="A34" s="70"/>
      <c r="B34" s="70" t="s">
        <v>270</v>
      </c>
      <c r="C34" s="184">
        <v>2915000</v>
      </c>
      <c r="D34" s="188">
        <v>2915000</v>
      </c>
      <c r="E34" s="71">
        <v>1178096.82</v>
      </c>
      <c r="F34" s="130">
        <f t="shared" si="5"/>
        <v>0.40414985248713553</v>
      </c>
      <c r="G34" s="71">
        <v>1178096.82</v>
      </c>
      <c r="H34" s="130">
        <f t="shared" si="1"/>
        <v>0.40414985248713553</v>
      </c>
      <c r="I34" s="71">
        <v>572875.14</v>
      </c>
      <c r="J34" s="194">
        <f t="shared" si="2"/>
        <v>0.1965266346483705</v>
      </c>
      <c r="K34" s="394">
        <v>516090.44</v>
      </c>
      <c r="L34" s="130">
        <v>0.13817682463186079</v>
      </c>
      <c r="M34" s="210">
        <f t="shared" si="3"/>
        <v>1.2827332744237618</v>
      </c>
      <c r="N34" s="394">
        <v>400881.18</v>
      </c>
      <c r="O34" s="130">
        <v>0.1073309718875502</v>
      </c>
      <c r="P34" s="443">
        <f t="shared" si="4"/>
        <v>0.42903974688958968</v>
      </c>
      <c r="Q34" s="60">
        <v>22708</v>
      </c>
    </row>
    <row r="35" spans="1:17" ht="15" customHeight="1" x14ac:dyDescent="0.25">
      <c r="A35" s="70"/>
      <c r="B35" s="70" t="s">
        <v>271</v>
      </c>
      <c r="C35" s="184">
        <v>16665238.130000001</v>
      </c>
      <c r="D35" s="188">
        <v>17119760.23</v>
      </c>
      <c r="E35" s="71">
        <v>15552010.66</v>
      </c>
      <c r="F35" s="130">
        <f t="shared" si="5"/>
        <v>0.90842456033626351</v>
      </c>
      <c r="G35" s="71">
        <v>15455010.66</v>
      </c>
      <c r="H35" s="130">
        <f t="shared" si="1"/>
        <v>0.90275859313246931</v>
      </c>
      <c r="I35" s="71">
        <v>3269558.7</v>
      </c>
      <c r="J35" s="194">
        <f t="shared" si="2"/>
        <v>0.19098157077402012</v>
      </c>
      <c r="K35" s="394">
        <v>15021050.73</v>
      </c>
      <c r="L35" s="130">
        <v>0.92972231236142877</v>
      </c>
      <c r="M35" s="210">
        <f t="shared" si="3"/>
        <v>2.8890118128240827E-2</v>
      </c>
      <c r="N35" s="394">
        <v>4236323.33</v>
      </c>
      <c r="O35" s="130">
        <v>0.26220564680020014</v>
      </c>
      <c r="P35" s="443">
        <f t="shared" si="4"/>
        <v>-0.22820841439409201</v>
      </c>
      <c r="Q35" s="59">
        <v>22712</v>
      </c>
    </row>
    <row r="36" spans="1:17" ht="15" customHeight="1" x14ac:dyDescent="0.25">
      <c r="A36" s="70"/>
      <c r="B36" s="70" t="s">
        <v>272</v>
      </c>
      <c r="C36" s="184">
        <v>12939002.66</v>
      </c>
      <c r="D36" s="188">
        <v>12939002.66</v>
      </c>
      <c r="E36" s="71">
        <v>12939002.66</v>
      </c>
      <c r="F36" s="130">
        <f t="shared" si="5"/>
        <v>1</v>
      </c>
      <c r="G36" s="71">
        <v>12939002.66</v>
      </c>
      <c r="H36" s="130">
        <f t="shared" si="1"/>
        <v>1</v>
      </c>
      <c r="I36" s="71">
        <v>3101184.23</v>
      </c>
      <c r="J36" s="194">
        <f t="shared" si="2"/>
        <v>0.23967722331390262</v>
      </c>
      <c r="K36" s="394">
        <v>12939002.66</v>
      </c>
      <c r="L36" s="130">
        <v>1</v>
      </c>
      <c r="M36" s="210">
        <f t="shared" si="3"/>
        <v>0</v>
      </c>
      <c r="N36" s="394">
        <v>3148132.06</v>
      </c>
      <c r="O36" s="130">
        <v>0.24330561966203351</v>
      </c>
      <c r="P36" s="443">
        <f t="shared" si="4"/>
        <v>-1.4912916327912917E-2</v>
      </c>
      <c r="Q36" s="59">
        <v>22714</v>
      </c>
    </row>
    <row r="37" spans="1:17" ht="15" customHeight="1" x14ac:dyDescent="0.25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1028647.48</v>
      </c>
      <c r="J37" s="194">
        <f t="shared" si="2"/>
        <v>0.19587755430150322</v>
      </c>
      <c r="K37" s="394">
        <v>3500988.09</v>
      </c>
      <c r="L37" s="130">
        <v>1</v>
      </c>
      <c r="M37" s="210">
        <f t="shared" si="3"/>
        <v>0.50000000428450497</v>
      </c>
      <c r="N37" s="394">
        <v>0</v>
      </c>
      <c r="O37" s="130">
        <v>0</v>
      </c>
      <c r="P37" s="443" t="s">
        <v>129</v>
      </c>
      <c r="Q37" s="59">
        <v>22715</v>
      </c>
    </row>
    <row r="38" spans="1:17" ht="15" customHeight="1" x14ac:dyDescent="0.25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2260502.39</v>
      </c>
      <c r="J38" s="194">
        <f t="shared" si="2"/>
        <v>0.1487172625</v>
      </c>
      <c r="K38" s="394">
        <v>9094141.8000000007</v>
      </c>
      <c r="L38" s="130">
        <v>0.6760478733272024</v>
      </c>
      <c r="M38" s="210">
        <f t="shared" si="3"/>
        <v>0.67140565149314013</v>
      </c>
      <c r="N38" s="394">
        <v>3468220.98</v>
      </c>
      <c r="O38" s="130">
        <v>0.25782349443438252</v>
      </c>
      <c r="P38" s="443">
        <f t="shared" si="4"/>
        <v>-0.34822423281690662</v>
      </c>
      <c r="Q38" s="59">
        <v>22716</v>
      </c>
    </row>
    <row r="39" spans="1:17" ht="15" customHeight="1" x14ac:dyDescent="0.25">
      <c r="A39" s="70"/>
      <c r="B39" s="70" t="s">
        <v>454</v>
      </c>
      <c r="C39" s="184">
        <v>315810.43</v>
      </c>
      <c r="D39" s="188">
        <v>332100.59999999998</v>
      </c>
      <c r="E39" s="71">
        <v>332100.59999999998</v>
      </c>
      <c r="F39" s="130">
        <f t="shared" si="5"/>
        <v>1</v>
      </c>
      <c r="G39" s="71">
        <v>270810.43</v>
      </c>
      <c r="H39" s="130">
        <f t="shared" si="1"/>
        <v>0.81544697600666793</v>
      </c>
      <c r="I39" s="71">
        <v>57108.76</v>
      </c>
      <c r="J39" s="194">
        <f t="shared" si="2"/>
        <v>0.17196223072165484</v>
      </c>
      <c r="K39" s="394">
        <v>143599.57999999999</v>
      </c>
      <c r="L39" s="130">
        <v>0.3796676185353004</v>
      </c>
      <c r="M39" s="210">
        <f t="shared" si="3"/>
        <v>0.88587201995994702</v>
      </c>
      <c r="N39" s="394">
        <v>66412.42</v>
      </c>
      <c r="O39" s="130">
        <v>0.17558996581024927</v>
      </c>
      <c r="P39" s="443">
        <f t="shared" si="4"/>
        <v>-0.14008915802194821</v>
      </c>
      <c r="Q39" s="59" t="s">
        <v>455</v>
      </c>
    </row>
    <row r="40" spans="1:17" ht="15" customHeight="1" x14ac:dyDescent="0.25">
      <c r="A40" s="70"/>
      <c r="B40" s="70" t="s">
        <v>456</v>
      </c>
      <c r="C40" s="184">
        <v>190000.38</v>
      </c>
      <c r="D40" s="188">
        <v>637106.1</v>
      </c>
      <c r="E40" s="71">
        <v>569283.26</v>
      </c>
      <c r="F40" s="130">
        <f t="shared" si="5"/>
        <v>0.8935454549877957</v>
      </c>
      <c r="G40" s="71">
        <v>497497.59</v>
      </c>
      <c r="H40" s="130">
        <f t="shared" si="1"/>
        <v>0.78087086279663631</v>
      </c>
      <c r="I40" s="71">
        <v>66932.570000000007</v>
      </c>
      <c r="J40" s="194">
        <f t="shared" si="2"/>
        <v>0.10505717964401849</v>
      </c>
      <c r="K40" s="394">
        <v>110401.5</v>
      </c>
      <c r="L40" s="130">
        <v>0.92000958663630894</v>
      </c>
      <c r="M40" s="210">
        <f t="shared" si="3"/>
        <v>3.5062575236749502</v>
      </c>
      <c r="N40" s="394">
        <v>69748.66</v>
      </c>
      <c r="O40" s="130">
        <v>0.58123699274952301</v>
      </c>
      <c r="P40" s="443">
        <f t="shared" si="4"/>
        <v>-4.0374825838947914E-2</v>
      </c>
      <c r="Q40" s="59" t="s">
        <v>457</v>
      </c>
    </row>
    <row r="41" spans="1:17" ht="15" customHeight="1" x14ac:dyDescent="0.25">
      <c r="A41" s="70"/>
      <c r="B41" s="70" t="s">
        <v>280</v>
      </c>
      <c r="C41" s="184">
        <v>73039557.629999995</v>
      </c>
      <c r="D41" s="188">
        <v>72972694.450000003</v>
      </c>
      <c r="E41" s="71">
        <v>56442161.869999997</v>
      </c>
      <c r="F41" s="130">
        <f t="shared" ref="F41:F55" si="7">+E41/D41</f>
        <v>0.77346961483892407</v>
      </c>
      <c r="G41" s="71">
        <v>51190521.329999998</v>
      </c>
      <c r="H41" s="130">
        <f t="shared" ref="H41:H55" si="8">+G41/D41</f>
        <v>0.70150241423626092</v>
      </c>
      <c r="I41" s="71">
        <v>15749298.43</v>
      </c>
      <c r="J41" s="194">
        <f t="shared" ref="J41:J55" si="9">I41/D41</f>
        <v>0.21582454298424222</v>
      </c>
      <c r="K41" s="394">
        <v>47886284.039999999</v>
      </c>
      <c r="L41" s="130">
        <v>0.79119657438282609</v>
      </c>
      <c r="M41" s="210">
        <f t="shared" si="3"/>
        <v>6.90017477079643E-2</v>
      </c>
      <c r="N41" s="394">
        <v>15036450.51</v>
      </c>
      <c r="O41" s="130">
        <v>0.24843832368473959</v>
      </c>
      <c r="P41" s="443">
        <f t="shared" si="4"/>
        <v>4.7407991635121549E-2</v>
      </c>
      <c r="Q41" s="59">
        <v>22719</v>
      </c>
    </row>
    <row r="42" spans="1:17" ht="15" customHeight="1" x14ac:dyDescent="0.25">
      <c r="A42" s="70"/>
      <c r="B42" s="70" t="s">
        <v>275</v>
      </c>
      <c r="C42" s="184">
        <v>1620000</v>
      </c>
      <c r="D42" s="188">
        <v>1620000</v>
      </c>
      <c r="E42" s="71">
        <v>1620000</v>
      </c>
      <c r="F42" s="130">
        <f t="shared" si="7"/>
        <v>1</v>
      </c>
      <c r="G42" s="71">
        <v>1620000</v>
      </c>
      <c r="H42" s="130">
        <f t="shared" si="8"/>
        <v>1</v>
      </c>
      <c r="I42" s="71">
        <v>564316.93000000005</v>
      </c>
      <c r="J42" s="194">
        <f t="shared" si="9"/>
        <v>0.34834378395061733</v>
      </c>
      <c r="K42" s="394">
        <v>1640000</v>
      </c>
      <c r="L42" s="130">
        <v>1</v>
      </c>
      <c r="M42" s="210">
        <f t="shared" si="3"/>
        <v>-1.2195121951219523E-2</v>
      </c>
      <c r="N42" s="394">
        <v>493720.34</v>
      </c>
      <c r="O42" s="130">
        <v>0.30104898780487804</v>
      </c>
      <c r="P42" s="443">
        <f t="shared" si="4"/>
        <v>0.14298902492046417</v>
      </c>
      <c r="Q42" s="59">
        <v>22720</v>
      </c>
    </row>
    <row r="43" spans="1:17" ht="14.4" thickBot="1" x14ac:dyDescent="0.3">
      <c r="A43" s="7" t="s">
        <v>233</v>
      </c>
    </row>
    <row r="44" spans="1:17" x14ac:dyDescent="0.25">
      <c r="A44" s="8" t="s">
        <v>291</v>
      </c>
      <c r="C44" s="164" t="s">
        <v>765</v>
      </c>
      <c r="D44" s="746" t="s">
        <v>780</v>
      </c>
      <c r="E44" s="744"/>
      <c r="F44" s="744"/>
      <c r="G44" s="744"/>
      <c r="H44" s="744"/>
      <c r="I44" s="744"/>
      <c r="J44" s="745"/>
      <c r="K44" s="752" t="s">
        <v>781</v>
      </c>
      <c r="L44" s="753"/>
      <c r="M44" s="753"/>
      <c r="N44" s="753"/>
      <c r="O44" s="753"/>
      <c r="P44" s="754"/>
    </row>
    <row r="45" spans="1:17" x14ac:dyDescent="0.25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543</v>
      </c>
      <c r="L45" s="88" t="s">
        <v>544</v>
      </c>
      <c r="M45" s="88" t="s">
        <v>545</v>
      </c>
      <c r="N45" s="727" t="s">
        <v>39</v>
      </c>
      <c r="O45" s="88" t="s">
        <v>40</v>
      </c>
      <c r="P45" s="149" t="s">
        <v>362</v>
      </c>
    </row>
    <row r="46" spans="1:17" ht="26.4" x14ac:dyDescent="0.25">
      <c r="A46" s="680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7" t="s">
        <v>764</v>
      </c>
      <c r="N46" s="564" t="s">
        <v>17</v>
      </c>
      <c r="O46" s="89" t="s">
        <v>18</v>
      </c>
      <c r="P46" s="587" t="s">
        <v>764</v>
      </c>
      <c r="Q46" s="58" t="s">
        <v>163</v>
      </c>
    </row>
    <row r="47" spans="1:17" ht="15" customHeight="1" x14ac:dyDescent="0.25">
      <c r="A47" s="81"/>
      <c r="B47" s="698" t="s">
        <v>277</v>
      </c>
      <c r="C47" s="186">
        <v>2113545.42</v>
      </c>
      <c r="D47" s="190">
        <v>1288895.3999999999</v>
      </c>
      <c r="E47" s="82">
        <v>1288895.3999999999</v>
      </c>
      <c r="F47" s="414">
        <f t="shared" si="7"/>
        <v>1</v>
      </c>
      <c r="G47" s="82">
        <v>1288895.3999999999</v>
      </c>
      <c r="H47" s="414">
        <f t="shared" si="8"/>
        <v>1</v>
      </c>
      <c r="I47" s="82">
        <v>350451.46</v>
      </c>
      <c r="J47" s="431">
        <f t="shared" si="9"/>
        <v>0.27190062126065473</v>
      </c>
      <c r="K47" s="584">
        <v>1288895.3999999999</v>
      </c>
      <c r="L47" s="414">
        <v>0.76686520289987581</v>
      </c>
      <c r="M47" s="210">
        <f t="shared" si="3"/>
        <v>0</v>
      </c>
      <c r="N47" s="584">
        <v>355507.48</v>
      </c>
      <c r="O47" s="414">
        <v>0.21151934888015236</v>
      </c>
      <c r="P47" s="591">
        <f t="shared" si="4"/>
        <v>-1.4221979239367744E-2</v>
      </c>
      <c r="Q47" s="59">
        <v>22721</v>
      </c>
    </row>
    <row r="48" spans="1:17" ht="15" customHeight="1" x14ac:dyDescent="0.25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2696543.67</v>
      </c>
      <c r="H48" s="130">
        <f t="shared" si="8"/>
        <v>0.9977454093992445</v>
      </c>
      <c r="I48" s="71">
        <v>783623.45</v>
      </c>
      <c r="J48" s="194">
        <f t="shared" si="9"/>
        <v>0.28994772405636526</v>
      </c>
      <c r="K48" s="394">
        <v>2672486.9900000002</v>
      </c>
      <c r="L48" s="130">
        <v>1</v>
      </c>
      <c r="M48" s="210">
        <f t="shared" si="3"/>
        <v>9.0016078993147008E-3</v>
      </c>
      <c r="N48" s="394">
        <v>548333.26</v>
      </c>
      <c r="O48" s="130">
        <v>0.20517714849567892</v>
      </c>
      <c r="P48" s="591">
        <f t="shared" si="4"/>
        <v>0.4291007078432556</v>
      </c>
      <c r="Q48" s="59">
        <v>22723</v>
      </c>
    </row>
    <row r="49" spans="1:17" ht="15" customHeight="1" x14ac:dyDescent="0.25">
      <c r="A49" s="70"/>
      <c r="B49" s="70" t="s">
        <v>279</v>
      </c>
      <c r="C49" s="184">
        <v>8277660.2699999996</v>
      </c>
      <c r="D49" s="188">
        <v>8215056.1699999999</v>
      </c>
      <c r="E49" s="71">
        <v>7126421.71</v>
      </c>
      <c r="F49" s="130">
        <f t="shared" si="7"/>
        <v>0.86748301685684026</v>
      </c>
      <c r="G49" s="71">
        <v>7126421.71</v>
      </c>
      <c r="H49" s="130">
        <f t="shared" si="8"/>
        <v>0.86748301685684026</v>
      </c>
      <c r="I49" s="71">
        <v>2107609.36</v>
      </c>
      <c r="J49" s="194">
        <f t="shared" si="9"/>
        <v>0.25655446735673382</v>
      </c>
      <c r="K49" s="394">
        <v>6995670.5499999998</v>
      </c>
      <c r="L49" s="130">
        <v>0.7669244680354913</v>
      </c>
      <c r="M49" s="210">
        <f t="shared" si="3"/>
        <v>1.86902969580236E-2</v>
      </c>
      <c r="N49" s="394">
        <v>1221403.1599999999</v>
      </c>
      <c r="O49" s="130">
        <v>0.13390052633908953</v>
      </c>
      <c r="P49" s="591">
        <f t="shared" si="4"/>
        <v>0.72556403079880694</v>
      </c>
      <c r="Q49" s="59">
        <v>22724</v>
      </c>
    </row>
    <row r="50" spans="1:17" ht="15" customHeight="1" x14ac:dyDescent="0.25">
      <c r="A50" s="70"/>
      <c r="B50" s="70" t="s">
        <v>459</v>
      </c>
      <c r="C50" s="184">
        <v>205380.83</v>
      </c>
      <c r="D50" s="188">
        <v>273354.92</v>
      </c>
      <c r="E50" s="71">
        <v>157374.09</v>
      </c>
      <c r="F50" s="130">
        <f t="shared" si="7"/>
        <v>0.57571339853696435</v>
      </c>
      <c r="G50" s="71">
        <v>97374.09</v>
      </c>
      <c r="H50" s="130">
        <f t="shared" si="8"/>
        <v>0.35621853815545007</v>
      </c>
      <c r="I50" s="71">
        <v>0</v>
      </c>
      <c r="J50" s="194">
        <f t="shared" si="9"/>
        <v>0</v>
      </c>
      <c r="K50" s="394">
        <v>33615.51</v>
      </c>
      <c r="L50" s="130">
        <v>0.41381731230748992</v>
      </c>
      <c r="M50" s="210">
        <f t="shared" si="3"/>
        <v>1.8967012548671724</v>
      </c>
      <c r="N50" s="394">
        <v>33615.51</v>
      </c>
      <c r="O50" s="130">
        <v>0.41381731230748992</v>
      </c>
      <c r="P50" s="591">
        <f t="shared" si="4"/>
        <v>-1</v>
      </c>
      <c r="Q50" s="59" t="s">
        <v>458</v>
      </c>
    </row>
    <row r="51" spans="1:17" ht="15" customHeight="1" x14ac:dyDescent="0.25">
      <c r="A51" s="70"/>
      <c r="B51" s="70" t="s">
        <v>460</v>
      </c>
      <c r="C51" s="184">
        <v>0</v>
      </c>
      <c r="D51" s="188">
        <v>0</v>
      </c>
      <c r="E51" s="71">
        <v>0</v>
      </c>
      <c r="F51" s="130" t="s">
        <v>129</v>
      </c>
      <c r="G51" s="71">
        <v>0</v>
      </c>
      <c r="H51" s="130" t="s">
        <v>129</v>
      </c>
      <c r="I51" s="71">
        <v>0</v>
      </c>
      <c r="J51" s="194" t="s">
        <v>129</v>
      </c>
      <c r="K51" s="394">
        <v>0</v>
      </c>
      <c r="L51" s="130">
        <v>0</v>
      </c>
      <c r="M51" s="210" t="s">
        <v>129</v>
      </c>
      <c r="N51" s="394">
        <v>0</v>
      </c>
      <c r="O51" s="130">
        <v>0</v>
      </c>
      <c r="P51" s="591" t="s">
        <v>129</v>
      </c>
      <c r="Q51" s="59" t="s">
        <v>461</v>
      </c>
    </row>
    <row r="52" spans="1:17" ht="15" customHeight="1" x14ac:dyDescent="0.25">
      <c r="A52" s="70"/>
      <c r="B52" s="70" t="s">
        <v>281</v>
      </c>
      <c r="C52" s="184">
        <v>263731432.25999999</v>
      </c>
      <c r="D52" s="188">
        <v>263611530.47</v>
      </c>
      <c r="E52" s="71">
        <v>256561922.77000001</v>
      </c>
      <c r="F52" s="130">
        <f t="shared" si="7"/>
        <v>0.97325758972898091</v>
      </c>
      <c r="G52" s="71">
        <v>256561922.77000001</v>
      </c>
      <c r="H52" s="130">
        <f t="shared" si="8"/>
        <v>0.97325758972898091</v>
      </c>
      <c r="I52" s="71">
        <v>60892625.909999996</v>
      </c>
      <c r="J52" s="194">
        <f t="shared" si="9"/>
        <v>0.23099378772025986</v>
      </c>
      <c r="K52" s="394">
        <v>256436783.59999999</v>
      </c>
      <c r="L52" s="130">
        <v>1</v>
      </c>
      <c r="M52" s="210">
        <f t="shared" si="3"/>
        <v>4.8799227725160321E-4</v>
      </c>
      <c r="N52" s="394">
        <v>55960414.670000002</v>
      </c>
      <c r="O52" s="130">
        <v>0.21822304072137022</v>
      </c>
      <c r="P52" s="591">
        <f t="shared" si="4"/>
        <v>8.8137503431405362E-2</v>
      </c>
      <c r="Q52" s="59">
        <v>22727</v>
      </c>
    </row>
    <row r="53" spans="1:17" ht="15" customHeight="1" x14ac:dyDescent="0.25">
      <c r="A53" s="70"/>
      <c r="B53" s="70" t="s">
        <v>278</v>
      </c>
      <c r="C53" s="184">
        <v>2408945.5</v>
      </c>
      <c r="D53" s="188">
        <v>3165164.76</v>
      </c>
      <c r="E53" s="71">
        <v>2253200.09</v>
      </c>
      <c r="F53" s="130">
        <f t="shared" si="7"/>
        <v>0.71187450286158249</v>
      </c>
      <c r="G53" s="71">
        <v>2253200.09</v>
      </c>
      <c r="H53" s="130">
        <f t="shared" si="8"/>
        <v>0.71187450286158249</v>
      </c>
      <c r="I53" s="71">
        <v>520448.2</v>
      </c>
      <c r="J53" s="194">
        <f t="shared" si="9"/>
        <v>0.16443005008055253</v>
      </c>
      <c r="K53" s="394">
        <v>643091.97</v>
      </c>
      <c r="L53" s="130">
        <v>0.34807547634921282</v>
      </c>
      <c r="M53" s="210">
        <f t="shared" si="3"/>
        <v>2.5036980635911221</v>
      </c>
      <c r="N53" s="394">
        <v>346822.57</v>
      </c>
      <c r="O53" s="130">
        <v>0.1877187663553134</v>
      </c>
      <c r="P53" s="591">
        <f t="shared" si="4"/>
        <v>0.50061802494572372</v>
      </c>
      <c r="Q53" s="59">
        <v>22729</v>
      </c>
    </row>
    <row r="54" spans="1:17" ht="15" customHeight="1" x14ac:dyDescent="0.25">
      <c r="A54" s="70"/>
      <c r="B54" s="70" t="s">
        <v>283</v>
      </c>
      <c r="C54" s="184">
        <v>51417192.420000002</v>
      </c>
      <c r="D54" s="188">
        <v>51285748.07</v>
      </c>
      <c r="E54" s="71">
        <v>46412856.859999999</v>
      </c>
      <c r="F54" s="130">
        <f t="shared" si="7"/>
        <v>0.90498547075205016</v>
      </c>
      <c r="G54" s="71">
        <v>46185640.990000002</v>
      </c>
      <c r="H54" s="130">
        <f t="shared" si="8"/>
        <v>0.90055508066219769</v>
      </c>
      <c r="I54" s="71">
        <v>13363240.119999999</v>
      </c>
      <c r="J54" s="194">
        <f t="shared" si="9"/>
        <v>0.26056439893906763</v>
      </c>
      <c r="K54" s="394">
        <v>41313329.140000001</v>
      </c>
      <c r="L54" s="130">
        <v>0.85251731031191891</v>
      </c>
      <c r="M54" s="210">
        <f t="shared" si="3"/>
        <v>0.11793559007285559</v>
      </c>
      <c r="N54" s="394">
        <v>13627982.630000001</v>
      </c>
      <c r="O54" s="130">
        <v>0.28121895133007796</v>
      </c>
      <c r="P54" s="591">
        <f t="shared" si="4"/>
        <v>-1.9426390331406029E-2</v>
      </c>
      <c r="Q54" s="59">
        <v>22731</v>
      </c>
    </row>
    <row r="55" spans="1:17" ht="15" customHeight="1" x14ac:dyDescent="0.25">
      <c r="A55" s="70"/>
      <c r="B55" s="70" t="s">
        <v>282</v>
      </c>
      <c r="C55" s="184">
        <v>4368274.93</v>
      </c>
      <c r="D55" s="188">
        <v>4275228.83</v>
      </c>
      <c r="E55" s="71">
        <v>4265884.72</v>
      </c>
      <c r="F55" s="130">
        <f t="shared" si="7"/>
        <v>0.9978143602666526</v>
      </c>
      <c r="G55" s="71">
        <v>4265884.72</v>
      </c>
      <c r="H55" s="130">
        <f t="shared" si="8"/>
        <v>0.9978143602666526</v>
      </c>
      <c r="I55" s="71">
        <v>909456.46</v>
      </c>
      <c r="J55" s="194">
        <f t="shared" si="9"/>
        <v>0.21272696647678621</v>
      </c>
      <c r="K55" s="394">
        <v>2726070.64</v>
      </c>
      <c r="L55" s="130">
        <v>0.62430430205076615</v>
      </c>
      <c r="M55" s="210">
        <f t="shared" si="3"/>
        <v>0.56484746117950912</v>
      </c>
      <c r="N55" s="394">
        <v>1354717.47</v>
      </c>
      <c r="O55" s="130">
        <v>0.31024725925089364</v>
      </c>
      <c r="P55" s="591">
        <f t="shared" si="4"/>
        <v>-0.32867444309255123</v>
      </c>
      <c r="Q55" s="59">
        <v>22732</v>
      </c>
    </row>
    <row r="56" spans="1:17" ht="15" customHeight="1" x14ac:dyDescent="0.25">
      <c r="A56" s="72"/>
      <c r="B56" s="72" t="s">
        <v>284</v>
      </c>
      <c r="C56" s="185">
        <v>6556162.8600000003</v>
      </c>
      <c r="D56" s="189">
        <v>9849828.6699999999</v>
      </c>
      <c r="E56" s="73">
        <v>9496332.5600000005</v>
      </c>
      <c r="F56" s="413">
        <f t="shared" si="5"/>
        <v>0.96411144580852903</v>
      </c>
      <c r="G56" s="73">
        <v>3874159.8400000003</v>
      </c>
      <c r="H56" s="413">
        <f t="shared" si="1"/>
        <v>0.393322561213646</v>
      </c>
      <c r="I56" s="73">
        <v>1779370.46</v>
      </c>
      <c r="J56" s="430">
        <f t="shared" si="2"/>
        <v>0.18064988941579224</v>
      </c>
      <c r="K56" s="583">
        <v>3883042.8</v>
      </c>
      <c r="L56" s="130">
        <v>0.76722746872628678</v>
      </c>
      <c r="M56" s="645">
        <f t="shared" si="3"/>
        <v>-2.2876286606986485E-3</v>
      </c>
      <c r="N56" s="583">
        <v>993009.96</v>
      </c>
      <c r="O56" s="130">
        <v>0.19620296691831243</v>
      </c>
      <c r="P56" s="591">
        <f t="shared" si="4"/>
        <v>0.79189588390432664</v>
      </c>
      <c r="Q56" s="60" t="s">
        <v>285</v>
      </c>
    </row>
    <row r="57" spans="1:17" ht="15" customHeight="1" x14ac:dyDescent="0.25">
      <c r="A57" s="68"/>
      <c r="B57" s="68" t="s">
        <v>286</v>
      </c>
      <c r="C57" s="184">
        <v>1927031.01</v>
      </c>
      <c r="D57" s="188">
        <v>1710200.55</v>
      </c>
      <c r="E57" s="71">
        <v>1091739.78</v>
      </c>
      <c r="F57" s="414">
        <f t="shared" si="5"/>
        <v>0.63836944737270729</v>
      </c>
      <c r="G57" s="472">
        <v>336742.68</v>
      </c>
      <c r="H57" s="414">
        <f t="shared" si="1"/>
        <v>0.19690245100201845</v>
      </c>
      <c r="I57" s="71">
        <v>313742.68</v>
      </c>
      <c r="J57" s="431">
        <f t="shared" si="2"/>
        <v>0.18345373587910493</v>
      </c>
      <c r="K57" s="584">
        <v>465590.74</v>
      </c>
      <c r="L57" s="415">
        <v>0.29443348637391514</v>
      </c>
      <c r="M57" s="210">
        <f t="shared" si="3"/>
        <v>-0.27674102796803901</v>
      </c>
      <c r="N57" s="584">
        <v>465590.74</v>
      </c>
      <c r="O57" s="415">
        <v>0.29443348637391514</v>
      </c>
      <c r="P57" s="591">
        <f t="shared" si="4"/>
        <v>-0.32614063587261211</v>
      </c>
      <c r="Q57" s="59">
        <v>230</v>
      </c>
    </row>
    <row r="58" spans="1:17" ht="15" customHeight="1" x14ac:dyDescent="0.25">
      <c r="A58" s="70"/>
      <c r="B58" s="70" t="s">
        <v>287</v>
      </c>
      <c r="C58" s="184">
        <v>823281.89</v>
      </c>
      <c r="D58" s="188">
        <v>1012134.46</v>
      </c>
      <c r="E58" s="71">
        <v>459728.53</v>
      </c>
      <c r="F58" s="130">
        <f t="shared" si="5"/>
        <v>0.45421685375676274</v>
      </c>
      <c r="G58" s="473">
        <v>335745.89</v>
      </c>
      <c r="H58" s="130">
        <f t="shared" si="1"/>
        <v>0.33172063917278344</v>
      </c>
      <c r="I58" s="71">
        <v>219538.59</v>
      </c>
      <c r="J58" s="194">
        <f t="shared" si="2"/>
        <v>0.21690654619150107</v>
      </c>
      <c r="K58" s="394">
        <v>279910</v>
      </c>
      <c r="L58" s="130">
        <v>0.24972982366412186</v>
      </c>
      <c r="M58" s="210">
        <f t="shared" si="3"/>
        <v>0.19947801078918226</v>
      </c>
      <c r="N58" s="394">
        <v>220646.8</v>
      </c>
      <c r="O58" s="130">
        <v>0.1968564411991453</v>
      </c>
      <c r="P58" s="591">
        <f t="shared" si="4"/>
        <v>-5.0225518792930135E-3</v>
      </c>
      <c r="Q58" s="59">
        <v>231</v>
      </c>
    </row>
    <row r="59" spans="1:17" ht="15" customHeight="1" x14ac:dyDescent="0.25">
      <c r="A59" s="72"/>
      <c r="B59" s="72" t="s">
        <v>288</v>
      </c>
      <c r="C59" s="185">
        <v>319336.93</v>
      </c>
      <c r="D59" s="189">
        <v>333650.93</v>
      </c>
      <c r="E59" s="73">
        <v>240000</v>
      </c>
      <c r="F59" s="413">
        <f t="shared" si="5"/>
        <v>0.71931464420015256</v>
      </c>
      <c r="G59" s="474">
        <v>65469.74</v>
      </c>
      <c r="H59" s="413">
        <f>+G59/D59</f>
        <v>0.19622226139156873</v>
      </c>
      <c r="I59" s="73">
        <v>65469.74</v>
      </c>
      <c r="J59" s="430">
        <f t="shared" si="2"/>
        <v>0.19622226139156873</v>
      </c>
      <c r="K59" s="583">
        <v>80803.539999999994</v>
      </c>
      <c r="L59" s="130">
        <v>0.2703659450197462</v>
      </c>
      <c r="M59" s="646">
        <f t="shared" si="3"/>
        <v>-0.1897664384505926</v>
      </c>
      <c r="N59" s="583">
        <v>80803.539999999994</v>
      </c>
      <c r="O59" s="130">
        <v>0.2703659450197462</v>
      </c>
      <c r="P59" s="591">
        <f t="shared" si="4"/>
        <v>-0.1897664384505926</v>
      </c>
      <c r="Q59" s="59">
        <v>233</v>
      </c>
    </row>
    <row r="60" spans="1:17" ht="15" customHeight="1" x14ac:dyDescent="0.25">
      <c r="A60" s="55"/>
      <c r="B60" s="55" t="s">
        <v>289</v>
      </c>
      <c r="C60" s="176">
        <v>0</v>
      </c>
      <c r="D60" s="562">
        <v>0</v>
      </c>
      <c r="E60" s="56">
        <v>0</v>
      </c>
      <c r="F60" s="243" t="s">
        <v>129</v>
      </c>
      <c r="G60" s="56">
        <v>0</v>
      </c>
      <c r="H60" s="78" t="s">
        <v>129</v>
      </c>
      <c r="I60" s="56">
        <v>0</v>
      </c>
      <c r="J60" s="172" t="s">
        <v>129</v>
      </c>
      <c r="K60" s="580">
        <v>0</v>
      </c>
      <c r="L60" s="586" t="s">
        <v>129</v>
      </c>
      <c r="M60" s="245" t="s">
        <v>129</v>
      </c>
      <c r="N60" s="580">
        <v>0</v>
      </c>
      <c r="O60" s="586" t="s">
        <v>129</v>
      </c>
      <c r="P60" s="245" t="s">
        <v>129</v>
      </c>
      <c r="Q60" s="59" t="s">
        <v>539</v>
      </c>
    </row>
    <row r="61" spans="1:17" ht="15" customHeight="1" x14ac:dyDescent="0.25">
      <c r="A61" s="527"/>
      <c r="B61" s="83" t="s">
        <v>240</v>
      </c>
      <c r="C61" s="162">
        <f>SUM(C12:C42,C47:C60)</f>
        <v>665063202.92999983</v>
      </c>
      <c r="D61" s="152">
        <f>SUM(D12:D42,D47:D60)</f>
        <v>660672342.51999998</v>
      </c>
      <c r="E61" s="84">
        <f>SUM(E12:E42,E47:E60)</f>
        <v>580799314.9599998</v>
      </c>
      <c r="F61" s="90">
        <f>+E61/D61</f>
        <v>0.87910341871533348</v>
      </c>
      <c r="G61" s="84">
        <f>SUM(G12:G42,G47:G60)</f>
        <v>548077948.57999992</v>
      </c>
      <c r="H61" s="90">
        <f t="shared" si="1"/>
        <v>0.82957604444204269</v>
      </c>
      <c r="I61" s="84">
        <f>SUM(I12:I42,I47:I60)</f>
        <v>149199385.66000003</v>
      </c>
      <c r="J61" s="170">
        <f t="shared" si="2"/>
        <v>0.22582962242813037</v>
      </c>
      <c r="K61" s="152">
        <f>SUM(K12:K42,K47:K60)</f>
        <v>514918583.37000006</v>
      </c>
      <c r="L61" s="90">
        <v>0.81795122888894001</v>
      </c>
      <c r="M61" s="629">
        <f t="shared" si="3"/>
        <v>6.4397297516397556E-2</v>
      </c>
      <c r="N61" s="568">
        <f>SUM(N12:N42,N47:N60)</f>
        <v>136624970.91</v>
      </c>
      <c r="O61" s="90">
        <v>0.21702957799922559</v>
      </c>
      <c r="P61" s="213">
        <f>+I61/N61-1</f>
        <v>9.2035992148779888E-2</v>
      </c>
    </row>
    <row r="62" spans="1:17" ht="15" customHeight="1" x14ac:dyDescent="0.25">
      <c r="A62" s="81"/>
      <c r="B62" s="81" t="s">
        <v>346</v>
      </c>
      <c r="C62" s="186">
        <v>21570000</v>
      </c>
      <c r="D62" s="190">
        <v>21570000</v>
      </c>
      <c r="E62" s="82">
        <v>5253922.83</v>
      </c>
      <c r="F62" s="414">
        <f>+E62/D62</f>
        <v>0.24357546731571628</v>
      </c>
      <c r="G62" s="82">
        <v>5253922.83</v>
      </c>
      <c r="H62" s="414">
        <f t="shared" si="1"/>
        <v>0.24357546731571628</v>
      </c>
      <c r="I62" s="82">
        <v>5253922.83</v>
      </c>
      <c r="J62" s="431">
        <f t="shared" si="2"/>
        <v>0.24357546731571628</v>
      </c>
      <c r="K62" s="584">
        <v>6621472.0199999996</v>
      </c>
      <c r="L62" s="414">
        <v>0.27987055241397951</v>
      </c>
      <c r="M62" s="591">
        <f t="shared" si="3"/>
        <v>-0.20653250302490889</v>
      </c>
      <c r="N62" s="584">
        <v>6621472.0199999996</v>
      </c>
      <c r="O62" s="414">
        <v>0.27987055241397951</v>
      </c>
      <c r="P62" s="591">
        <f>+I62/N62-1</f>
        <v>-0.20653250302490889</v>
      </c>
      <c r="Q62" s="59" t="s">
        <v>348</v>
      </c>
    </row>
    <row r="63" spans="1:17" ht="15" customHeight="1" x14ac:dyDescent="0.25">
      <c r="A63" s="70"/>
      <c r="B63" s="70" t="s">
        <v>347</v>
      </c>
      <c r="C63" s="184">
        <v>280000</v>
      </c>
      <c r="D63" s="188">
        <v>280000</v>
      </c>
      <c r="E63" s="71">
        <v>1825.57</v>
      </c>
      <c r="F63" s="130">
        <f>+E63/D63</f>
        <v>6.5198928571428569E-3</v>
      </c>
      <c r="G63" s="71">
        <v>1825.57</v>
      </c>
      <c r="H63" s="130">
        <f t="shared" si="1"/>
        <v>6.5198928571428569E-3</v>
      </c>
      <c r="I63" s="71">
        <v>1825.57</v>
      </c>
      <c r="J63" s="194">
        <f t="shared" si="2"/>
        <v>6.5198928571428569E-3</v>
      </c>
      <c r="K63" s="394">
        <v>3598.76</v>
      </c>
      <c r="L63" s="130">
        <v>3.8190358790459651E-3</v>
      </c>
      <c r="M63" s="591">
        <f t="shared" si="3"/>
        <v>-0.49272249330324891</v>
      </c>
      <c r="N63" s="394">
        <v>3598.76</v>
      </c>
      <c r="O63" s="130">
        <v>3.8190358790459651E-3</v>
      </c>
      <c r="P63" s="591">
        <f t="shared" ref="P63:P64" si="10">+I63/N63-1</f>
        <v>-0.49272249330324891</v>
      </c>
      <c r="Q63" s="59" t="s">
        <v>349</v>
      </c>
    </row>
    <row r="64" spans="1:17" ht="15" customHeight="1" x14ac:dyDescent="0.25">
      <c r="A64" s="79"/>
      <c r="B64" s="550" t="s">
        <v>183</v>
      </c>
      <c r="C64" s="395">
        <v>250000</v>
      </c>
      <c r="D64" s="191">
        <v>250000</v>
      </c>
      <c r="E64" s="80">
        <v>5361.82</v>
      </c>
      <c r="F64" s="243">
        <f>+E64/D64</f>
        <v>2.1447279999999999E-2</v>
      </c>
      <c r="G64" s="80">
        <v>5361.82</v>
      </c>
      <c r="H64" s="243">
        <f t="shared" si="1"/>
        <v>2.1447279999999999E-2</v>
      </c>
      <c r="I64" s="80">
        <v>5361.82</v>
      </c>
      <c r="J64" s="195">
        <f t="shared" si="2"/>
        <v>2.1447279999999999E-2</v>
      </c>
      <c r="K64" s="585">
        <v>19416.080000000002</v>
      </c>
      <c r="L64" s="243">
        <v>7.7664320000000009E-2</v>
      </c>
      <c r="M64" s="591">
        <f t="shared" si="3"/>
        <v>-0.72384642008067546</v>
      </c>
      <c r="N64" s="585">
        <v>19416.080000000002</v>
      </c>
      <c r="O64" s="243">
        <v>7.7664320000000009E-2</v>
      </c>
      <c r="P64" s="591">
        <f t="shared" si="10"/>
        <v>-0.72384642008067546</v>
      </c>
      <c r="Q64" s="59">
        <v>352</v>
      </c>
    </row>
    <row r="65" spans="1:19" ht="15" customHeight="1" thickBot="1" x14ac:dyDescent="0.3">
      <c r="A65" s="527"/>
      <c r="B65" s="518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5261110.2200000007</v>
      </c>
      <c r="F65" s="377">
        <f>+E65/D65</f>
        <v>0.2380592859728507</v>
      </c>
      <c r="G65" s="174">
        <f t="shared" si="11"/>
        <v>5261110.2200000007</v>
      </c>
      <c r="H65" s="377">
        <f t="shared" si="1"/>
        <v>0.2380592859728507</v>
      </c>
      <c r="I65" s="174">
        <f t="shared" si="11"/>
        <v>5261110.2200000007</v>
      </c>
      <c r="J65" s="175">
        <f t="shared" si="2"/>
        <v>0.2380592859728507</v>
      </c>
      <c r="K65" s="608">
        <f t="shared" ref="K65" si="12">SUM(K62:K64)</f>
        <v>6644486.8599999994</v>
      </c>
      <c r="L65" s="377">
        <v>0.26736899548407417</v>
      </c>
      <c r="M65" s="609">
        <f t="shared" si="3"/>
        <v>-0.20819916859614329</v>
      </c>
      <c r="N65" s="608">
        <f t="shared" ref="N65" si="13">SUM(N62:N64)</f>
        <v>6644486.8599999994</v>
      </c>
      <c r="O65" s="377">
        <v>0.26736899548407417</v>
      </c>
      <c r="P65" s="609">
        <f>+I65/N65-1</f>
        <v>-0.20819916859614329</v>
      </c>
      <c r="Q65" s="60">
        <v>3</v>
      </c>
    </row>
    <row r="67" spans="1:19" ht="14.4" thickBot="1" x14ac:dyDescent="0.3">
      <c r="A67" s="7" t="s">
        <v>233</v>
      </c>
    </row>
    <row r="68" spans="1:19" x14ac:dyDescent="0.25">
      <c r="A68" s="8" t="s">
        <v>290</v>
      </c>
      <c r="C68" s="164" t="s">
        <v>765</v>
      </c>
      <c r="D68" s="746" t="s">
        <v>780</v>
      </c>
      <c r="E68" s="744"/>
      <c r="F68" s="744"/>
      <c r="G68" s="744"/>
      <c r="H68" s="744"/>
      <c r="I68" s="744"/>
      <c r="J68" s="745"/>
      <c r="K68" s="752" t="s">
        <v>781</v>
      </c>
      <c r="L68" s="753"/>
      <c r="M68" s="753"/>
      <c r="N68" s="753"/>
      <c r="O68" s="753"/>
      <c r="P68" s="754"/>
    </row>
    <row r="69" spans="1:19" x14ac:dyDescent="0.25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543</v>
      </c>
      <c r="L69" s="88" t="s">
        <v>544</v>
      </c>
      <c r="M69" s="88" t="s">
        <v>545</v>
      </c>
      <c r="N69" s="87" t="s">
        <v>39</v>
      </c>
      <c r="O69" s="88" t="s">
        <v>40</v>
      </c>
      <c r="P69" s="149" t="s">
        <v>362</v>
      </c>
    </row>
    <row r="70" spans="1:19" ht="26.4" x14ac:dyDescent="0.25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764</v>
      </c>
      <c r="N70" s="564" t="s">
        <v>17</v>
      </c>
      <c r="O70" s="89" t="s">
        <v>18</v>
      </c>
      <c r="P70" s="587" t="s">
        <v>764</v>
      </c>
      <c r="Q70" s="58" t="s">
        <v>163</v>
      </c>
      <c r="S70" s="358"/>
    </row>
    <row r="71" spans="1:19" ht="15" customHeight="1" x14ac:dyDescent="0.25">
      <c r="A71" s="21"/>
      <c r="B71" s="21" t="s">
        <v>293</v>
      </c>
      <c r="C71" s="481">
        <v>25094829</v>
      </c>
      <c r="D71" s="190">
        <v>25094829</v>
      </c>
      <c r="E71" s="82">
        <v>25094829</v>
      </c>
      <c r="F71" s="417">
        <f t="shared" ref="F71:F91" si="14">+E71/D71</f>
        <v>1</v>
      </c>
      <c r="G71" s="82">
        <v>25094829</v>
      </c>
      <c r="H71" s="417">
        <f>+G71/D71</f>
        <v>1</v>
      </c>
      <c r="I71" s="82">
        <v>7500000</v>
      </c>
      <c r="J71" s="348">
        <f>I71/D71</f>
        <v>0.29886635210783863</v>
      </c>
      <c r="K71" s="565">
        <v>24587855.940000001</v>
      </c>
      <c r="L71" s="417">
        <v>0.97979770812544698</v>
      </c>
      <c r="M71" s="210">
        <f t="shared" ref="M71:M140" si="15">+G71/K71-1</f>
        <v>2.0618839692128077E-2</v>
      </c>
      <c r="N71" s="565">
        <v>10300000</v>
      </c>
      <c r="O71" s="417">
        <v>0.4104431235614317</v>
      </c>
      <c r="P71" s="210">
        <f t="shared" ref="P71:P83" si="16">+I71/N71-1</f>
        <v>-0.27184466019417475</v>
      </c>
      <c r="Q71" s="60" t="s">
        <v>364</v>
      </c>
      <c r="S71" s="357"/>
    </row>
    <row r="72" spans="1:19" ht="15" customHeight="1" x14ac:dyDescent="0.25">
      <c r="A72" s="23"/>
      <c r="B72" s="23" t="s">
        <v>294</v>
      </c>
      <c r="C72" s="184">
        <v>858841</v>
      </c>
      <c r="D72" s="188">
        <v>858841</v>
      </c>
      <c r="E72" s="82">
        <v>858841</v>
      </c>
      <c r="F72" s="417">
        <f t="shared" si="14"/>
        <v>1</v>
      </c>
      <c r="G72" s="82">
        <v>858841</v>
      </c>
      <c r="H72" s="417">
        <f>+G72/D72</f>
        <v>1</v>
      </c>
      <c r="I72" s="82">
        <v>430000</v>
      </c>
      <c r="J72" s="348">
        <f>I72/D72</f>
        <v>0.50067474654796407</v>
      </c>
      <c r="K72" s="566">
        <v>858841</v>
      </c>
      <c r="L72" s="418">
        <v>1</v>
      </c>
      <c r="M72" s="210">
        <f t="shared" si="15"/>
        <v>0</v>
      </c>
      <c r="N72" s="566">
        <v>430000</v>
      </c>
      <c r="O72" s="418">
        <v>0.50067474654796407</v>
      </c>
      <c r="P72" s="210">
        <f t="shared" si="16"/>
        <v>0</v>
      </c>
      <c r="Q72" s="60" t="s">
        <v>365</v>
      </c>
      <c r="S72" s="357"/>
    </row>
    <row r="73" spans="1:19" ht="15" customHeight="1" x14ac:dyDescent="0.25">
      <c r="A73" s="23"/>
      <c r="B73" s="23" t="s">
        <v>295</v>
      </c>
      <c r="C73" s="184">
        <v>50143662.619999997</v>
      </c>
      <c r="D73" s="188">
        <v>50143662.619999997</v>
      </c>
      <c r="E73" s="82">
        <v>50143662.619999997</v>
      </c>
      <c r="F73" s="418">
        <f t="shared" si="14"/>
        <v>1</v>
      </c>
      <c r="G73" s="82">
        <v>50143662.619999997</v>
      </c>
      <c r="H73" s="418">
        <f t="shared" ref="H73:H94" si="17">+G73/D73</f>
        <v>1</v>
      </c>
      <c r="I73" s="82">
        <v>21000000</v>
      </c>
      <c r="J73" s="432">
        <f t="shared" ref="J73:J94" si="18">I73/D73</f>
        <v>0.41879669140131914</v>
      </c>
      <c r="K73" s="566">
        <v>46015047.619999997</v>
      </c>
      <c r="L73" s="418">
        <v>0.98861318170029622</v>
      </c>
      <c r="M73" s="211">
        <f t="shared" si="15"/>
        <v>8.9723149568262883E-2</v>
      </c>
      <c r="N73" s="566">
        <v>26325100</v>
      </c>
      <c r="O73" s="418">
        <v>0.56558326494628697</v>
      </c>
      <c r="P73" s="210">
        <f t="shared" si="16"/>
        <v>-0.20228223254612521</v>
      </c>
      <c r="Q73" s="60" t="s">
        <v>366</v>
      </c>
      <c r="S73" s="357"/>
    </row>
    <row r="74" spans="1:19" ht="15" customHeight="1" x14ac:dyDescent="0.25">
      <c r="A74" s="23"/>
      <c r="B74" s="23" t="s">
        <v>296</v>
      </c>
      <c r="C74" s="184">
        <v>45958931.790000007</v>
      </c>
      <c r="D74" s="188">
        <v>48894987.359999999</v>
      </c>
      <c r="E74" s="82">
        <v>42806242.060000002</v>
      </c>
      <c r="F74" s="418">
        <f t="shared" si="14"/>
        <v>0.87547301617709228</v>
      </c>
      <c r="G74" s="82">
        <v>42806242.060000002</v>
      </c>
      <c r="H74" s="418">
        <f t="shared" si="17"/>
        <v>0.87547301617709228</v>
      </c>
      <c r="I74" s="82">
        <v>23379035.990000002</v>
      </c>
      <c r="J74" s="432">
        <f t="shared" si="18"/>
        <v>0.47814790947519331</v>
      </c>
      <c r="K74" s="566">
        <v>32119628.48</v>
      </c>
      <c r="L74" s="418">
        <v>0.76106061203475961</v>
      </c>
      <c r="M74" s="211">
        <f t="shared" si="15"/>
        <v>0.33271286393160682</v>
      </c>
      <c r="N74" s="566">
        <v>16251553.73</v>
      </c>
      <c r="O74" s="418">
        <v>0.3850734897500776</v>
      </c>
      <c r="P74" s="210">
        <f t="shared" si="16"/>
        <v>0.43857235919805193</v>
      </c>
      <c r="Q74" s="60" t="s">
        <v>504</v>
      </c>
      <c r="S74" s="358"/>
    </row>
    <row r="75" spans="1:19" ht="15" customHeight="1" x14ac:dyDescent="0.25">
      <c r="A75" s="23"/>
      <c r="B75" s="23" t="s">
        <v>297</v>
      </c>
      <c r="C75" s="184">
        <v>138280341</v>
      </c>
      <c r="D75" s="188">
        <v>143152893.16</v>
      </c>
      <c r="E75" s="82">
        <v>138280341</v>
      </c>
      <c r="F75" s="418">
        <f t="shared" si="14"/>
        <v>0.96596260087769226</v>
      </c>
      <c r="G75" s="82">
        <v>138280341</v>
      </c>
      <c r="H75" s="418">
        <f t="shared" si="17"/>
        <v>0.96596260087769226</v>
      </c>
      <c r="I75" s="82">
        <v>69115600</v>
      </c>
      <c r="J75" s="432">
        <f t="shared" si="18"/>
        <v>0.48280966227312261</v>
      </c>
      <c r="K75" s="566">
        <v>126222836.39</v>
      </c>
      <c r="L75" s="418">
        <v>0.99447308514700838</v>
      </c>
      <c r="M75" s="211">
        <f t="shared" si="15"/>
        <v>9.5525540027836531E-2</v>
      </c>
      <c r="N75" s="566">
        <v>57683500</v>
      </c>
      <c r="O75" s="418">
        <v>0.45447155085180901</v>
      </c>
      <c r="P75" s="210">
        <f t="shared" si="16"/>
        <v>0.19818665649622513</v>
      </c>
      <c r="Q75" s="60" t="s">
        <v>446</v>
      </c>
      <c r="S75" s="357"/>
    </row>
    <row r="76" spans="1:19" ht="15" customHeight="1" x14ac:dyDescent="0.25">
      <c r="A76" s="23"/>
      <c r="B76" s="23" t="s">
        <v>298</v>
      </c>
      <c r="C76" s="184">
        <v>2165090</v>
      </c>
      <c r="D76" s="188">
        <v>2165090</v>
      </c>
      <c r="E76" s="82">
        <v>2165090</v>
      </c>
      <c r="F76" s="418">
        <f t="shared" si="14"/>
        <v>1</v>
      </c>
      <c r="G76" s="82">
        <v>2165090</v>
      </c>
      <c r="H76" s="418">
        <f t="shared" si="17"/>
        <v>1</v>
      </c>
      <c r="I76" s="82">
        <v>1082545</v>
      </c>
      <c r="J76" s="432">
        <f t="shared" si="18"/>
        <v>0.5</v>
      </c>
      <c r="K76" s="566">
        <v>752000</v>
      </c>
      <c r="L76" s="418">
        <v>0.39267084053490958</v>
      </c>
      <c r="M76" s="211">
        <f t="shared" si="15"/>
        <v>1.8791090425531913</v>
      </c>
      <c r="N76" s="566">
        <v>752000</v>
      </c>
      <c r="O76" s="418">
        <v>0.39267084053490958</v>
      </c>
      <c r="P76" s="210">
        <f t="shared" si="16"/>
        <v>0.43955452127659567</v>
      </c>
      <c r="Q76" s="60" t="s">
        <v>367</v>
      </c>
      <c r="S76" s="357"/>
    </row>
    <row r="77" spans="1:19" ht="15" customHeight="1" x14ac:dyDescent="0.25">
      <c r="A77" s="23"/>
      <c r="B77" s="23" t="s">
        <v>299</v>
      </c>
      <c r="C77" s="184">
        <v>8713147</v>
      </c>
      <c r="D77" s="188">
        <v>8749447</v>
      </c>
      <c r="E77" s="82">
        <v>7713147</v>
      </c>
      <c r="F77" s="418">
        <f t="shared" si="14"/>
        <v>0.88155822876577228</v>
      </c>
      <c r="G77" s="82">
        <v>7713147</v>
      </c>
      <c r="H77" s="418">
        <f t="shared" si="17"/>
        <v>0.88155822876577228</v>
      </c>
      <c r="I77" s="82">
        <v>3800000</v>
      </c>
      <c r="J77" s="432">
        <f t="shared" si="18"/>
        <v>0.43431316287760813</v>
      </c>
      <c r="K77" s="566">
        <v>7713147</v>
      </c>
      <c r="L77" s="418">
        <v>0.88155822876577228</v>
      </c>
      <c r="M77" s="211">
        <f t="shared" si="15"/>
        <v>0</v>
      </c>
      <c r="N77" s="566">
        <v>3800000</v>
      </c>
      <c r="O77" s="418">
        <v>0.43431316287760813</v>
      </c>
      <c r="P77" s="210">
        <f t="shared" si="16"/>
        <v>0</v>
      </c>
      <c r="Q77" s="60" t="s">
        <v>540</v>
      </c>
      <c r="S77" s="357"/>
    </row>
    <row r="78" spans="1:19" ht="15" customHeight="1" x14ac:dyDescent="0.25">
      <c r="A78" s="23"/>
      <c r="B78" s="23" t="s">
        <v>300</v>
      </c>
      <c r="C78" s="184">
        <v>24237656.5</v>
      </c>
      <c r="D78" s="188">
        <v>24237656.5</v>
      </c>
      <c r="E78" s="82">
        <v>24237656.5</v>
      </c>
      <c r="F78" s="418">
        <f t="shared" si="14"/>
        <v>1</v>
      </c>
      <c r="G78" s="82">
        <v>24237656.5</v>
      </c>
      <c r="H78" s="418">
        <f t="shared" si="17"/>
        <v>1</v>
      </c>
      <c r="I78" s="82">
        <v>5000000</v>
      </c>
      <c r="J78" s="432">
        <f t="shared" si="18"/>
        <v>0.20629057103767437</v>
      </c>
      <c r="K78" s="566">
        <v>25331500</v>
      </c>
      <c r="L78" s="418">
        <v>1</v>
      </c>
      <c r="M78" s="211">
        <f t="shared" si="15"/>
        <v>-4.3181157846949425E-2</v>
      </c>
      <c r="N78" s="566">
        <v>4700000</v>
      </c>
      <c r="O78" s="418">
        <v>0.18553974300771767</v>
      </c>
      <c r="P78" s="210">
        <f t="shared" si="16"/>
        <v>6.3829787234042534E-2</v>
      </c>
      <c r="Q78" s="60" t="s">
        <v>541</v>
      </c>
      <c r="S78" s="357"/>
    </row>
    <row r="79" spans="1:19" ht="15" customHeight="1" x14ac:dyDescent="0.25">
      <c r="A79" s="65"/>
      <c r="B79" s="65" t="s">
        <v>301</v>
      </c>
      <c r="C79" s="185">
        <v>10484584.129999999</v>
      </c>
      <c r="D79" s="189">
        <v>10564973.149999999</v>
      </c>
      <c r="E79" s="62">
        <v>10504364.149999999</v>
      </c>
      <c r="F79" s="419">
        <f t="shared" si="14"/>
        <v>0.99426321305889931</v>
      </c>
      <c r="G79" s="62">
        <v>10504364.149999999</v>
      </c>
      <c r="H79" s="419">
        <f t="shared" si="17"/>
        <v>0.99426321305889931</v>
      </c>
      <c r="I79" s="62">
        <v>3919780.02</v>
      </c>
      <c r="J79" s="433">
        <f t="shared" si="18"/>
        <v>0.37101656240366315</v>
      </c>
      <c r="K79" s="602">
        <v>10517631.629999999</v>
      </c>
      <c r="L79" s="419">
        <v>0.99972434853085457</v>
      </c>
      <c r="M79" s="592">
        <f t="shared" si="15"/>
        <v>-1.2614512911972575E-3</v>
      </c>
      <c r="N79" s="602">
        <v>3999554.02</v>
      </c>
      <c r="O79" s="419">
        <v>0.38016653156528751</v>
      </c>
      <c r="P79" s="210">
        <f t="shared" si="16"/>
        <v>-1.9945723848480479E-2</v>
      </c>
      <c r="Q79" s="330" t="s">
        <v>368</v>
      </c>
      <c r="S79" s="357"/>
    </row>
    <row r="80" spans="1:19" ht="15" customHeight="1" x14ac:dyDescent="0.25">
      <c r="A80" s="55"/>
      <c r="B80" s="55" t="s">
        <v>766</v>
      </c>
      <c r="C80" s="176">
        <v>4718946</v>
      </c>
      <c r="D80" s="190">
        <v>3762453.02</v>
      </c>
      <c r="E80" s="82">
        <v>0</v>
      </c>
      <c r="F80" s="362">
        <f>E80/D80</f>
        <v>0</v>
      </c>
      <c r="G80" s="82">
        <v>0</v>
      </c>
      <c r="H80" s="362">
        <f t="shared" si="17"/>
        <v>0</v>
      </c>
      <c r="I80" s="82">
        <v>0</v>
      </c>
      <c r="J80" s="278">
        <f t="shared" si="18"/>
        <v>0</v>
      </c>
      <c r="K80" s="584">
        <v>0</v>
      </c>
      <c r="L80" s="362" t="s">
        <v>129</v>
      </c>
      <c r="M80" s="591" t="s">
        <v>129</v>
      </c>
      <c r="N80" s="584">
        <v>0</v>
      </c>
      <c r="O80" s="362" t="s">
        <v>129</v>
      </c>
      <c r="P80" s="591" t="s">
        <v>129</v>
      </c>
      <c r="Q80" s="60">
        <v>41099</v>
      </c>
      <c r="S80" s="357"/>
    </row>
    <row r="81" spans="1:19" ht="15" customHeight="1" x14ac:dyDescent="0.25">
      <c r="A81" s="68"/>
      <c r="B81" s="68" t="s">
        <v>302</v>
      </c>
      <c r="C81" s="488">
        <v>109886585.06999999</v>
      </c>
      <c r="D81" s="190">
        <v>120234542</v>
      </c>
      <c r="E81" s="82">
        <v>110744542</v>
      </c>
      <c r="F81" s="362">
        <f t="shared" si="14"/>
        <v>0.92107093484000624</v>
      </c>
      <c r="G81" s="82">
        <v>110744542</v>
      </c>
      <c r="H81" s="362">
        <f t="shared" si="17"/>
        <v>0.92107093484000624</v>
      </c>
      <c r="I81" s="82">
        <v>53857956.93</v>
      </c>
      <c r="J81" s="278">
        <f t="shared" si="18"/>
        <v>0.4479407999907381</v>
      </c>
      <c r="K81" s="584">
        <v>107940535</v>
      </c>
      <c r="L81" s="362">
        <v>0.99536531288956187</v>
      </c>
      <c r="M81" s="210">
        <f t="shared" si="15"/>
        <v>2.597733094430188E-2</v>
      </c>
      <c r="N81" s="584">
        <v>58477327.799999997</v>
      </c>
      <c r="O81" s="362">
        <v>0.53924416515623597</v>
      </c>
      <c r="P81" s="210">
        <f t="shared" si="16"/>
        <v>-7.8994219534087473E-2</v>
      </c>
      <c r="Q81" s="331" t="s">
        <v>542</v>
      </c>
      <c r="S81" s="357"/>
    </row>
    <row r="82" spans="1:19" ht="15" customHeight="1" x14ac:dyDescent="0.25">
      <c r="A82" s="81"/>
      <c r="B82" s="81" t="s">
        <v>775</v>
      </c>
      <c r="C82" s="186">
        <v>835000</v>
      </c>
      <c r="D82" s="190">
        <v>820000</v>
      </c>
      <c r="E82" s="82">
        <v>0</v>
      </c>
      <c r="F82" s="362">
        <f t="shared" si="14"/>
        <v>0</v>
      </c>
      <c r="G82" s="82">
        <v>0</v>
      </c>
      <c r="H82" s="362">
        <f t="shared" si="17"/>
        <v>0</v>
      </c>
      <c r="I82" s="82">
        <v>0</v>
      </c>
      <c r="J82" s="278">
        <f t="shared" si="18"/>
        <v>0</v>
      </c>
      <c r="K82" s="584">
        <v>0</v>
      </c>
      <c r="L82" s="362" t="s">
        <v>129</v>
      </c>
      <c r="M82" s="210" t="s">
        <v>129</v>
      </c>
      <c r="N82" s="584">
        <v>0</v>
      </c>
      <c r="O82" s="362" t="s">
        <v>129</v>
      </c>
      <c r="P82" s="210" t="s">
        <v>129</v>
      </c>
      <c r="Q82" s="331">
        <v>44304</v>
      </c>
      <c r="S82" s="357"/>
    </row>
    <row r="83" spans="1:19" ht="15" customHeight="1" x14ac:dyDescent="0.25">
      <c r="A83" s="70"/>
      <c r="B83" s="70" t="s">
        <v>303</v>
      </c>
      <c r="C83" s="184">
        <v>48727097.020000003</v>
      </c>
      <c r="D83" s="188">
        <v>48727097.020000003</v>
      </c>
      <c r="E83" s="82">
        <v>48727097.020000003</v>
      </c>
      <c r="F83" s="362">
        <f t="shared" si="14"/>
        <v>1</v>
      </c>
      <c r="G83" s="82">
        <v>48727097.020000003</v>
      </c>
      <c r="H83" s="362">
        <f t="shared" si="17"/>
        <v>1</v>
      </c>
      <c r="I83" s="82">
        <v>15000000</v>
      </c>
      <c r="J83" s="278">
        <f t="shared" si="18"/>
        <v>0.30783693093481973</v>
      </c>
      <c r="K83" s="394">
        <v>47794228</v>
      </c>
      <c r="L83" s="420">
        <v>1</v>
      </c>
      <c r="M83" s="210">
        <f t="shared" si="15"/>
        <v>1.9518445198026813E-2</v>
      </c>
      <c r="N83" s="394">
        <v>15500000</v>
      </c>
      <c r="O83" s="420">
        <v>0.32430694350790645</v>
      </c>
      <c r="P83" s="210">
        <f t="shared" si="16"/>
        <v>-3.2258064516129004E-2</v>
      </c>
      <c r="Q83" s="60" t="s">
        <v>369</v>
      </c>
      <c r="S83" s="357"/>
    </row>
    <row r="84" spans="1:19" ht="15" customHeight="1" x14ac:dyDescent="0.25">
      <c r="A84" s="70"/>
      <c r="B84" s="70" t="s">
        <v>304</v>
      </c>
      <c r="C84" s="184">
        <v>2749627.35</v>
      </c>
      <c r="D84" s="188">
        <v>2808104.19</v>
      </c>
      <c r="E84" s="82">
        <v>2031183.81</v>
      </c>
      <c r="F84" s="362">
        <f t="shared" si="14"/>
        <v>0.72332921877802547</v>
      </c>
      <c r="G84" s="82">
        <v>2031183.81</v>
      </c>
      <c r="H84" s="362">
        <f t="shared" si="17"/>
        <v>0.72332921877802547</v>
      </c>
      <c r="I84" s="82">
        <v>1580887.06</v>
      </c>
      <c r="J84" s="278">
        <f t="shared" si="18"/>
        <v>0.56297307828880816</v>
      </c>
      <c r="K84" s="394">
        <v>300254</v>
      </c>
      <c r="L84" s="420">
        <v>0.14744515762644775</v>
      </c>
      <c r="M84" s="211">
        <f t="shared" si="15"/>
        <v>5.7648850972842993</v>
      </c>
      <c r="N84" s="394">
        <v>0</v>
      </c>
      <c r="O84" s="420">
        <v>0</v>
      </c>
      <c r="P84" s="210" t="s">
        <v>129</v>
      </c>
      <c r="Q84" s="60" t="s">
        <v>370</v>
      </c>
      <c r="S84" s="357"/>
    </row>
    <row r="85" spans="1:19" ht="15" customHeight="1" x14ac:dyDescent="0.25">
      <c r="A85" s="72"/>
      <c r="B85" s="72" t="s">
        <v>305</v>
      </c>
      <c r="C85" s="185">
        <v>617526</v>
      </c>
      <c r="D85" s="189">
        <v>617526</v>
      </c>
      <c r="E85" s="62">
        <v>617526</v>
      </c>
      <c r="F85" s="268">
        <f t="shared" si="14"/>
        <v>1</v>
      </c>
      <c r="G85" s="62">
        <v>617526</v>
      </c>
      <c r="H85" s="421">
        <f t="shared" si="17"/>
        <v>1</v>
      </c>
      <c r="I85" s="62">
        <v>617526</v>
      </c>
      <c r="J85" s="278">
        <f t="shared" si="18"/>
        <v>1</v>
      </c>
      <c r="K85" s="583">
        <v>617526</v>
      </c>
      <c r="L85" s="421">
        <v>1</v>
      </c>
      <c r="M85" s="211">
        <f t="shared" si="15"/>
        <v>0</v>
      </c>
      <c r="N85" s="583">
        <v>617526</v>
      </c>
      <c r="O85" s="421">
        <v>1</v>
      </c>
      <c r="P85" s="211">
        <f t="shared" ref="P85:P94" si="19">+I85/N85-1</f>
        <v>0</v>
      </c>
      <c r="Q85" s="60" t="s">
        <v>371</v>
      </c>
      <c r="S85" s="357"/>
    </row>
    <row r="86" spans="1:19" ht="15" customHeight="1" x14ac:dyDescent="0.25">
      <c r="A86" s="68"/>
      <c r="B86" s="68" t="s">
        <v>306</v>
      </c>
      <c r="C86" s="186">
        <v>37061289.140000001</v>
      </c>
      <c r="D86" s="190">
        <v>38811129.980000004</v>
      </c>
      <c r="E86" s="82">
        <v>9617170</v>
      </c>
      <c r="F86" s="238">
        <f t="shared" si="14"/>
        <v>0.24779412516347454</v>
      </c>
      <c r="G86" s="82">
        <v>9617170</v>
      </c>
      <c r="H86" s="362">
        <f t="shared" si="17"/>
        <v>0.24779412516347454</v>
      </c>
      <c r="I86" s="82">
        <v>8560000</v>
      </c>
      <c r="J86" s="557">
        <f t="shared" si="18"/>
        <v>0.22055528927941817</v>
      </c>
      <c r="K86" s="582">
        <v>9507170</v>
      </c>
      <c r="L86" s="238">
        <v>0.24391601117674966</v>
      </c>
      <c r="M86" s="211">
        <f t="shared" si="15"/>
        <v>1.1570214900964215E-2</v>
      </c>
      <c r="N86" s="582">
        <v>9500000</v>
      </c>
      <c r="O86" s="238">
        <v>0.2437320576132668</v>
      </c>
      <c r="P86" s="211">
        <f t="shared" si="19"/>
        <v>-9.8947368421052673E-2</v>
      </c>
      <c r="Q86" s="332" t="s">
        <v>786</v>
      </c>
      <c r="S86" s="357"/>
    </row>
    <row r="87" spans="1:19" ht="15" customHeight="1" x14ac:dyDescent="0.25">
      <c r="A87" s="70"/>
      <c r="B87" s="70" t="s">
        <v>307</v>
      </c>
      <c r="C87" s="184">
        <v>16869480</v>
      </c>
      <c r="D87" s="188">
        <v>16869480</v>
      </c>
      <c r="E87" s="82">
        <v>16869480</v>
      </c>
      <c r="F87" s="362">
        <f t="shared" si="14"/>
        <v>1</v>
      </c>
      <c r="G87" s="82">
        <v>16869480</v>
      </c>
      <c r="H87" s="362">
        <f t="shared" si="17"/>
        <v>1</v>
      </c>
      <c r="I87" s="82">
        <v>6350000</v>
      </c>
      <c r="J87" s="434">
        <f t="shared" si="18"/>
        <v>0.3764194272733955</v>
      </c>
      <c r="K87" s="394">
        <v>15669752</v>
      </c>
      <c r="L87" s="420">
        <v>1</v>
      </c>
      <c r="M87" s="211">
        <f t="shared" si="15"/>
        <v>7.6563304894678552E-2</v>
      </c>
      <c r="N87" s="394">
        <v>5400000</v>
      </c>
      <c r="O87" s="420">
        <v>0.34461298430249565</v>
      </c>
      <c r="P87" s="211">
        <f t="shared" si="19"/>
        <v>0.17592592592592582</v>
      </c>
      <c r="Q87" s="60" t="s">
        <v>372</v>
      </c>
      <c r="S87" s="357"/>
    </row>
    <row r="88" spans="1:19" ht="15" customHeight="1" x14ac:dyDescent="0.25">
      <c r="A88" s="70"/>
      <c r="B88" s="70" t="s">
        <v>767</v>
      </c>
      <c r="C88" s="184">
        <v>379378.92</v>
      </c>
      <c r="D88" s="188">
        <v>379378.92</v>
      </c>
      <c r="E88" s="82">
        <v>0</v>
      </c>
      <c r="F88" s="362">
        <f>E88/D88</f>
        <v>0</v>
      </c>
      <c r="G88" s="82">
        <v>0</v>
      </c>
      <c r="H88" s="362">
        <f t="shared" si="17"/>
        <v>0</v>
      </c>
      <c r="I88" s="82">
        <v>0</v>
      </c>
      <c r="J88" s="517">
        <f t="shared" si="18"/>
        <v>0</v>
      </c>
      <c r="K88" s="394">
        <v>0</v>
      </c>
      <c r="L88" s="420" t="s">
        <v>129</v>
      </c>
      <c r="M88" s="211" t="s">
        <v>129</v>
      </c>
      <c r="N88" s="394">
        <v>0</v>
      </c>
      <c r="O88" s="420" t="s">
        <v>129</v>
      </c>
      <c r="P88" s="211" t="s">
        <v>129</v>
      </c>
      <c r="Q88" s="60">
        <v>44411</v>
      </c>
      <c r="S88" s="357"/>
    </row>
    <row r="89" spans="1:19" ht="15" customHeight="1" x14ac:dyDescent="0.25">
      <c r="A89" s="70"/>
      <c r="B89" s="70" t="s">
        <v>308</v>
      </c>
      <c r="C89" s="184">
        <v>57148921</v>
      </c>
      <c r="D89" s="188">
        <v>57148921</v>
      </c>
      <c r="E89" s="82">
        <v>0</v>
      </c>
      <c r="F89" s="362">
        <f t="shared" si="14"/>
        <v>0</v>
      </c>
      <c r="G89" s="82">
        <v>0</v>
      </c>
      <c r="H89" s="362">
        <f t="shared" si="17"/>
        <v>0</v>
      </c>
      <c r="I89" s="82">
        <v>0</v>
      </c>
      <c r="J89" s="517">
        <f t="shared" si="18"/>
        <v>0</v>
      </c>
      <c r="K89" s="394">
        <v>570574.54</v>
      </c>
      <c r="L89" s="420">
        <v>1.067221155130098E-2</v>
      </c>
      <c r="M89" s="211">
        <f t="shared" si="15"/>
        <v>-1</v>
      </c>
      <c r="N89" s="394">
        <v>570574.54</v>
      </c>
      <c r="O89" s="420">
        <v>1.067221155130098E-2</v>
      </c>
      <c r="P89" s="211">
        <f t="shared" si="19"/>
        <v>-1</v>
      </c>
      <c r="Q89" s="59" t="s">
        <v>373</v>
      </c>
      <c r="S89" s="357"/>
    </row>
    <row r="90" spans="1:19" ht="15" customHeight="1" x14ac:dyDescent="0.25">
      <c r="A90" s="70"/>
      <c r="B90" s="70" t="s">
        <v>309</v>
      </c>
      <c r="C90" s="184">
        <v>2726590</v>
      </c>
      <c r="D90" s="188">
        <v>2726590</v>
      </c>
      <c r="E90" s="82">
        <v>2726590</v>
      </c>
      <c r="F90" s="362">
        <f t="shared" si="14"/>
        <v>1</v>
      </c>
      <c r="G90" s="82">
        <v>2726590</v>
      </c>
      <c r="H90" s="362">
        <f t="shared" si="17"/>
        <v>1</v>
      </c>
      <c r="I90" s="82">
        <v>1816590</v>
      </c>
      <c r="J90" s="434">
        <f t="shared" si="18"/>
        <v>0.66624978452939387</v>
      </c>
      <c r="K90" s="394">
        <v>2726590</v>
      </c>
      <c r="L90" s="420">
        <v>1</v>
      </c>
      <c r="M90" s="211">
        <f t="shared" si="15"/>
        <v>0</v>
      </c>
      <c r="N90" s="394">
        <v>1362000</v>
      </c>
      <c r="O90" s="420">
        <v>0.49952504777029183</v>
      </c>
      <c r="P90" s="211">
        <f t="shared" si="19"/>
        <v>0.33376651982378847</v>
      </c>
      <c r="Q90" s="60" t="s">
        <v>374</v>
      </c>
      <c r="S90" s="357"/>
    </row>
    <row r="91" spans="1:19" ht="15" customHeight="1" x14ac:dyDescent="0.25">
      <c r="A91" s="70"/>
      <c r="B91" s="70" t="s">
        <v>310</v>
      </c>
      <c r="C91" s="184">
        <v>3529897</v>
      </c>
      <c r="D91" s="188">
        <v>8461668.3399999999</v>
      </c>
      <c r="E91" s="82">
        <v>3545946.26</v>
      </c>
      <c r="F91" s="420">
        <f t="shared" si="14"/>
        <v>0.41905994391644991</v>
      </c>
      <c r="G91" s="82">
        <v>3545946.26</v>
      </c>
      <c r="H91" s="420">
        <f t="shared" si="17"/>
        <v>0.41905994391644991</v>
      </c>
      <c r="I91" s="82">
        <v>1616049.26</v>
      </c>
      <c r="J91" s="434">
        <f t="shared" si="18"/>
        <v>0.19098470834180675</v>
      </c>
      <c r="K91" s="394">
        <v>3094172.71</v>
      </c>
      <c r="L91" s="420">
        <v>0.69825354555908969</v>
      </c>
      <c r="M91" s="211">
        <f t="shared" si="15"/>
        <v>0.14600786457068837</v>
      </c>
      <c r="N91" s="394">
        <v>1817147.04</v>
      </c>
      <c r="O91" s="420">
        <v>0.41007063354333734</v>
      </c>
      <c r="P91" s="211">
        <f t="shared" si="19"/>
        <v>-0.11066676255323837</v>
      </c>
      <c r="Q91" s="60" t="s">
        <v>375</v>
      </c>
      <c r="S91" s="357"/>
    </row>
    <row r="92" spans="1:19" ht="15" customHeight="1" x14ac:dyDescent="0.25">
      <c r="A92" s="70"/>
      <c r="B92" s="70" t="s">
        <v>311</v>
      </c>
      <c r="C92" s="184">
        <v>0</v>
      </c>
      <c r="D92" s="188">
        <v>0</v>
      </c>
      <c r="E92" s="82">
        <v>0</v>
      </c>
      <c r="F92" s="420" t="s">
        <v>129</v>
      </c>
      <c r="G92" s="82">
        <v>0</v>
      </c>
      <c r="H92" s="420" t="s">
        <v>129</v>
      </c>
      <c r="I92" s="82">
        <v>0</v>
      </c>
      <c r="J92" s="434" t="s">
        <v>129</v>
      </c>
      <c r="K92" s="394">
        <v>0</v>
      </c>
      <c r="L92" s="420" t="s">
        <v>129</v>
      </c>
      <c r="M92" s="594" t="s">
        <v>129</v>
      </c>
      <c r="N92" s="394">
        <v>0</v>
      </c>
      <c r="O92" s="420" t="s">
        <v>129</v>
      </c>
      <c r="P92" s="211" t="s">
        <v>129</v>
      </c>
      <c r="Q92" s="60" t="s">
        <v>376</v>
      </c>
      <c r="S92" s="358"/>
    </row>
    <row r="93" spans="1:19" ht="15" customHeight="1" x14ac:dyDescent="0.25">
      <c r="A93" s="70"/>
      <c r="B93" s="70" t="s">
        <v>312</v>
      </c>
      <c r="C93" s="184">
        <v>0</v>
      </c>
      <c r="D93" s="188">
        <v>0</v>
      </c>
      <c r="E93" s="82">
        <v>0</v>
      </c>
      <c r="F93" s="420" t="s">
        <v>129</v>
      </c>
      <c r="G93" s="82">
        <v>0</v>
      </c>
      <c r="H93" s="420" t="s">
        <v>129</v>
      </c>
      <c r="I93" s="82">
        <v>0</v>
      </c>
      <c r="J93" s="434" t="s">
        <v>129</v>
      </c>
      <c r="K93" s="394">
        <v>0</v>
      </c>
      <c r="L93" s="420" t="s">
        <v>129</v>
      </c>
      <c r="M93" s="594" t="s">
        <v>129</v>
      </c>
      <c r="N93" s="394">
        <v>0</v>
      </c>
      <c r="O93" s="420" t="s">
        <v>129</v>
      </c>
      <c r="P93" s="211" t="s">
        <v>129</v>
      </c>
      <c r="Q93" s="60" t="s">
        <v>377</v>
      </c>
      <c r="S93" s="357"/>
    </row>
    <row r="94" spans="1:19" ht="15" customHeight="1" x14ac:dyDescent="0.25">
      <c r="A94" s="70"/>
      <c r="B94" s="70" t="s">
        <v>313</v>
      </c>
      <c r="C94" s="481">
        <v>6986478</v>
      </c>
      <c r="D94" s="188">
        <v>7686478</v>
      </c>
      <c r="E94" s="82">
        <v>7686478</v>
      </c>
      <c r="F94" s="420">
        <f t="shared" ref="F94" si="20">+E94/D94</f>
        <v>1</v>
      </c>
      <c r="G94" s="82">
        <v>7686478</v>
      </c>
      <c r="H94" s="420">
        <f t="shared" si="17"/>
        <v>1</v>
      </c>
      <c r="I94" s="82">
        <v>4628000</v>
      </c>
      <c r="J94" s="434">
        <f t="shared" si="18"/>
        <v>0.60209630470548414</v>
      </c>
      <c r="K94" s="394">
        <v>4893478</v>
      </c>
      <c r="L94" s="420">
        <v>1</v>
      </c>
      <c r="M94" s="594">
        <f t="shared" si="15"/>
        <v>0.57075969279927286</v>
      </c>
      <c r="N94" s="394">
        <v>3636000</v>
      </c>
      <c r="O94" s="420">
        <v>0.74302980415974074</v>
      </c>
      <c r="P94" s="211">
        <f t="shared" si="19"/>
        <v>0.27282728272827272</v>
      </c>
      <c r="Q94" s="60" t="s">
        <v>378</v>
      </c>
      <c r="S94" s="358"/>
    </row>
    <row r="95" spans="1:19" ht="15" customHeight="1" x14ac:dyDescent="0.25">
      <c r="A95" s="70"/>
      <c r="B95" s="70" t="s">
        <v>314</v>
      </c>
      <c r="C95" s="184">
        <v>0</v>
      </c>
      <c r="D95" s="188">
        <v>0</v>
      </c>
      <c r="E95" s="82">
        <v>0</v>
      </c>
      <c r="F95" s="420" t="s">
        <v>129</v>
      </c>
      <c r="G95" s="82">
        <v>0</v>
      </c>
      <c r="H95" s="420" t="s">
        <v>129</v>
      </c>
      <c r="I95" s="82">
        <v>0</v>
      </c>
      <c r="J95" s="434" t="s">
        <v>129</v>
      </c>
      <c r="K95" s="394">
        <v>0</v>
      </c>
      <c r="L95" s="420" t="s">
        <v>129</v>
      </c>
      <c r="M95" s="594" t="s">
        <v>129</v>
      </c>
      <c r="N95" s="394">
        <v>0</v>
      </c>
      <c r="O95" s="420" t="s">
        <v>129</v>
      </c>
      <c r="P95" s="211" t="s">
        <v>129</v>
      </c>
      <c r="Q95" s="60" t="s">
        <v>379</v>
      </c>
      <c r="S95" s="357"/>
    </row>
    <row r="96" spans="1:19" ht="15" customHeight="1" x14ac:dyDescent="0.25">
      <c r="A96" s="70"/>
      <c r="B96" s="74" t="s">
        <v>315</v>
      </c>
      <c r="C96" s="184">
        <v>0</v>
      </c>
      <c r="D96" s="188">
        <v>0</v>
      </c>
      <c r="E96" s="82">
        <v>0</v>
      </c>
      <c r="F96" s="420" t="s">
        <v>129</v>
      </c>
      <c r="G96" s="82">
        <v>0</v>
      </c>
      <c r="H96" s="420" t="s">
        <v>129</v>
      </c>
      <c r="I96" s="82">
        <v>0</v>
      </c>
      <c r="J96" s="434" t="s">
        <v>129</v>
      </c>
      <c r="K96" s="394">
        <v>0</v>
      </c>
      <c r="L96" s="420" t="s">
        <v>129</v>
      </c>
      <c r="M96" s="594" t="s">
        <v>129</v>
      </c>
      <c r="N96" s="394">
        <v>0</v>
      </c>
      <c r="O96" s="420" t="s">
        <v>129</v>
      </c>
      <c r="P96" s="211" t="s">
        <v>129</v>
      </c>
      <c r="Q96" s="60" t="s">
        <v>380</v>
      </c>
      <c r="S96" s="357"/>
    </row>
    <row r="97" spans="1:19" ht="15" customHeight="1" x14ac:dyDescent="0.25">
      <c r="A97" s="70"/>
      <c r="B97" s="74" t="s">
        <v>414</v>
      </c>
      <c r="C97" s="184">
        <v>0</v>
      </c>
      <c r="D97" s="188">
        <v>0</v>
      </c>
      <c r="E97" s="82">
        <v>0</v>
      </c>
      <c r="F97" s="420" t="s">
        <v>129</v>
      </c>
      <c r="G97" s="82">
        <v>0</v>
      </c>
      <c r="H97" s="420" t="s">
        <v>129</v>
      </c>
      <c r="I97" s="82">
        <v>0</v>
      </c>
      <c r="J97" s="434" t="s">
        <v>129</v>
      </c>
      <c r="K97" s="394">
        <v>0</v>
      </c>
      <c r="L97" s="420" t="s">
        <v>129</v>
      </c>
      <c r="M97" s="594" t="s">
        <v>129</v>
      </c>
      <c r="N97" s="394">
        <v>0</v>
      </c>
      <c r="O97" s="420" t="s">
        <v>129</v>
      </c>
      <c r="P97" s="211" t="s">
        <v>129</v>
      </c>
      <c r="Q97" s="60">
        <v>44438</v>
      </c>
      <c r="S97" s="357"/>
    </row>
    <row r="98" spans="1:19" ht="15" customHeight="1" x14ac:dyDescent="0.25">
      <c r="A98" s="70"/>
      <c r="B98" s="74" t="s">
        <v>449</v>
      </c>
      <c r="C98" s="184">
        <v>0</v>
      </c>
      <c r="D98" s="188">
        <v>0</v>
      </c>
      <c r="E98" s="82">
        <v>0</v>
      </c>
      <c r="F98" s="420" t="s">
        <v>129</v>
      </c>
      <c r="G98" s="82">
        <v>0</v>
      </c>
      <c r="H98" s="420" t="s">
        <v>129</v>
      </c>
      <c r="I98" s="82">
        <v>0</v>
      </c>
      <c r="J98" s="434" t="s">
        <v>129</v>
      </c>
      <c r="K98" s="394">
        <v>0</v>
      </c>
      <c r="L98" s="420" t="s">
        <v>129</v>
      </c>
      <c r="M98" s="595" t="s">
        <v>129</v>
      </c>
      <c r="N98" s="394">
        <v>0</v>
      </c>
      <c r="O98" s="420" t="s">
        <v>129</v>
      </c>
      <c r="P98" s="211" t="s">
        <v>129</v>
      </c>
      <c r="Q98" s="60" t="s">
        <v>462</v>
      </c>
      <c r="S98" s="357"/>
    </row>
    <row r="99" spans="1:19" ht="15" customHeight="1" x14ac:dyDescent="0.25">
      <c r="A99" s="70"/>
      <c r="B99" s="70" t="s">
        <v>316</v>
      </c>
      <c r="C99" s="184">
        <v>11864168</v>
      </c>
      <c r="D99" s="188">
        <v>11864168</v>
      </c>
      <c r="E99" s="82">
        <v>0</v>
      </c>
      <c r="F99" s="420">
        <f t="shared" ref="F99:F102" si="21">+E99/D99</f>
        <v>0</v>
      </c>
      <c r="G99" s="82">
        <v>0</v>
      </c>
      <c r="H99" s="420">
        <f t="shared" ref="H99:H102" si="22">+G99/D99</f>
        <v>0</v>
      </c>
      <c r="I99" s="82">
        <v>0</v>
      </c>
      <c r="J99" s="434">
        <f t="shared" ref="J99:J102" si="23">I99/D99</f>
        <v>0</v>
      </c>
      <c r="K99" s="394">
        <v>0</v>
      </c>
      <c r="L99" s="420" t="s">
        <v>129</v>
      </c>
      <c r="M99" s="594" t="s">
        <v>129</v>
      </c>
      <c r="N99" s="394">
        <v>0</v>
      </c>
      <c r="O99" s="420" t="s">
        <v>129</v>
      </c>
      <c r="P99" s="211" t="s">
        <v>129</v>
      </c>
      <c r="Q99" s="60" t="s">
        <v>382</v>
      </c>
      <c r="S99" s="358"/>
    </row>
    <row r="100" spans="1:19" ht="15" customHeight="1" x14ac:dyDescent="0.25">
      <c r="A100" s="70"/>
      <c r="B100" s="70" t="s">
        <v>317</v>
      </c>
      <c r="C100" s="184">
        <v>3884039.66</v>
      </c>
      <c r="D100" s="188">
        <v>3884039.66</v>
      </c>
      <c r="E100" s="82">
        <v>3884039.66</v>
      </c>
      <c r="F100" s="420">
        <f t="shared" si="21"/>
        <v>1</v>
      </c>
      <c r="G100" s="71">
        <v>3884039.66</v>
      </c>
      <c r="H100" s="420">
        <f t="shared" si="22"/>
        <v>1</v>
      </c>
      <c r="I100" s="71">
        <v>0</v>
      </c>
      <c r="J100" s="434">
        <f t="shared" si="23"/>
        <v>0</v>
      </c>
      <c r="K100" s="394">
        <v>3884039.66</v>
      </c>
      <c r="L100" s="420">
        <v>1</v>
      </c>
      <c r="M100" s="595">
        <f t="shared" si="15"/>
        <v>0</v>
      </c>
      <c r="N100" s="394">
        <v>0</v>
      </c>
      <c r="O100" s="420">
        <v>0</v>
      </c>
      <c r="P100" s="211" t="s">
        <v>129</v>
      </c>
      <c r="Q100" s="60" t="s">
        <v>383</v>
      </c>
      <c r="S100" s="358"/>
    </row>
    <row r="101" spans="1:19" ht="15" customHeight="1" x14ac:dyDescent="0.25">
      <c r="A101" s="79"/>
      <c r="B101" s="123" t="s">
        <v>381</v>
      </c>
      <c r="C101" s="184">
        <v>0</v>
      </c>
      <c r="D101" s="188">
        <v>0</v>
      </c>
      <c r="E101" s="82">
        <v>0</v>
      </c>
      <c r="F101" s="130" t="s">
        <v>129</v>
      </c>
      <c r="G101" s="82">
        <v>0</v>
      </c>
      <c r="H101" s="414" t="s">
        <v>129</v>
      </c>
      <c r="I101" s="82">
        <v>0</v>
      </c>
      <c r="J101" s="434" t="s">
        <v>129</v>
      </c>
      <c r="K101" s="394">
        <v>0</v>
      </c>
      <c r="L101" s="243" t="s">
        <v>129</v>
      </c>
      <c r="M101" s="594" t="s">
        <v>129</v>
      </c>
      <c r="N101" s="394">
        <v>0</v>
      </c>
      <c r="O101" s="243" t="s">
        <v>129</v>
      </c>
      <c r="P101" s="211" t="s">
        <v>129</v>
      </c>
      <c r="Q101" s="122" t="s">
        <v>384</v>
      </c>
      <c r="S101" s="358"/>
    </row>
    <row r="102" spans="1:19" ht="15" customHeight="1" x14ac:dyDescent="0.25">
      <c r="A102" s="72"/>
      <c r="B102" s="72" t="s">
        <v>318</v>
      </c>
      <c r="C102" s="185">
        <v>2068219.33</v>
      </c>
      <c r="D102" s="189">
        <v>2068219.33</v>
      </c>
      <c r="E102" s="73">
        <v>2049746.23</v>
      </c>
      <c r="F102" s="513">
        <f t="shared" si="21"/>
        <v>0.99106811365117642</v>
      </c>
      <c r="G102" s="73">
        <v>2049746.23</v>
      </c>
      <c r="H102" s="513">
        <f t="shared" si="22"/>
        <v>0.99106811365117642</v>
      </c>
      <c r="I102" s="73">
        <v>346224.28</v>
      </c>
      <c r="J102" s="435">
        <f t="shared" si="23"/>
        <v>0.16740211010405748</v>
      </c>
      <c r="K102" s="583">
        <v>305653.53999999998</v>
      </c>
      <c r="L102" s="421">
        <v>0.24483054286084488</v>
      </c>
      <c r="M102" s="590">
        <f t="shared" si="15"/>
        <v>5.7061098981546232</v>
      </c>
      <c r="N102" s="583">
        <v>0</v>
      </c>
      <c r="O102" s="421">
        <v>0</v>
      </c>
      <c r="P102" s="211" t="s">
        <v>129</v>
      </c>
      <c r="Q102" s="60" t="s">
        <v>385</v>
      </c>
      <c r="S102" s="357"/>
    </row>
    <row r="103" spans="1:19" ht="15" customHeight="1" x14ac:dyDescent="0.25">
      <c r="A103" s="55"/>
      <c r="B103" s="55" t="s">
        <v>463</v>
      </c>
      <c r="C103" s="489">
        <v>4677000</v>
      </c>
      <c r="D103" s="396">
        <v>4877000</v>
      </c>
      <c r="E103" s="82">
        <v>4877000</v>
      </c>
      <c r="F103" s="423">
        <f>+E103/D103</f>
        <v>1</v>
      </c>
      <c r="G103" s="80">
        <v>4877000</v>
      </c>
      <c r="H103" s="423">
        <f>+G103/D103</f>
        <v>1</v>
      </c>
      <c r="I103" s="56">
        <v>2900000</v>
      </c>
      <c r="J103" s="438">
        <f>I103/D103</f>
        <v>0.59462784498667209</v>
      </c>
      <c r="K103" s="603">
        <v>5871140.4000000004</v>
      </c>
      <c r="L103" s="421">
        <v>0.98413930400600513</v>
      </c>
      <c r="M103" s="596">
        <f t="shared" si="15"/>
        <v>-0.16932662690198996</v>
      </c>
      <c r="N103" s="603">
        <v>4200000</v>
      </c>
      <c r="O103" s="421">
        <v>0.70401741318010747</v>
      </c>
      <c r="P103" s="596">
        <f t="shared" ref="P103" si="24">+I103/N103-1</f>
        <v>-0.30952380952380953</v>
      </c>
      <c r="Q103" s="60">
        <v>44453</v>
      </c>
      <c r="R103" s="46"/>
      <c r="S103" s="358"/>
    </row>
    <row r="104" spans="1:19" ht="15" customHeight="1" x14ac:dyDescent="0.25">
      <c r="A104" s="68"/>
      <c r="B104" s="551" t="s">
        <v>363</v>
      </c>
      <c r="C104" s="553">
        <v>0</v>
      </c>
      <c r="D104" s="539">
        <v>0</v>
      </c>
      <c r="E104" s="555">
        <v>0</v>
      </c>
      <c r="F104" s="556" t="s">
        <v>129</v>
      </c>
      <c r="G104" s="555">
        <v>0</v>
      </c>
      <c r="H104" s="556" t="s">
        <v>129</v>
      </c>
      <c r="I104" s="555">
        <v>0</v>
      </c>
      <c r="J104" s="557" t="s">
        <v>129</v>
      </c>
      <c r="K104" s="567">
        <v>0</v>
      </c>
      <c r="L104" s="556" t="s">
        <v>129</v>
      </c>
      <c r="M104" s="597" t="s">
        <v>129</v>
      </c>
      <c r="N104" s="567">
        <v>0</v>
      </c>
      <c r="O104" s="556" t="s">
        <v>129</v>
      </c>
      <c r="P104" s="597" t="s">
        <v>129</v>
      </c>
      <c r="Q104" s="60">
        <v>449</v>
      </c>
      <c r="R104" s="476"/>
      <c r="S104" s="358"/>
    </row>
    <row r="105" spans="1:19" ht="15" customHeight="1" x14ac:dyDescent="0.25">
      <c r="A105" s="126"/>
      <c r="B105" s="552" t="s">
        <v>344</v>
      </c>
      <c r="C105" s="192">
        <f>SUM(C71:C104)</f>
        <v>620667325.52999997</v>
      </c>
      <c r="D105" s="554">
        <f>SUM(D71:D104)</f>
        <v>645609175.25</v>
      </c>
      <c r="E105" s="127">
        <f>SUM(E71:E104)</f>
        <v>515180972.31</v>
      </c>
      <c r="F105" s="426">
        <f>E105/D105</f>
        <v>0.79797653450403006</v>
      </c>
      <c r="G105" s="127">
        <f>SUM(G71:G104)</f>
        <v>515180972.31</v>
      </c>
      <c r="H105" s="426">
        <f>+G105/D105</f>
        <v>0.79797653450403006</v>
      </c>
      <c r="I105" s="127">
        <f>SUM(I71:I104)</f>
        <v>232500194.54000002</v>
      </c>
      <c r="J105" s="436">
        <f>I105/D105</f>
        <v>0.36012529476516297</v>
      </c>
      <c r="K105" s="604">
        <f>SUM(K71:K104)</f>
        <v>477293601.91000003</v>
      </c>
      <c r="L105" s="426">
        <v>0.80855860997236473</v>
      </c>
      <c r="M105" s="598">
        <f t="shared" si="15"/>
        <v>7.9379589938739947E-2</v>
      </c>
      <c r="N105" s="604">
        <f>SUM(N71:N104)</f>
        <v>225322283.13</v>
      </c>
      <c r="O105" s="426">
        <v>0.38170692277108298</v>
      </c>
      <c r="P105" s="598">
        <f>+I105/N105-1</f>
        <v>3.1856198642629341E-2</v>
      </c>
      <c r="S105" s="358"/>
    </row>
    <row r="106" spans="1:19" ht="14.4" thickBot="1" x14ac:dyDescent="0.3">
      <c r="A106" s="7" t="s">
        <v>233</v>
      </c>
    </row>
    <row r="107" spans="1:19" x14ac:dyDescent="0.25">
      <c r="A107" s="8" t="s">
        <v>290</v>
      </c>
      <c r="C107" s="164" t="s">
        <v>765</v>
      </c>
      <c r="D107" s="746" t="s">
        <v>780</v>
      </c>
      <c r="E107" s="744"/>
      <c r="F107" s="744"/>
      <c r="G107" s="744"/>
      <c r="H107" s="744"/>
      <c r="I107" s="744"/>
      <c r="J107" s="745"/>
      <c r="K107" s="752" t="s">
        <v>781</v>
      </c>
      <c r="L107" s="753"/>
      <c r="M107" s="753"/>
      <c r="N107" s="753"/>
      <c r="O107" s="753"/>
      <c r="P107" s="754"/>
    </row>
    <row r="108" spans="1:19" x14ac:dyDescent="0.25">
      <c r="C108" s="157">
        <v>1</v>
      </c>
      <c r="D108" s="148">
        <v>2</v>
      </c>
      <c r="E108" s="87">
        <v>3</v>
      </c>
      <c r="F108" s="88" t="s">
        <v>36</v>
      </c>
      <c r="G108" s="87">
        <v>4</v>
      </c>
      <c r="H108" s="88" t="s">
        <v>37</v>
      </c>
      <c r="I108" s="87">
        <v>5</v>
      </c>
      <c r="J108" s="149" t="s">
        <v>38</v>
      </c>
      <c r="K108" s="87" t="s">
        <v>543</v>
      </c>
      <c r="L108" s="88" t="s">
        <v>544</v>
      </c>
      <c r="M108" s="88" t="s">
        <v>545</v>
      </c>
      <c r="N108" s="87" t="s">
        <v>39</v>
      </c>
      <c r="O108" s="88" t="s">
        <v>40</v>
      </c>
      <c r="P108" s="149" t="s">
        <v>362</v>
      </c>
    </row>
    <row r="109" spans="1:19" ht="26.4" x14ac:dyDescent="0.25">
      <c r="A109" s="1"/>
      <c r="B109" s="2" t="s">
        <v>150</v>
      </c>
      <c r="C109" s="158" t="s">
        <v>13</v>
      </c>
      <c r="D109" s="112" t="s">
        <v>350</v>
      </c>
      <c r="E109" s="89" t="s">
        <v>15</v>
      </c>
      <c r="F109" s="89" t="s">
        <v>18</v>
      </c>
      <c r="G109" s="89" t="s">
        <v>16</v>
      </c>
      <c r="H109" s="89" t="s">
        <v>18</v>
      </c>
      <c r="I109" s="89" t="s">
        <v>17</v>
      </c>
      <c r="J109" s="113" t="s">
        <v>18</v>
      </c>
      <c r="K109" s="89" t="s">
        <v>16</v>
      </c>
      <c r="L109" s="89" t="s">
        <v>18</v>
      </c>
      <c r="M109" s="89" t="s">
        <v>764</v>
      </c>
      <c r="N109" s="564" t="s">
        <v>17</v>
      </c>
      <c r="O109" s="89" t="s">
        <v>18</v>
      </c>
      <c r="P109" s="587" t="s">
        <v>764</v>
      </c>
      <c r="Q109" s="58" t="s">
        <v>163</v>
      </c>
      <c r="S109" s="358"/>
    </row>
    <row r="110" spans="1:19" ht="15" customHeight="1" x14ac:dyDescent="0.25">
      <c r="A110" s="81"/>
      <c r="B110" s="240" t="s">
        <v>429</v>
      </c>
      <c r="C110" s="186">
        <v>2000000</v>
      </c>
      <c r="D110" s="464">
        <v>3000000</v>
      </c>
      <c r="E110" s="82">
        <v>0</v>
      </c>
      <c r="F110" s="362">
        <f>+E110/D110</f>
        <v>0</v>
      </c>
      <c r="G110" s="82">
        <v>0</v>
      </c>
      <c r="H110" s="362">
        <f>+G110/D110</f>
        <v>0</v>
      </c>
      <c r="I110" s="82">
        <v>0</v>
      </c>
      <c r="J110" s="278">
        <f>I110/D110</f>
        <v>0</v>
      </c>
      <c r="K110" s="605">
        <v>3500000</v>
      </c>
      <c r="L110" s="362">
        <v>1</v>
      </c>
      <c r="M110" s="660">
        <f t="shared" si="15"/>
        <v>-1</v>
      </c>
      <c r="N110" s="605">
        <v>1500000</v>
      </c>
      <c r="O110" s="362">
        <v>0.42857142857142855</v>
      </c>
      <c r="P110" s="660">
        <f>+I110/N110-1</f>
        <v>-1</v>
      </c>
      <c r="Q110" s="122" t="s">
        <v>450</v>
      </c>
      <c r="S110" s="358"/>
    </row>
    <row r="111" spans="1:19" ht="15" customHeight="1" x14ac:dyDescent="0.25">
      <c r="A111" s="70"/>
      <c r="B111" s="241" t="s">
        <v>396</v>
      </c>
      <c r="C111" s="186">
        <v>105000</v>
      </c>
      <c r="D111" s="464">
        <v>105000</v>
      </c>
      <c r="E111" s="82">
        <v>87568.43</v>
      </c>
      <c r="F111" s="362">
        <f>+E111/D111</f>
        <v>0.83398504761904757</v>
      </c>
      <c r="G111" s="82">
        <v>87568.43</v>
      </c>
      <c r="H111" s="362">
        <f>+G111/D111</f>
        <v>0.83398504761904757</v>
      </c>
      <c r="I111" s="82">
        <v>3917.29</v>
      </c>
      <c r="J111" s="278">
        <f>I111/D111</f>
        <v>3.7307523809523811E-2</v>
      </c>
      <c r="K111" s="605">
        <v>33052.71</v>
      </c>
      <c r="L111" s="362">
        <v>0.30247034409334833</v>
      </c>
      <c r="M111" s="660">
        <f t="shared" si="15"/>
        <v>1.6493570421305845</v>
      </c>
      <c r="N111" s="605">
        <v>0</v>
      </c>
      <c r="O111" s="362">
        <v>0</v>
      </c>
      <c r="P111" s="599" t="s">
        <v>129</v>
      </c>
      <c r="Q111" s="122">
        <v>46101</v>
      </c>
      <c r="S111" s="358"/>
    </row>
    <row r="112" spans="1:19" ht="15" customHeight="1" x14ac:dyDescent="0.25">
      <c r="A112" s="70"/>
      <c r="B112" s="241" t="s">
        <v>411</v>
      </c>
      <c r="C112" s="186">
        <v>0</v>
      </c>
      <c r="D112" s="464">
        <v>0</v>
      </c>
      <c r="E112" s="82">
        <v>0</v>
      </c>
      <c r="F112" s="420" t="s">
        <v>129</v>
      </c>
      <c r="G112" s="82">
        <v>0</v>
      </c>
      <c r="H112" s="362" t="s">
        <v>129</v>
      </c>
      <c r="I112" s="82">
        <v>0</v>
      </c>
      <c r="J112" s="278" t="s">
        <v>129</v>
      </c>
      <c r="K112" s="394">
        <v>0</v>
      </c>
      <c r="L112" s="362" t="s">
        <v>129</v>
      </c>
      <c r="M112" s="594" t="s">
        <v>129</v>
      </c>
      <c r="N112" s="394">
        <v>0</v>
      </c>
      <c r="O112" s="362" t="s">
        <v>129</v>
      </c>
      <c r="P112" s="594" t="s">
        <v>129</v>
      </c>
      <c r="Q112" s="122">
        <v>46102</v>
      </c>
      <c r="S112" s="358"/>
    </row>
    <row r="113" spans="1:19" ht="15" customHeight="1" x14ac:dyDescent="0.25">
      <c r="A113" s="81"/>
      <c r="B113" s="240" t="s">
        <v>426</v>
      </c>
      <c r="C113" s="186">
        <v>0</v>
      </c>
      <c r="D113" s="464">
        <v>0</v>
      </c>
      <c r="E113" s="82">
        <v>0</v>
      </c>
      <c r="F113" s="420" t="s">
        <v>129</v>
      </c>
      <c r="G113" s="82">
        <v>0</v>
      </c>
      <c r="H113" s="362" t="s">
        <v>129</v>
      </c>
      <c r="I113" s="82">
        <v>0</v>
      </c>
      <c r="J113" s="278" t="s">
        <v>129</v>
      </c>
      <c r="K113" s="584">
        <v>0</v>
      </c>
      <c r="L113" s="362" t="s">
        <v>129</v>
      </c>
      <c r="M113" s="594" t="s">
        <v>129</v>
      </c>
      <c r="N113" s="584">
        <v>0</v>
      </c>
      <c r="O113" s="362" t="s">
        <v>129</v>
      </c>
      <c r="P113" s="594" t="s">
        <v>129</v>
      </c>
      <c r="Q113" s="122">
        <v>462</v>
      </c>
      <c r="S113" s="358"/>
    </row>
    <row r="114" spans="1:19" ht="15" customHeight="1" x14ac:dyDescent="0.25">
      <c r="A114" s="81"/>
      <c r="B114" s="81" t="s">
        <v>319</v>
      </c>
      <c r="C114" s="186">
        <v>0</v>
      </c>
      <c r="D114" s="464">
        <v>0</v>
      </c>
      <c r="E114" s="82">
        <v>0</v>
      </c>
      <c r="F114" s="78" t="s">
        <v>129</v>
      </c>
      <c r="G114" s="82">
        <v>0</v>
      </c>
      <c r="H114" s="78" t="s">
        <v>129</v>
      </c>
      <c r="I114" s="82">
        <v>0</v>
      </c>
      <c r="J114" s="172" t="s">
        <v>129</v>
      </c>
      <c r="K114" s="584">
        <v>0</v>
      </c>
      <c r="L114" s="78" t="s">
        <v>129</v>
      </c>
      <c r="M114" s="594" t="s">
        <v>129</v>
      </c>
      <c r="N114" s="584">
        <v>0</v>
      </c>
      <c r="O114" s="78" t="s">
        <v>129</v>
      </c>
      <c r="P114" s="594" t="s">
        <v>129</v>
      </c>
      <c r="Q114" s="60">
        <v>463</v>
      </c>
      <c r="S114" s="358"/>
    </row>
    <row r="115" spans="1:19" ht="15" customHeight="1" x14ac:dyDescent="0.25">
      <c r="A115" s="70"/>
      <c r="B115" s="70" t="s">
        <v>320</v>
      </c>
      <c r="C115" s="186">
        <v>0</v>
      </c>
      <c r="D115" s="464">
        <v>398251.18</v>
      </c>
      <c r="E115" s="82">
        <v>398251.18</v>
      </c>
      <c r="F115" s="420">
        <v>0.83398504761904757</v>
      </c>
      <c r="G115" s="82">
        <v>398251.18</v>
      </c>
      <c r="H115" s="420">
        <f>+G115/D115</f>
        <v>1</v>
      </c>
      <c r="I115" s="82">
        <v>398251.18</v>
      </c>
      <c r="J115" s="434">
        <f>I115/D115</f>
        <v>1</v>
      </c>
      <c r="K115" s="394">
        <v>3584260.62</v>
      </c>
      <c r="L115" s="420">
        <v>0.47790141600000002</v>
      </c>
      <c r="M115" s="594">
        <f t="shared" si="15"/>
        <v>-0.88888888888888884</v>
      </c>
      <c r="N115" s="394">
        <v>3584260.62</v>
      </c>
      <c r="O115" s="420">
        <v>0.47790141600000002</v>
      </c>
      <c r="P115" s="594">
        <f>+I115/N115-1</f>
        <v>-0.88888888888888884</v>
      </c>
      <c r="Q115" s="60">
        <v>46401</v>
      </c>
      <c r="S115" s="358"/>
    </row>
    <row r="116" spans="1:19" ht="15" customHeight="1" x14ac:dyDescent="0.25">
      <c r="A116" s="70"/>
      <c r="B116" s="70" t="s">
        <v>321</v>
      </c>
      <c r="C116" s="186">
        <v>1997000</v>
      </c>
      <c r="D116" s="464">
        <v>1997000</v>
      </c>
      <c r="E116" s="82">
        <v>110000</v>
      </c>
      <c r="F116" s="420">
        <f t="shared" ref="F116:F124" si="25">+E116/D116</f>
        <v>5.5082623935903859E-2</v>
      </c>
      <c r="G116" s="82">
        <v>110000</v>
      </c>
      <c r="H116" s="420">
        <f t="shared" ref="H116:H120" si="26">+G116/D116</f>
        <v>5.5082623935903859E-2</v>
      </c>
      <c r="I116" s="82">
        <v>0</v>
      </c>
      <c r="J116" s="434">
        <f t="shared" ref="J116:J123" si="27">I116/D116</f>
        <v>0</v>
      </c>
      <c r="K116" s="394">
        <v>110000</v>
      </c>
      <c r="L116" s="420">
        <v>5.2206929283341245E-2</v>
      </c>
      <c r="M116" s="594">
        <f t="shared" si="15"/>
        <v>0</v>
      </c>
      <c r="N116" s="394">
        <v>0</v>
      </c>
      <c r="O116" s="420">
        <v>0</v>
      </c>
      <c r="P116" s="594" t="s">
        <v>129</v>
      </c>
      <c r="Q116" s="60">
        <v>46410</v>
      </c>
      <c r="S116" s="358"/>
    </row>
    <row r="117" spans="1:19" ht="15" customHeight="1" x14ac:dyDescent="0.25">
      <c r="A117" s="72"/>
      <c r="B117" s="72" t="s">
        <v>322</v>
      </c>
      <c r="C117" s="185">
        <v>108534406.23999999</v>
      </c>
      <c r="D117" s="490">
        <v>108529136.23999999</v>
      </c>
      <c r="E117" s="82">
        <v>103998218.28</v>
      </c>
      <c r="F117" s="421">
        <f t="shared" si="25"/>
        <v>0.95825159844651875</v>
      </c>
      <c r="G117" s="82">
        <v>103998218.28</v>
      </c>
      <c r="H117" s="421">
        <f t="shared" si="26"/>
        <v>0.95825159844651875</v>
      </c>
      <c r="I117" s="82">
        <v>39694930.719999999</v>
      </c>
      <c r="J117" s="435">
        <f t="shared" si="27"/>
        <v>0.36575367772410089</v>
      </c>
      <c r="K117" s="583">
        <v>90655277.209999993</v>
      </c>
      <c r="L117" s="421">
        <v>0.74958652603329345</v>
      </c>
      <c r="M117" s="590">
        <f t="shared" si="15"/>
        <v>0.14718328023079685</v>
      </c>
      <c r="N117" s="583">
        <v>30632255.039999999</v>
      </c>
      <c r="O117" s="421">
        <v>0.25328393830631413</v>
      </c>
      <c r="P117" s="590">
        <f>+I117/N117-1</f>
        <v>0.29585401623765017</v>
      </c>
      <c r="Q117" s="60" t="s">
        <v>328</v>
      </c>
      <c r="S117" s="358"/>
    </row>
    <row r="118" spans="1:19" ht="15" customHeight="1" x14ac:dyDescent="0.25">
      <c r="A118" s="63"/>
      <c r="B118" s="63" t="s">
        <v>323</v>
      </c>
      <c r="C118" s="489">
        <v>0</v>
      </c>
      <c r="D118" s="491">
        <v>0</v>
      </c>
      <c r="E118" s="64">
        <v>0</v>
      </c>
      <c r="F118" s="423" t="s">
        <v>129</v>
      </c>
      <c r="G118" s="64">
        <v>0</v>
      </c>
      <c r="H118" s="423" t="s">
        <v>129</v>
      </c>
      <c r="I118" s="64">
        <v>0</v>
      </c>
      <c r="J118" s="437" t="s">
        <v>129</v>
      </c>
      <c r="K118" s="603">
        <v>0</v>
      </c>
      <c r="L118" s="423" t="s">
        <v>129</v>
      </c>
      <c r="M118" s="590" t="s">
        <v>129</v>
      </c>
      <c r="N118" s="603">
        <v>0</v>
      </c>
      <c r="O118" s="423" t="s">
        <v>129</v>
      </c>
      <c r="P118" s="590" t="s">
        <v>129</v>
      </c>
      <c r="Q118" s="60">
        <v>465</v>
      </c>
      <c r="S118" s="358"/>
    </row>
    <row r="119" spans="1:19" ht="15" customHeight="1" x14ac:dyDescent="0.25">
      <c r="A119" s="68"/>
      <c r="B119" s="68" t="s">
        <v>324</v>
      </c>
      <c r="C119" s="186">
        <v>132984242.02</v>
      </c>
      <c r="D119" s="464">
        <v>134184242.02</v>
      </c>
      <c r="E119" s="71">
        <v>112255416.90000001</v>
      </c>
      <c r="F119" s="362">
        <f t="shared" si="25"/>
        <v>0.83657674858176323</v>
      </c>
      <c r="G119" s="71">
        <v>112255416.90000001</v>
      </c>
      <c r="H119" s="362">
        <f t="shared" si="26"/>
        <v>0.83657674858176323</v>
      </c>
      <c r="I119" s="71">
        <v>54392333.460000001</v>
      </c>
      <c r="J119" s="239">
        <f t="shared" si="27"/>
        <v>0.4053555964633529</v>
      </c>
      <c r="K119" s="582">
        <v>110924325</v>
      </c>
      <c r="L119" s="238">
        <v>0.8602475525773301</v>
      </c>
      <c r="M119" s="593">
        <f t="shared" si="15"/>
        <v>1.2000000000000011E-2</v>
      </c>
      <c r="N119" s="582">
        <v>64471164.079999998</v>
      </c>
      <c r="O119" s="238">
        <v>0.49999097232849038</v>
      </c>
      <c r="P119" s="593">
        <f>+I119/N119-1</f>
        <v>-0.15633083043907092</v>
      </c>
      <c r="Q119" s="60">
        <v>46701</v>
      </c>
      <c r="S119" s="358"/>
    </row>
    <row r="120" spans="1:19" ht="15" customHeight="1" x14ac:dyDescent="0.25">
      <c r="A120" s="70"/>
      <c r="B120" s="70" t="s">
        <v>325</v>
      </c>
      <c r="C120" s="186">
        <v>69600900.939999998</v>
      </c>
      <c r="D120" s="464">
        <v>69612434.280000001</v>
      </c>
      <c r="E120" s="71">
        <v>69417129.870000005</v>
      </c>
      <c r="F120" s="420">
        <f t="shared" si="25"/>
        <v>0.99719440338468224</v>
      </c>
      <c r="G120" s="71">
        <v>69417129.870000005</v>
      </c>
      <c r="H120" s="420">
        <f t="shared" si="26"/>
        <v>0.99719440338468224</v>
      </c>
      <c r="I120" s="71">
        <v>34736074.68</v>
      </c>
      <c r="J120" s="434">
        <f t="shared" si="27"/>
        <v>0.49899238604818974</v>
      </c>
      <c r="K120" s="394">
        <v>63833901.149999999</v>
      </c>
      <c r="L120" s="420">
        <v>0.99087756518712689</v>
      </c>
      <c r="M120" s="594">
        <f t="shared" si="15"/>
        <v>8.746494604614985E-2</v>
      </c>
      <c r="N120" s="394">
        <v>32552723.600000001</v>
      </c>
      <c r="O120" s="420">
        <v>0.50530772708347194</v>
      </c>
      <c r="P120" s="594">
        <f>+I120/N120-1</f>
        <v>6.7071225954193237E-2</v>
      </c>
      <c r="Q120" s="60">
        <v>46703</v>
      </c>
      <c r="S120" s="358"/>
    </row>
    <row r="121" spans="1:19" ht="15" customHeight="1" x14ac:dyDescent="0.25">
      <c r="A121" s="70"/>
      <c r="B121" s="70" t="s">
        <v>336</v>
      </c>
      <c r="C121" s="186">
        <v>0</v>
      </c>
      <c r="D121" s="464">
        <v>0</v>
      </c>
      <c r="E121" s="71">
        <v>0</v>
      </c>
      <c r="F121" s="420" t="s">
        <v>129</v>
      </c>
      <c r="G121" s="71">
        <v>0</v>
      </c>
      <c r="H121" s="420" t="s">
        <v>129</v>
      </c>
      <c r="I121" s="71">
        <v>0</v>
      </c>
      <c r="J121" s="434" t="s">
        <v>129</v>
      </c>
      <c r="K121" s="394">
        <v>0</v>
      </c>
      <c r="L121" s="420" t="s">
        <v>129</v>
      </c>
      <c r="M121" s="594" t="s">
        <v>129</v>
      </c>
      <c r="N121" s="394">
        <v>0</v>
      </c>
      <c r="O121" s="420" t="s">
        <v>129</v>
      </c>
      <c r="P121" s="594" t="s">
        <v>129</v>
      </c>
      <c r="Q121" s="60" t="s">
        <v>393</v>
      </c>
      <c r="S121" s="358"/>
    </row>
    <row r="122" spans="1:19" ht="15" customHeight="1" x14ac:dyDescent="0.25">
      <c r="A122" s="70"/>
      <c r="B122" s="70" t="s">
        <v>337</v>
      </c>
      <c r="C122" s="186">
        <v>1142000</v>
      </c>
      <c r="D122" s="464">
        <v>1142000</v>
      </c>
      <c r="E122" s="71">
        <v>1142000</v>
      </c>
      <c r="F122" s="420">
        <f t="shared" si="25"/>
        <v>1</v>
      </c>
      <c r="G122" s="71">
        <v>1142000</v>
      </c>
      <c r="H122" s="420">
        <f t="shared" ref="H122:H124" si="28">+G122/D122</f>
        <v>1</v>
      </c>
      <c r="I122" s="71">
        <v>570000</v>
      </c>
      <c r="J122" s="434">
        <f t="shared" si="27"/>
        <v>0.49912434325744309</v>
      </c>
      <c r="K122" s="394">
        <v>1627000</v>
      </c>
      <c r="L122" s="420">
        <v>0.80783866662429693</v>
      </c>
      <c r="M122" s="594">
        <f t="shared" si="15"/>
        <v>-0.29809465273509528</v>
      </c>
      <c r="N122" s="394">
        <v>1150000</v>
      </c>
      <c r="O122" s="420">
        <v>0.57099844291207225</v>
      </c>
      <c r="P122" s="594">
        <f>+I122/N122-1</f>
        <v>-0.5043478260869565</v>
      </c>
      <c r="Q122" s="60" t="s">
        <v>394</v>
      </c>
      <c r="S122" s="358"/>
    </row>
    <row r="123" spans="1:19" ht="15" customHeight="1" x14ac:dyDescent="0.25">
      <c r="A123" s="70"/>
      <c r="B123" s="70" t="s">
        <v>335</v>
      </c>
      <c r="C123" s="186">
        <v>421003.62</v>
      </c>
      <c r="D123" s="464">
        <v>421003.62</v>
      </c>
      <c r="E123" s="71">
        <v>421003.62</v>
      </c>
      <c r="F123" s="420">
        <f t="shared" si="25"/>
        <v>1</v>
      </c>
      <c r="G123" s="71">
        <v>421003.62</v>
      </c>
      <c r="H123" s="420">
        <f t="shared" si="28"/>
        <v>1</v>
      </c>
      <c r="I123" s="71">
        <v>0</v>
      </c>
      <c r="J123" s="434">
        <f t="shared" si="27"/>
        <v>0</v>
      </c>
      <c r="K123" s="394">
        <v>271003.62</v>
      </c>
      <c r="L123" s="420">
        <v>1</v>
      </c>
      <c r="M123" s="594">
        <f t="shared" si="15"/>
        <v>0.55349814146394061</v>
      </c>
      <c r="N123" s="394">
        <v>0</v>
      </c>
      <c r="O123" s="420">
        <v>0</v>
      </c>
      <c r="P123" s="594" t="s">
        <v>129</v>
      </c>
      <c r="Q123" s="60" t="s">
        <v>389</v>
      </c>
      <c r="S123" s="358"/>
    </row>
    <row r="124" spans="1:19" ht="15" customHeight="1" x14ac:dyDescent="0.25">
      <c r="A124" s="70"/>
      <c r="B124" s="70" t="s">
        <v>332</v>
      </c>
      <c r="C124" s="186">
        <v>17276353.23</v>
      </c>
      <c r="D124" s="464">
        <v>17276353.23</v>
      </c>
      <c r="E124" s="71">
        <v>17276353.23</v>
      </c>
      <c r="F124" s="420">
        <f t="shared" si="25"/>
        <v>1</v>
      </c>
      <c r="G124" s="71">
        <v>17276353.23</v>
      </c>
      <c r="H124" s="420">
        <f t="shared" si="28"/>
        <v>1</v>
      </c>
      <c r="I124" s="71">
        <v>7198480.5</v>
      </c>
      <c r="J124" s="434">
        <f>I124/D124</f>
        <v>0.41666666594313434</v>
      </c>
      <c r="K124" s="394">
        <v>15409576.619999999</v>
      </c>
      <c r="L124" s="420">
        <v>0.9963869840726397</v>
      </c>
      <c r="M124" s="594">
        <f t="shared" si="15"/>
        <v>0.12114392601657364</v>
      </c>
      <c r="N124" s="394">
        <v>9065000</v>
      </c>
      <c r="O124" s="420">
        <v>0.58614511179337503</v>
      </c>
      <c r="P124" s="594">
        <f>+I124/N124-1</f>
        <v>-0.205903971318257</v>
      </c>
      <c r="Q124" s="60" t="s">
        <v>386</v>
      </c>
      <c r="S124" s="358"/>
    </row>
    <row r="125" spans="1:19" ht="15" customHeight="1" x14ac:dyDescent="0.25">
      <c r="A125" s="70"/>
      <c r="B125" s="70" t="s">
        <v>334</v>
      </c>
      <c r="C125" s="186">
        <v>0</v>
      </c>
      <c r="D125" s="464">
        <v>0</v>
      </c>
      <c r="E125" s="71">
        <v>0</v>
      </c>
      <c r="F125" s="130" t="s">
        <v>129</v>
      </c>
      <c r="G125" s="71">
        <v>0</v>
      </c>
      <c r="H125" s="130" t="s">
        <v>129</v>
      </c>
      <c r="I125" s="71">
        <v>0</v>
      </c>
      <c r="J125" s="194" t="s">
        <v>129</v>
      </c>
      <c r="K125" s="394">
        <v>0</v>
      </c>
      <c r="L125" s="130" t="s">
        <v>129</v>
      </c>
      <c r="M125" s="594" t="s">
        <v>129</v>
      </c>
      <c r="N125" s="394">
        <v>0</v>
      </c>
      <c r="O125" s="130" t="s">
        <v>129</v>
      </c>
      <c r="P125" s="594" t="s">
        <v>129</v>
      </c>
      <c r="Q125" s="60" t="s">
        <v>387</v>
      </c>
      <c r="S125" s="358"/>
    </row>
    <row r="126" spans="1:19" ht="15" customHeight="1" x14ac:dyDescent="0.25">
      <c r="A126" s="70"/>
      <c r="B126" s="70" t="s">
        <v>333</v>
      </c>
      <c r="C126" s="186">
        <v>2248848</v>
      </c>
      <c r="D126" s="464">
        <v>2248848</v>
      </c>
      <c r="E126" s="71">
        <v>2248848</v>
      </c>
      <c r="F126" s="420">
        <f t="shared" ref="F126:F140" si="29">+E126/D126</f>
        <v>1</v>
      </c>
      <c r="G126" s="71">
        <v>2248848</v>
      </c>
      <c r="H126" s="420">
        <f t="shared" ref="H126:H140" si="30">+G126/D126</f>
        <v>1</v>
      </c>
      <c r="I126" s="71">
        <v>1500000</v>
      </c>
      <c r="J126" s="434">
        <f t="shared" ref="J126:J140" si="31">I126/D126</f>
        <v>0.66700817485219099</v>
      </c>
      <c r="K126" s="394">
        <v>2248848</v>
      </c>
      <c r="L126" s="420">
        <v>1</v>
      </c>
      <c r="M126" s="594">
        <f t="shared" si="15"/>
        <v>0</v>
      </c>
      <c r="N126" s="394">
        <v>1500000</v>
      </c>
      <c r="O126" s="420">
        <v>0.66700817485219099</v>
      </c>
      <c r="P126" s="594">
        <f>+I126/N126-1</f>
        <v>0</v>
      </c>
      <c r="Q126" s="60" t="s">
        <v>388</v>
      </c>
      <c r="S126" s="358"/>
    </row>
    <row r="127" spans="1:19" ht="15" customHeight="1" x14ac:dyDescent="0.25">
      <c r="A127" s="70"/>
      <c r="B127" s="70" t="s">
        <v>331</v>
      </c>
      <c r="C127" s="186">
        <v>1237126</v>
      </c>
      <c r="D127" s="464">
        <v>1542126</v>
      </c>
      <c r="E127" s="71">
        <v>1341123.71</v>
      </c>
      <c r="F127" s="420">
        <f t="shared" si="29"/>
        <v>0.86965897079745746</v>
      </c>
      <c r="G127" s="71">
        <v>1341123.71</v>
      </c>
      <c r="H127" s="420">
        <f t="shared" si="30"/>
        <v>0.86965897079745746</v>
      </c>
      <c r="I127" s="71">
        <v>0</v>
      </c>
      <c r="J127" s="434">
        <f t="shared" si="31"/>
        <v>0</v>
      </c>
      <c r="K127" s="394">
        <v>1087049</v>
      </c>
      <c r="L127" s="420">
        <v>0.64705259104012436</v>
      </c>
      <c r="M127" s="594">
        <f t="shared" si="15"/>
        <v>0.2337288475496504</v>
      </c>
      <c r="N127" s="394">
        <v>459400</v>
      </c>
      <c r="O127" s="420">
        <v>0.27345221818320348</v>
      </c>
      <c r="P127" s="594">
        <f>+I127/N127-1</f>
        <v>-1</v>
      </c>
      <c r="Q127" s="60" t="s">
        <v>392</v>
      </c>
      <c r="S127" s="358"/>
    </row>
    <row r="128" spans="1:19" ht="15" customHeight="1" x14ac:dyDescent="0.25">
      <c r="A128" s="70"/>
      <c r="B128" s="70" t="s">
        <v>329</v>
      </c>
      <c r="C128" s="186">
        <v>185101.56</v>
      </c>
      <c r="D128" s="464">
        <v>270101.56</v>
      </c>
      <c r="E128" s="71">
        <v>270101.56</v>
      </c>
      <c r="F128" s="420">
        <f t="shared" si="29"/>
        <v>1</v>
      </c>
      <c r="G128" s="71">
        <v>270101.56</v>
      </c>
      <c r="H128" s="420">
        <f t="shared" si="30"/>
        <v>1</v>
      </c>
      <c r="I128" s="71">
        <v>69000</v>
      </c>
      <c r="J128" s="434">
        <f t="shared" si="31"/>
        <v>0.25545946495088734</v>
      </c>
      <c r="K128" s="394">
        <v>275101.56</v>
      </c>
      <c r="L128" s="420">
        <v>0.91608435200936023</v>
      </c>
      <c r="M128" s="594">
        <f t="shared" si="15"/>
        <v>-1.8175105949962633E-2</v>
      </c>
      <c r="N128" s="394">
        <v>173500</v>
      </c>
      <c r="O128" s="420">
        <v>0.57775257644349232</v>
      </c>
      <c r="P128" s="594">
        <f t="shared" ref="P128:P129" si="32">+I128/N128-1</f>
        <v>-0.60230547550432278</v>
      </c>
      <c r="Q128" s="60" t="s">
        <v>390</v>
      </c>
      <c r="S128" s="358"/>
    </row>
    <row r="129" spans="1:19" ht="15" customHeight="1" x14ac:dyDescent="0.25">
      <c r="A129" s="70"/>
      <c r="B129" s="70" t="s">
        <v>330</v>
      </c>
      <c r="C129" s="186">
        <v>1108512.45</v>
      </c>
      <c r="D129" s="464">
        <v>1108512.45</v>
      </c>
      <c r="E129" s="71">
        <v>1108512.45</v>
      </c>
      <c r="F129" s="420">
        <f t="shared" si="29"/>
        <v>1</v>
      </c>
      <c r="G129" s="71">
        <v>1108512.45</v>
      </c>
      <c r="H129" s="420">
        <f t="shared" si="30"/>
        <v>1</v>
      </c>
      <c r="I129" s="71">
        <v>720000</v>
      </c>
      <c r="J129" s="434">
        <f t="shared" si="31"/>
        <v>0.64951909200478541</v>
      </c>
      <c r="K129" s="394">
        <v>1008512.45</v>
      </c>
      <c r="L129" s="420">
        <v>1</v>
      </c>
      <c r="M129" s="594">
        <f t="shared" si="15"/>
        <v>9.9155940018390565E-2</v>
      </c>
      <c r="N129" s="394">
        <v>670000</v>
      </c>
      <c r="O129" s="420">
        <v>0.66434479812321601</v>
      </c>
      <c r="P129" s="594">
        <f t="shared" si="32"/>
        <v>7.4626865671641784E-2</v>
      </c>
      <c r="Q129" s="60" t="s">
        <v>391</v>
      </c>
      <c r="S129" s="358"/>
    </row>
    <row r="130" spans="1:19" ht="15" customHeight="1" x14ac:dyDescent="0.25">
      <c r="A130" s="70"/>
      <c r="B130" s="70" t="s">
        <v>327</v>
      </c>
      <c r="C130" s="186">
        <v>11341014</v>
      </c>
      <c r="D130" s="464">
        <v>11341014</v>
      </c>
      <c r="E130" s="71">
        <v>11341014</v>
      </c>
      <c r="F130" s="420">
        <f t="shared" si="29"/>
        <v>1</v>
      </c>
      <c r="G130" s="71">
        <v>11341014</v>
      </c>
      <c r="H130" s="420">
        <f t="shared" si="30"/>
        <v>1</v>
      </c>
      <c r="I130" s="71">
        <v>1270000</v>
      </c>
      <c r="J130" s="434">
        <f t="shared" si="31"/>
        <v>0.11198293203764673</v>
      </c>
      <c r="K130" s="394">
        <v>8541014</v>
      </c>
      <c r="L130" s="420">
        <v>0.80265038651391685</v>
      </c>
      <c r="M130" s="594">
        <f t="shared" si="15"/>
        <v>0.32782992745357875</v>
      </c>
      <c r="N130" s="394">
        <v>7270000</v>
      </c>
      <c r="O130" s="420">
        <v>0.68320556668753563</v>
      </c>
      <c r="P130" s="594">
        <f>+I130/N130-1</f>
        <v>-0.82530949105914719</v>
      </c>
      <c r="Q130" s="60">
        <v>46743</v>
      </c>
      <c r="S130" s="358"/>
    </row>
    <row r="131" spans="1:19" ht="15" customHeight="1" x14ac:dyDescent="0.25">
      <c r="A131" s="70"/>
      <c r="B131" s="70" t="s">
        <v>326</v>
      </c>
      <c r="C131" s="186">
        <v>1136412.6100000001</v>
      </c>
      <c r="D131" s="464">
        <v>1208333.32</v>
      </c>
      <c r="E131" s="71">
        <v>1208333.32</v>
      </c>
      <c r="F131" s="420">
        <f t="shared" si="29"/>
        <v>1</v>
      </c>
      <c r="G131" s="71">
        <v>1208333.32</v>
      </c>
      <c r="H131" s="420">
        <f t="shared" si="30"/>
        <v>1</v>
      </c>
      <c r="I131" s="71">
        <v>480412.61</v>
      </c>
      <c r="J131" s="434">
        <f t="shared" si="31"/>
        <v>0.39758285404229354</v>
      </c>
      <c r="K131" s="394">
        <v>1172912.6100000001</v>
      </c>
      <c r="L131" s="420">
        <v>1</v>
      </c>
      <c r="M131" s="594">
        <f t="shared" si="15"/>
        <v>3.0198933576133902E-2</v>
      </c>
      <c r="N131" s="394">
        <v>604500</v>
      </c>
      <c r="O131" s="420">
        <v>0.51538366528432156</v>
      </c>
      <c r="P131" s="594">
        <f t="shared" ref="P131:P136" si="33">+I131/N131-1</f>
        <v>-0.20527277088502893</v>
      </c>
      <c r="Q131" s="60">
        <v>46746</v>
      </c>
      <c r="S131" s="358"/>
    </row>
    <row r="132" spans="1:19" ht="15" customHeight="1" x14ac:dyDescent="0.25">
      <c r="A132" s="70"/>
      <c r="B132" s="70" t="s">
        <v>338</v>
      </c>
      <c r="C132" s="186">
        <v>1490399</v>
      </c>
      <c r="D132" s="464">
        <v>1600399</v>
      </c>
      <c r="E132" s="71">
        <v>1490399</v>
      </c>
      <c r="F132" s="420">
        <f t="shared" si="29"/>
        <v>0.93126714025689838</v>
      </c>
      <c r="G132" s="71">
        <v>1490399</v>
      </c>
      <c r="H132" s="420">
        <f t="shared" si="30"/>
        <v>0.93126714025689838</v>
      </c>
      <c r="I132" s="71">
        <v>930000</v>
      </c>
      <c r="J132" s="434">
        <f t="shared" si="31"/>
        <v>0.58110508691894958</v>
      </c>
      <c r="K132" s="394">
        <v>1890399</v>
      </c>
      <c r="L132" s="420">
        <v>1</v>
      </c>
      <c r="M132" s="594">
        <f t="shared" si="15"/>
        <v>-0.21159554147034565</v>
      </c>
      <c r="N132" s="394">
        <v>620000</v>
      </c>
      <c r="O132" s="420">
        <v>0.32797308927903579</v>
      </c>
      <c r="P132" s="594">
        <f t="shared" si="33"/>
        <v>0.5</v>
      </c>
      <c r="Q132" s="60" t="s">
        <v>395</v>
      </c>
      <c r="S132" s="358"/>
    </row>
    <row r="133" spans="1:19" ht="15" customHeight="1" x14ac:dyDescent="0.25">
      <c r="A133" s="72"/>
      <c r="B133" s="72" t="s">
        <v>339</v>
      </c>
      <c r="C133" s="176">
        <v>6277211.96</v>
      </c>
      <c r="D133" s="493">
        <v>7527262.3499999996</v>
      </c>
      <c r="E133" s="73">
        <v>2736045.2800000003</v>
      </c>
      <c r="F133" s="513">
        <f t="shared" si="29"/>
        <v>0.36348477743704527</v>
      </c>
      <c r="G133" s="71">
        <v>2736045.2800000003</v>
      </c>
      <c r="H133" s="421">
        <f t="shared" si="30"/>
        <v>0.36348477743704527</v>
      </c>
      <c r="I133" s="71">
        <v>2119787.48</v>
      </c>
      <c r="J133" s="435">
        <f t="shared" si="31"/>
        <v>0.28161466698447146</v>
      </c>
      <c r="K133" s="583">
        <v>3300724.23</v>
      </c>
      <c r="L133" s="421">
        <v>0.61767177893179748</v>
      </c>
      <c r="M133" s="590">
        <f t="shared" si="15"/>
        <v>-0.17107728808958989</v>
      </c>
      <c r="N133" s="583">
        <v>3151503.7</v>
      </c>
      <c r="O133" s="421">
        <v>0.58974781322132508</v>
      </c>
      <c r="P133" s="590">
        <f t="shared" si="33"/>
        <v>-0.32737268244362216</v>
      </c>
      <c r="Q133" s="60" t="s">
        <v>340</v>
      </c>
      <c r="S133" s="358"/>
    </row>
    <row r="134" spans="1:19" ht="15" customHeight="1" x14ac:dyDescent="0.25">
      <c r="A134" s="68"/>
      <c r="B134" s="68" t="s">
        <v>341</v>
      </c>
      <c r="C134" s="488">
        <v>3977488.74</v>
      </c>
      <c r="D134" s="494">
        <v>4660280.2</v>
      </c>
      <c r="E134" s="82">
        <v>3669691.46</v>
      </c>
      <c r="F134" s="238">
        <f t="shared" si="29"/>
        <v>0.78744008997570569</v>
      </c>
      <c r="G134" s="69">
        <v>424400</v>
      </c>
      <c r="H134" s="420">
        <f t="shared" si="30"/>
        <v>9.1067485598827297E-2</v>
      </c>
      <c r="I134" s="69">
        <v>20000</v>
      </c>
      <c r="J134" s="434">
        <f t="shared" si="31"/>
        <v>4.2915874457505792E-3</v>
      </c>
      <c r="K134" s="582">
        <v>160000</v>
      </c>
      <c r="L134" s="238">
        <v>0.14988448496421611</v>
      </c>
      <c r="M134" s="724">
        <f t="shared" si="15"/>
        <v>1.6524999999999999</v>
      </c>
      <c r="N134" s="582">
        <v>50000</v>
      </c>
      <c r="O134" s="238">
        <v>4.6838901551317536E-2</v>
      </c>
      <c r="P134" s="600">
        <f t="shared" si="33"/>
        <v>-0.6</v>
      </c>
      <c r="Q134" s="60">
        <v>47</v>
      </c>
      <c r="S134" s="358"/>
    </row>
    <row r="135" spans="1:19" ht="15" customHeight="1" x14ac:dyDescent="0.25">
      <c r="A135" s="70"/>
      <c r="B135" s="70" t="s">
        <v>342</v>
      </c>
      <c r="C135" s="186">
        <v>92249396.719999999</v>
      </c>
      <c r="D135" s="464">
        <v>88728115.269999996</v>
      </c>
      <c r="E135" s="71">
        <v>61231843.810000002</v>
      </c>
      <c r="F135" s="420">
        <f t="shared" si="29"/>
        <v>0.69010644059857762</v>
      </c>
      <c r="G135" s="82">
        <v>35989634.229999997</v>
      </c>
      <c r="H135" s="420">
        <f t="shared" si="30"/>
        <v>0.40561702590529958</v>
      </c>
      <c r="I135" s="71">
        <v>21324098.140000001</v>
      </c>
      <c r="J135" s="434">
        <f t="shared" si="31"/>
        <v>0.2403307911490139</v>
      </c>
      <c r="K135" s="394">
        <v>37414125.549999997</v>
      </c>
      <c r="L135" s="420">
        <v>0.46205826460695104</v>
      </c>
      <c r="M135" s="591">
        <f t="shared" si="15"/>
        <v>-3.80736232388037E-2</v>
      </c>
      <c r="N135" s="394">
        <v>22873258.300000001</v>
      </c>
      <c r="O135" s="420">
        <v>0.28248095821137109</v>
      </c>
      <c r="P135" s="594">
        <f t="shared" si="33"/>
        <v>-6.7728005327513885E-2</v>
      </c>
      <c r="Q135" s="60">
        <v>48</v>
      </c>
      <c r="S135" s="358"/>
    </row>
    <row r="136" spans="1:19" ht="15" customHeight="1" x14ac:dyDescent="0.25">
      <c r="A136" s="72"/>
      <c r="B136" s="72" t="s">
        <v>343</v>
      </c>
      <c r="C136" s="176">
        <v>125828.35</v>
      </c>
      <c r="D136" s="493">
        <v>142752.73000000001</v>
      </c>
      <c r="E136" s="73">
        <v>20274.13</v>
      </c>
      <c r="F136" s="421">
        <f t="shared" si="29"/>
        <v>0.14202271298069044</v>
      </c>
      <c r="G136" s="73">
        <v>20274.13</v>
      </c>
      <c r="H136" s="421">
        <f t="shared" si="30"/>
        <v>0.14202271298069044</v>
      </c>
      <c r="I136" s="73">
        <v>20274.13</v>
      </c>
      <c r="J136" s="435">
        <f t="shared" si="31"/>
        <v>0.14202271298069044</v>
      </c>
      <c r="K136" s="583">
        <v>62402.95</v>
      </c>
      <c r="L136" s="421">
        <v>5.4488853273336017E-3</v>
      </c>
      <c r="M136" s="645">
        <f t="shared" si="15"/>
        <v>-0.675109429922784</v>
      </c>
      <c r="N136" s="583">
        <v>62402.95</v>
      </c>
      <c r="O136" s="421">
        <v>5.4488853273336017E-3</v>
      </c>
      <c r="P136" s="590">
        <f t="shared" si="33"/>
        <v>-0.675109429922784</v>
      </c>
      <c r="Q136" s="60">
        <v>49</v>
      </c>
      <c r="S136" s="358"/>
    </row>
    <row r="137" spans="1:19" ht="15" customHeight="1" x14ac:dyDescent="0.25">
      <c r="A137" s="61"/>
      <c r="B137" s="61" t="s">
        <v>453</v>
      </c>
      <c r="C137" s="489">
        <v>13647818.9</v>
      </c>
      <c r="D137" s="491">
        <v>9094613.3699999992</v>
      </c>
      <c r="E137" s="62">
        <v>0</v>
      </c>
      <c r="F137" s="422">
        <f>+E137/D137</f>
        <v>0</v>
      </c>
      <c r="G137" s="62">
        <v>0</v>
      </c>
      <c r="H137" s="422">
        <f>+G137/D137</f>
        <v>0</v>
      </c>
      <c r="I137" s="62">
        <v>0</v>
      </c>
      <c r="J137" s="438">
        <f>I137/D137</f>
        <v>0</v>
      </c>
      <c r="K137" s="581">
        <v>0</v>
      </c>
      <c r="L137" s="422" t="s">
        <v>129</v>
      </c>
      <c r="M137" s="245" t="s">
        <v>129</v>
      </c>
      <c r="N137" s="581">
        <v>0</v>
      </c>
      <c r="O137" s="422" t="s">
        <v>129</v>
      </c>
      <c r="P137" s="245" t="s">
        <v>129</v>
      </c>
      <c r="Q137" s="60">
        <v>5</v>
      </c>
      <c r="S137" s="357"/>
    </row>
    <row r="138" spans="1:19" ht="15" customHeight="1" x14ac:dyDescent="0.25">
      <c r="A138" s="75"/>
      <c r="B138" s="76" t="s">
        <v>345</v>
      </c>
      <c r="C138" s="193">
        <f>SUM(C110:C137)</f>
        <v>469086064.34000003</v>
      </c>
      <c r="D138" s="196">
        <f>SUM(D110:D137)</f>
        <v>466137778.82000005</v>
      </c>
      <c r="E138" s="77">
        <f>SUM(E110:E137)</f>
        <v>391772128.22999996</v>
      </c>
      <c r="F138" s="424">
        <f>+E138/D138</f>
        <v>0.84046422759757367</v>
      </c>
      <c r="G138" s="77">
        <f>SUM(G110:G137)</f>
        <v>363284627.19</v>
      </c>
      <c r="H138" s="424">
        <f t="shared" si="30"/>
        <v>0.77935032021998585</v>
      </c>
      <c r="I138" s="77">
        <f>SUM(I110:I137)</f>
        <v>165447560.19</v>
      </c>
      <c r="J138" s="439">
        <f t="shared" si="31"/>
        <v>0.35493274243684048</v>
      </c>
      <c r="K138" s="606">
        <f>SUM(K110:K137)</f>
        <v>347109486.28000003</v>
      </c>
      <c r="L138" s="424">
        <v>0.72472734500784619</v>
      </c>
      <c r="M138" s="601">
        <f t="shared" si="15"/>
        <v>4.6599535735396547E-2</v>
      </c>
      <c r="N138" s="606">
        <f>SUM(N110:N137)</f>
        <v>180389968.28999999</v>
      </c>
      <c r="O138" s="424">
        <v>0.37663488885291796</v>
      </c>
      <c r="P138" s="601">
        <f>+I138/N138-1</f>
        <v>-8.283391943380225E-2</v>
      </c>
      <c r="S138" s="357"/>
    </row>
    <row r="139" spans="1:19" ht="21" customHeight="1" thickBot="1" x14ac:dyDescent="0.3">
      <c r="A139" s="9"/>
      <c r="B139" s="2" t="s">
        <v>3</v>
      </c>
      <c r="C139" s="162">
        <f>C105+C138</f>
        <v>1089753389.8699999</v>
      </c>
      <c r="D139" s="152">
        <f>D105+D138</f>
        <v>1111746954.0700002</v>
      </c>
      <c r="E139" s="84">
        <f>E105+E138</f>
        <v>906953100.53999996</v>
      </c>
      <c r="F139" s="90">
        <f>+E139/D139</f>
        <v>0.81579094704935384</v>
      </c>
      <c r="G139" s="84">
        <f>G105+G138</f>
        <v>878465599.5</v>
      </c>
      <c r="H139" s="90">
        <f t="shared" si="30"/>
        <v>0.79016685971931</v>
      </c>
      <c r="I139" s="84">
        <f>I105+I138</f>
        <v>397947754.73000002</v>
      </c>
      <c r="J139" s="170">
        <f t="shared" si="31"/>
        <v>0.35794814033278977</v>
      </c>
      <c r="K139" s="568">
        <f>K105+K138</f>
        <v>824403088.19000006</v>
      </c>
      <c r="L139" s="90">
        <v>0.77100798908579815</v>
      </c>
      <c r="M139" s="213">
        <f t="shared" si="15"/>
        <v>6.5577764184139298E-2</v>
      </c>
      <c r="N139" s="568">
        <f>N105+N138</f>
        <v>405712251.41999996</v>
      </c>
      <c r="O139" s="90">
        <v>0.379435001634435</v>
      </c>
      <c r="P139" s="213">
        <f>+I139/N139-1</f>
        <v>-1.9137939913877577E-2</v>
      </c>
      <c r="S139" s="357"/>
    </row>
    <row r="140" spans="1:19" s="6" customFormat="1" ht="19.5" customHeight="1" thickBot="1" x14ac:dyDescent="0.3">
      <c r="A140" s="5"/>
      <c r="B140" s="4" t="s">
        <v>292</v>
      </c>
      <c r="C140" s="163">
        <f>+C11+C61+C65+C139</f>
        <v>2151399911.2599998</v>
      </c>
      <c r="D140" s="154">
        <f>+D11+D61+D65+D139</f>
        <v>2169370739.6700001</v>
      </c>
      <c r="E140" s="155">
        <f>+E11+E61+E65+E139</f>
        <v>1639746855.8899999</v>
      </c>
      <c r="F140" s="181">
        <f t="shared" si="29"/>
        <v>0.75586289881435142</v>
      </c>
      <c r="G140" s="155">
        <f>+G11+G61+G65+G139</f>
        <v>1578095214.4499998</v>
      </c>
      <c r="H140" s="181">
        <f t="shared" si="30"/>
        <v>0.72744376311171977</v>
      </c>
      <c r="I140" s="155">
        <f>+I11+I61+I65+I139</f>
        <v>698040168.48000002</v>
      </c>
      <c r="J140" s="173">
        <f t="shared" si="31"/>
        <v>0.321770804646413</v>
      </c>
      <c r="K140" s="576">
        <f>K139+K65+K61+K11</f>
        <v>1533267405.4200001</v>
      </c>
      <c r="L140" s="181">
        <v>0.70861150342561585</v>
      </c>
      <c r="M140" s="607">
        <f t="shared" si="15"/>
        <v>2.923678470665747E-2</v>
      </c>
      <c r="N140" s="576">
        <f>N139+N65+N61+N11</f>
        <v>735837742.90999997</v>
      </c>
      <c r="O140" s="181">
        <v>0.34007315843118452</v>
      </c>
      <c r="P140" s="607">
        <f>+I140/N140-1</f>
        <v>-5.1366724246194262E-2</v>
      </c>
      <c r="Q140" s="14"/>
      <c r="S140" s="359"/>
    </row>
    <row r="141" spans="1:19" x14ac:dyDescent="0.25">
      <c r="S141" s="358"/>
    </row>
    <row r="142" spans="1:19" x14ac:dyDescent="0.25">
      <c r="S142" s="358"/>
    </row>
    <row r="143" spans="1:19" x14ac:dyDescent="0.25">
      <c r="B143" s="477"/>
      <c r="S143" s="358"/>
    </row>
    <row r="144" spans="1:19" x14ac:dyDescent="0.25">
      <c r="B144" s="478"/>
      <c r="D144" s="350"/>
      <c r="E144" s="350"/>
      <c r="F144" s="425"/>
      <c r="G144" s="350"/>
      <c r="H144" s="425"/>
      <c r="I144" s="350"/>
      <c r="J144" s="425"/>
      <c r="K144" s="425"/>
      <c r="L144" s="425"/>
      <c r="M144" s="425"/>
      <c r="N144" s="350"/>
      <c r="S144" s="357"/>
    </row>
    <row r="145" spans="2:19" x14ac:dyDescent="0.25">
      <c r="B145" s="479"/>
      <c r="D145" s="46"/>
      <c r="S145" s="358"/>
    </row>
    <row r="146" spans="2:19" x14ac:dyDescent="0.25">
      <c r="B146" s="254"/>
      <c r="I146" s="351"/>
      <c r="N146" s="351"/>
      <c r="S146" s="358"/>
    </row>
    <row r="147" spans="2:19" x14ac:dyDescent="0.25">
      <c r="B147" s="480"/>
      <c r="S147" s="358"/>
    </row>
    <row r="148" spans="2:19" x14ac:dyDescent="0.25">
      <c r="B148" s="254"/>
      <c r="C148" s="254"/>
      <c r="S148" s="358"/>
    </row>
    <row r="149" spans="2:19" x14ac:dyDescent="0.25">
      <c r="S149" s="358"/>
    </row>
    <row r="150" spans="2:19" x14ac:dyDescent="0.25">
      <c r="B150" s="254"/>
      <c r="C150" s="254"/>
      <c r="S150" s="358"/>
    </row>
    <row r="151" spans="2:19" x14ac:dyDescent="0.25">
      <c r="S151" s="358"/>
    </row>
    <row r="152" spans="2:19" x14ac:dyDescent="0.25">
      <c r="C152" s="46"/>
      <c r="D152" s="342"/>
      <c r="S152" s="358"/>
    </row>
    <row r="153" spans="2:19" x14ac:dyDescent="0.25">
      <c r="S153" s="358"/>
    </row>
    <row r="154" spans="2:19" x14ac:dyDescent="0.25">
      <c r="S154" s="358"/>
    </row>
    <row r="155" spans="2:19" x14ac:dyDescent="0.25">
      <c r="S155" s="357"/>
    </row>
    <row r="156" spans="2:19" x14ac:dyDescent="0.25">
      <c r="S156" s="357"/>
    </row>
    <row r="157" spans="2:19" x14ac:dyDescent="0.25">
      <c r="S157" s="357"/>
    </row>
    <row r="158" spans="2:19" x14ac:dyDescent="0.25">
      <c r="S158" s="357"/>
    </row>
    <row r="159" spans="2:19" x14ac:dyDescent="0.25">
      <c r="S159" s="357"/>
    </row>
    <row r="160" spans="2:19" x14ac:dyDescent="0.25">
      <c r="S160" s="358"/>
    </row>
    <row r="161" spans="19:19" x14ac:dyDescent="0.25">
      <c r="S161" s="358"/>
    </row>
    <row r="162" spans="19:19" x14ac:dyDescent="0.25">
      <c r="S162" s="358"/>
    </row>
    <row r="163" spans="19:19" x14ac:dyDescent="0.25">
      <c r="S163" s="358"/>
    </row>
    <row r="164" spans="19:19" x14ac:dyDescent="0.25">
      <c r="S164" s="358"/>
    </row>
    <row r="165" spans="19:19" x14ac:dyDescent="0.25">
      <c r="S165" s="357"/>
    </row>
    <row r="166" spans="19:19" x14ac:dyDescent="0.25">
      <c r="S166" s="357"/>
    </row>
    <row r="167" spans="19:19" x14ac:dyDescent="0.25">
      <c r="S167" s="358"/>
    </row>
    <row r="168" spans="19:19" x14ac:dyDescent="0.25">
      <c r="S168" s="357"/>
    </row>
    <row r="169" spans="19:19" x14ac:dyDescent="0.25">
      <c r="S169" s="358"/>
    </row>
    <row r="170" spans="19:19" x14ac:dyDescent="0.25">
      <c r="S170" s="357"/>
    </row>
    <row r="171" spans="19:19" x14ac:dyDescent="0.25">
      <c r="S171" s="358"/>
    </row>
    <row r="172" spans="19:19" x14ac:dyDescent="0.25">
      <c r="S172" s="358"/>
    </row>
    <row r="173" spans="19:19" x14ac:dyDescent="0.25">
      <c r="S173" s="358"/>
    </row>
    <row r="174" spans="19:19" x14ac:dyDescent="0.25">
      <c r="S174" s="357"/>
    </row>
    <row r="175" spans="19:19" x14ac:dyDescent="0.25">
      <c r="S175" s="358"/>
    </row>
    <row r="176" spans="19:19" x14ac:dyDescent="0.25">
      <c r="S176" s="358"/>
    </row>
    <row r="177" spans="19:19" x14ac:dyDescent="0.25">
      <c r="S177" s="358"/>
    </row>
    <row r="178" spans="19:19" x14ac:dyDescent="0.25">
      <c r="S178" s="358"/>
    </row>
    <row r="179" spans="19:19" x14ac:dyDescent="0.25">
      <c r="S179" s="358"/>
    </row>
    <row r="180" spans="19:19" x14ac:dyDescent="0.25">
      <c r="S180" s="358"/>
    </row>
    <row r="181" spans="19:19" x14ac:dyDescent="0.25">
      <c r="S181" s="358"/>
    </row>
    <row r="182" spans="19:19" x14ac:dyDescent="0.25">
      <c r="S182" s="358"/>
    </row>
    <row r="183" spans="19:19" x14ac:dyDescent="0.25">
      <c r="S183" s="358"/>
    </row>
    <row r="184" spans="19:19" x14ac:dyDescent="0.25">
      <c r="S184" s="358"/>
    </row>
    <row r="185" spans="19:19" x14ac:dyDescent="0.25">
      <c r="S185" s="358"/>
    </row>
    <row r="186" spans="19:19" x14ac:dyDescent="0.25">
      <c r="S186" s="358"/>
    </row>
    <row r="187" spans="19:19" x14ac:dyDescent="0.25">
      <c r="S187" s="358"/>
    </row>
    <row r="188" spans="19:19" x14ac:dyDescent="0.25">
      <c r="S188" s="358"/>
    </row>
    <row r="189" spans="19:19" x14ac:dyDescent="0.25">
      <c r="S189" s="358"/>
    </row>
    <row r="190" spans="19:19" x14ac:dyDescent="0.25">
      <c r="S190" s="358"/>
    </row>
    <row r="191" spans="19:19" x14ac:dyDescent="0.25">
      <c r="S191" s="357"/>
    </row>
    <row r="192" spans="19:19" x14ac:dyDescent="0.25">
      <c r="S192" s="358"/>
    </row>
    <row r="193" spans="19:19" x14ac:dyDescent="0.25">
      <c r="S193" s="358"/>
    </row>
    <row r="194" spans="19:19" x14ac:dyDescent="0.25">
      <c r="S194" s="358"/>
    </row>
    <row r="195" spans="19:19" x14ac:dyDescent="0.25">
      <c r="S195" s="358"/>
    </row>
    <row r="196" spans="19:19" x14ac:dyDescent="0.25">
      <c r="S196" s="358"/>
    </row>
    <row r="197" spans="19:19" x14ac:dyDescent="0.25">
      <c r="S197" s="358"/>
    </row>
    <row r="198" spans="19:19" x14ac:dyDescent="0.25">
      <c r="S198" s="358"/>
    </row>
    <row r="199" spans="19:19" x14ac:dyDescent="0.25">
      <c r="S199" s="358"/>
    </row>
    <row r="200" spans="19:19" x14ac:dyDescent="0.25">
      <c r="S200" s="358"/>
    </row>
    <row r="201" spans="19:19" x14ac:dyDescent="0.25">
      <c r="S201" s="358"/>
    </row>
    <row r="202" spans="19:19" x14ac:dyDescent="0.25">
      <c r="S202" s="358"/>
    </row>
    <row r="203" spans="19:19" x14ac:dyDescent="0.25">
      <c r="S203" s="358"/>
    </row>
    <row r="204" spans="19:19" x14ac:dyDescent="0.25">
      <c r="S204" s="358"/>
    </row>
    <row r="205" spans="19:19" x14ac:dyDescent="0.25">
      <c r="S205" s="358"/>
    </row>
    <row r="206" spans="19:19" x14ac:dyDescent="0.25">
      <c r="S206" s="358"/>
    </row>
    <row r="207" spans="19:19" x14ac:dyDescent="0.25">
      <c r="S207" s="358"/>
    </row>
    <row r="208" spans="19:19" x14ac:dyDescent="0.25">
      <c r="S208" s="358"/>
    </row>
    <row r="209" spans="19:19" x14ac:dyDescent="0.25">
      <c r="S209" s="358"/>
    </row>
    <row r="210" spans="19:19" x14ac:dyDescent="0.25">
      <c r="S210" s="358"/>
    </row>
    <row r="211" spans="19:19" x14ac:dyDescent="0.25">
      <c r="S211" s="358"/>
    </row>
    <row r="212" spans="19:19" x14ac:dyDescent="0.25">
      <c r="S212" s="358"/>
    </row>
    <row r="213" spans="19:19" x14ac:dyDescent="0.25">
      <c r="S213" s="357"/>
    </row>
    <row r="214" spans="19:19" x14ac:dyDescent="0.25">
      <c r="S214" s="357"/>
    </row>
    <row r="215" spans="19:19" x14ac:dyDescent="0.25">
      <c r="S215" s="357"/>
    </row>
    <row r="216" spans="19:19" x14ac:dyDescent="0.25">
      <c r="S216" s="358"/>
    </row>
    <row r="217" spans="19:19" x14ac:dyDescent="0.25">
      <c r="S217" s="358"/>
    </row>
    <row r="218" spans="19:19" x14ac:dyDescent="0.25">
      <c r="S218" s="358"/>
    </row>
    <row r="219" spans="19:19" x14ac:dyDescent="0.25">
      <c r="S219" s="358"/>
    </row>
    <row r="220" spans="19:19" x14ac:dyDescent="0.25">
      <c r="S220" s="358"/>
    </row>
    <row r="221" spans="19:19" x14ac:dyDescent="0.25">
      <c r="S221" s="358"/>
    </row>
    <row r="222" spans="19:19" x14ac:dyDescent="0.25">
      <c r="S222" s="358"/>
    </row>
    <row r="223" spans="19:19" x14ac:dyDescent="0.25">
      <c r="S223" s="357"/>
    </row>
    <row r="224" spans="19:19" x14ac:dyDescent="0.25">
      <c r="S224" s="357"/>
    </row>
    <row r="225" spans="19:19" x14ac:dyDescent="0.25">
      <c r="S225" s="357"/>
    </row>
    <row r="226" spans="19:19" x14ac:dyDescent="0.25">
      <c r="S226" s="358"/>
    </row>
    <row r="227" spans="19:19" x14ac:dyDescent="0.25">
      <c r="S227" s="358"/>
    </row>
  </sheetData>
  <sortState ref="B16:Q18">
    <sortCondition ref="Q16:Q18"/>
  </sortState>
  <mergeCells count="8">
    <mergeCell ref="D107:J107"/>
    <mergeCell ref="K107:P107"/>
    <mergeCell ref="D2:J2"/>
    <mergeCell ref="D68:J68"/>
    <mergeCell ref="K2:P2"/>
    <mergeCell ref="K68:P68"/>
    <mergeCell ref="D44:J44"/>
    <mergeCell ref="K44:P44"/>
  </mergeCells>
  <hyperlinks>
    <hyperlink ref="B9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rowBreaks count="3" manualBreakCount="3">
    <brk id="42" max="15" man="1"/>
    <brk id="66" max="15" man="1"/>
    <brk id="10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132"/>
  <sheetViews>
    <sheetView zoomScale="85" zoomScaleNormal="85" workbookViewId="0">
      <selection activeCell="K34" sqref="K34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97" customWidth="1"/>
    <col min="7" max="7" width="12.33203125" customWidth="1"/>
    <col min="8" max="8" width="8.109375" style="97" customWidth="1"/>
    <col min="9" max="9" width="12.5546875" customWidth="1"/>
    <col min="10" max="10" width="8.44140625" style="97" customWidth="1"/>
    <col min="11" max="11" width="11.109375" customWidth="1"/>
    <col min="12" max="12" width="6.33203125" style="97" bestFit="1" customWidth="1"/>
    <col min="13" max="13" width="6.88671875" style="97" bestFit="1" customWidth="1"/>
    <col min="14" max="14" width="15.44140625" style="60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233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58"/>
    </row>
    <row r="56" spans="3:16" x14ac:dyDescent="0.25">
      <c r="P56" s="358"/>
    </row>
    <row r="57" spans="3:16" x14ac:dyDescent="0.25">
      <c r="C57" s="46"/>
      <c r="D57" s="342"/>
      <c r="P57" s="358"/>
    </row>
    <row r="58" spans="3:16" x14ac:dyDescent="0.25">
      <c r="P58" s="358"/>
    </row>
    <row r="59" spans="3:16" x14ac:dyDescent="0.25">
      <c r="P59" s="358"/>
    </row>
    <row r="60" spans="3:16" x14ac:dyDescent="0.25">
      <c r="P60" s="357"/>
    </row>
    <row r="61" spans="3:16" x14ac:dyDescent="0.25">
      <c r="P61" s="357"/>
    </row>
    <row r="62" spans="3:16" x14ac:dyDescent="0.25">
      <c r="P62" s="357"/>
    </row>
    <row r="63" spans="3:16" x14ac:dyDescent="0.25">
      <c r="P63" s="357"/>
    </row>
    <row r="64" spans="3:16" x14ac:dyDescent="0.25">
      <c r="P64" s="357"/>
    </row>
    <row r="65" spans="16:16" customFormat="1" x14ac:dyDescent="0.25">
      <c r="P65" s="358"/>
    </row>
    <row r="66" spans="16:16" customFormat="1" x14ac:dyDescent="0.25">
      <c r="P66" s="358"/>
    </row>
    <row r="67" spans="16:16" customFormat="1" x14ac:dyDescent="0.25">
      <c r="P67" s="358"/>
    </row>
    <row r="68" spans="16:16" customFormat="1" x14ac:dyDescent="0.25">
      <c r="P68" s="358"/>
    </row>
    <row r="69" spans="16:16" customFormat="1" x14ac:dyDescent="0.25">
      <c r="P69" s="358"/>
    </row>
    <row r="70" spans="16:16" customFormat="1" x14ac:dyDescent="0.25">
      <c r="P70" s="357"/>
    </row>
    <row r="71" spans="16:16" customFormat="1" x14ac:dyDescent="0.25">
      <c r="P71" s="357"/>
    </row>
    <row r="72" spans="16:16" customFormat="1" x14ac:dyDescent="0.25">
      <c r="P72" s="358"/>
    </row>
    <row r="73" spans="16:16" customFormat="1" x14ac:dyDescent="0.25">
      <c r="P73" s="357"/>
    </row>
    <row r="74" spans="16:16" customFormat="1" x14ac:dyDescent="0.25">
      <c r="P74" s="358"/>
    </row>
    <row r="75" spans="16:16" customFormat="1" x14ac:dyDescent="0.25">
      <c r="P75" s="357"/>
    </row>
    <row r="76" spans="16:16" customFormat="1" x14ac:dyDescent="0.25">
      <c r="P76" s="358"/>
    </row>
    <row r="77" spans="16:16" customFormat="1" x14ac:dyDescent="0.25">
      <c r="P77" s="358"/>
    </row>
    <row r="78" spans="16:16" customFormat="1" x14ac:dyDescent="0.25">
      <c r="P78" s="358"/>
    </row>
    <row r="79" spans="16:16" customFormat="1" x14ac:dyDescent="0.25">
      <c r="P79" s="357"/>
    </row>
    <row r="80" spans="16:16" customFormat="1" x14ac:dyDescent="0.25">
      <c r="P80" s="358"/>
    </row>
    <row r="81" spans="16:16" customFormat="1" x14ac:dyDescent="0.25">
      <c r="P81" s="358"/>
    </row>
    <row r="82" spans="16:16" customFormat="1" x14ac:dyDescent="0.25">
      <c r="P82" s="358"/>
    </row>
    <row r="83" spans="16:16" customFormat="1" x14ac:dyDescent="0.25">
      <c r="P83" s="358"/>
    </row>
    <row r="84" spans="16:16" customFormat="1" x14ac:dyDescent="0.25">
      <c r="P84" s="358"/>
    </row>
    <row r="85" spans="16:16" customFormat="1" x14ac:dyDescent="0.25">
      <c r="P85" s="358"/>
    </row>
    <row r="86" spans="16:16" customFormat="1" x14ac:dyDescent="0.25">
      <c r="P86" s="358"/>
    </row>
    <row r="87" spans="16:16" customFormat="1" x14ac:dyDescent="0.25">
      <c r="P87" s="358"/>
    </row>
    <row r="88" spans="16:16" customFormat="1" x14ac:dyDescent="0.25">
      <c r="P88" s="358"/>
    </row>
    <row r="89" spans="16:16" customFormat="1" x14ac:dyDescent="0.25">
      <c r="P89" s="358"/>
    </row>
    <row r="90" spans="16:16" customFormat="1" x14ac:dyDescent="0.25">
      <c r="P90" s="358"/>
    </row>
    <row r="91" spans="16:16" customFormat="1" x14ac:dyDescent="0.25">
      <c r="P91" s="358"/>
    </row>
    <row r="92" spans="16:16" customFormat="1" x14ac:dyDescent="0.25">
      <c r="P92" s="358"/>
    </row>
    <row r="93" spans="16:16" customFormat="1" x14ac:dyDescent="0.25">
      <c r="P93" s="358"/>
    </row>
    <row r="94" spans="16:16" customFormat="1" x14ac:dyDescent="0.25">
      <c r="P94" s="358"/>
    </row>
    <row r="95" spans="16:16" customFormat="1" x14ac:dyDescent="0.25">
      <c r="P95" s="358"/>
    </row>
    <row r="96" spans="16:16" customFormat="1" x14ac:dyDescent="0.25">
      <c r="P96" s="357"/>
    </row>
    <row r="97" spans="16:16" customFormat="1" x14ac:dyDescent="0.25">
      <c r="P97" s="358"/>
    </row>
    <row r="98" spans="16:16" customFormat="1" x14ac:dyDescent="0.25">
      <c r="P98" s="358"/>
    </row>
    <row r="99" spans="16:16" customFormat="1" x14ac:dyDescent="0.25">
      <c r="P99" s="358"/>
    </row>
    <row r="100" spans="16:16" customFormat="1" x14ac:dyDescent="0.25">
      <c r="P100" s="358"/>
    </row>
    <row r="101" spans="16:16" customFormat="1" x14ac:dyDescent="0.25">
      <c r="P101" s="358"/>
    </row>
    <row r="102" spans="16:16" customFormat="1" x14ac:dyDescent="0.25">
      <c r="P102" s="358"/>
    </row>
    <row r="103" spans="16:16" customFormat="1" x14ac:dyDescent="0.25">
      <c r="P103" s="358"/>
    </row>
    <row r="104" spans="16:16" customFormat="1" x14ac:dyDescent="0.25">
      <c r="P104" s="358"/>
    </row>
    <row r="105" spans="16:16" customFormat="1" x14ac:dyDescent="0.25">
      <c r="P105" s="358"/>
    </row>
    <row r="106" spans="16:16" customFormat="1" x14ac:dyDescent="0.25">
      <c r="P106" s="358"/>
    </row>
    <row r="107" spans="16:16" customFormat="1" x14ac:dyDescent="0.25">
      <c r="P107" s="358"/>
    </row>
    <row r="108" spans="16:16" customFormat="1" x14ac:dyDescent="0.25">
      <c r="P108" s="358"/>
    </row>
    <row r="109" spans="16:16" customFormat="1" x14ac:dyDescent="0.25">
      <c r="P109" s="358"/>
    </row>
    <row r="110" spans="16:16" customFormat="1" x14ac:dyDescent="0.25">
      <c r="P110" s="358"/>
    </row>
    <row r="111" spans="16:16" customFormat="1" x14ac:dyDescent="0.25">
      <c r="P111" s="358"/>
    </row>
    <row r="112" spans="16:16" customFormat="1" x14ac:dyDescent="0.25">
      <c r="P112" s="358"/>
    </row>
    <row r="113" spans="16:16" customFormat="1" x14ac:dyDescent="0.25">
      <c r="P113" s="358"/>
    </row>
    <row r="114" spans="16:16" customFormat="1" x14ac:dyDescent="0.25">
      <c r="P114" s="358"/>
    </row>
    <row r="115" spans="16:16" customFormat="1" x14ac:dyDescent="0.25">
      <c r="P115" s="358"/>
    </row>
    <row r="116" spans="16:16" customFormat="1" x14ac:dyDescent="0.25">
      <c r="P116" s="358"/>
    </row>
    <row r="117" spans="16:16" customFormat="1" x14ac:dyDescent="0.25">
      <c r="P117" s="358"/>
    </row>
    <row r="118" spans="16:16" customFormat="1" x14ac:dyDescent="0.25">
      <c r="P118" s="357"/>
    </row>
    <row r="119" spans="16:16" customFormat="1" x14ac:dyDescent="0.25">
      <c r="P119" s="357"/>
    </row>
    <row r="120" spans="16:16" customFormat="1" x14ac:dyDescent="0.25">
      <c r="P120" s="357"/>
    </row>
    <row r="121" spans="16:16" customFormat="1" x14ac:dyDescent="0.25">
      <c r="P121" s="358"/>
    </row>
    <row r="122" spans="16:16" customFormat="1" x14ac:dyDescent="0.25">
      <c r="P122" s="358"/>
    </row>
    <row r="123" spans="16:16" customFormat="1" x14ac:dyDescent="0.25">
      <c r="P123" s="358"/>
    </row>
    <row r="124" spans="16:16" customFormat="1" x14ac:dyDescent="0.25">
      <c r="P124" s="358"/>
    </row>
    <row r="125" spans="16:16" customFormat="1" x14ac:dyDescent="0.25">
      <c r="P125" s="358"/>
    </row>
    <row r="126" spans="16:16" customFormat="1" x14ac:dyDescent="0.25">
      <c r="P126" s="358"/>
    </row>
    <row r="127" spans="16:16" customFormat="1" x14ac:dyDescent="0.25">
      <c r="P127" s="358"/>
    </row>
    <row r="128" spans="16:16" customFormat="1" x14ac:dyDescent="0.25">
      <c r="P128" s="357"/>
    </row>
    <row r="129" spans="16:16" customFormat="1" x14ac:dyDescent="0.25">
      <c r="P129" s="357"/>
    </row>
    <row r="130" spans="16:16" customFormat="1" x14ac:dyDescent="0.25">
      <c r="P130" s="357"/>
    </row>
    <row r="131" spans="16:16" customFormat="1" x14ac:dyDescent="0.25">
      <c r="P131" s="358"/>
    </row>
    <row r="132" spans="16:16" customFormat="1" x14ac:dyDescent="0.25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U303"/>
  <sheetViews>
    <sheetView topLeftCell="A190" zoomScaleNormal="100" workbookViewId="0">
      <pane xSplit="1" topLeftCell="B1" activePane="topRight" state="frozen"/>
      <selection activeCell="N21" sqref="N21"/>
      <selection pane="topRight" activeCell="G217" sqref="G217"/>
    </sheetView>
  </sheetViews>
  <sheetFormatPr defaultColWidth="11.44140625" defaultRowHeight="13.2" x14ac:dyDescent="0.25"/>
  <cols>
    <col min="1" max="1" width="6.88671875" customWidth="1"/>
    <col min="2" max="2" width="43.6640625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5">
      <c r="A2" s="8" t="s">
        <v>533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4"/>
      <c r="R2"/>
    </row>
    <row r="3" spans="1:19" ht="12.75" customHeight="1" x14ac:dyDescent="0.25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13" t="s">
        <v>764</v>
      </c>
      <c r="N4" s="564" t="s">
        <v>17</v>
      </c>
      <c r="O4" s="89" t="s">
        <v>18</v>
      </c>
      <c r="P4" s="648" t="s">
        <v>764</v>
      </c>
      <c r="R4"/>
    </row>
    <row r="5" spans="1:19" ht="14.1" customHeight="1" x14ac:dyDescent="0.25">
      <c r="A5" s="17" t="s">
        <v>53</v>
      </c>
      <c r="B5" s="13" t="s">
        <v>96</v>
      </c>
      <c r="C5" s="530">
        <v>155185000</v>
      </c>
      <c r="D5" s="516">
        <v>155185000</v>
      </c>
      <c r="E5" s="180">
        <v>41939870.039999999</v>
      </c>
      <c r="F5" s="78">
        <f t="shared" ref="F5:F33" si="0">+E5/D5</f>
        <v>0.27025724161484677</v>
      </c>
      <c r="G5" s="180">
        <v>41939870.039999999</v>
      </c>
      <c r="H5" s="78">
        <f t="shared" ref="H5:H32" si="1">+G5/D5</f>
        <v>0.27025724161484677</v>
      </c>
      <c r="I5" s="180">
        <v>41939870.039999999</v>
      </c>
      <c r="J5" s="172">
        <f t="shared" ref="J5:J32" si="2">+I5/D5</f>
        <v>0.27025724161484677</v>
      </c>
      <c r="K5" s="649">
        <v>153129158.31</v>
      </c>
      <c r="L5" s="78">
        <v>0.81464631675926258</v>
      </c>
      <c r="M5" s="245">
        <f>+G5/K5-1</f>
        <v>-0.72611440888941958</v>
      </c>
      <c r="N5" s="614">
        <v>153129158.31</v>
      </c>
      <c r="O5" s="78">
        <v>0.81464631675926258</v>
      </c>
      <c r="P5" s="172">
        <f>+I5/N5-1</f>
        <v>-0.72611440888941958</v>
      </c>
      <c r="R5"/>
    </row>
    <row r="6" spans="1:19" ht="14.1" customHeight="1" x14ac:dyDescent="0.25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41939870.039999999</v>
      </c>
      <c r="F6" s="90">
        <f t="shared" si="0"/>
        <v>0.27025724161484677</v>
      </c>
      <c r="G6" s="203">
        <f>SUBTOTAL(9,G5:G5)</f>
        <v>41939870.039999999</v>
      </c>
      <c r="H6" s="90">
        <f t="shared" si="1"/>
        <v>0.27025724161484677</v>
      </c>
      <c r="I6" s="203">
        <f>SUBTOTAL(9,I5:I5)</f>
        <v>41939870.039999999</v>
      </c>
      <c r="J6" s="170">
        <f t="shared" si="2"/>
        <v>0.27025724161484677</v>
      </c>
      <c r="K6" s="152">
        <f>SUBTOTAL(9,K5:K5)</f>
        <v>153129158.31</v>
      </c>
      <c r="L6" s="90">
        <v>0.81464631675926258</v>
      </c>
      <c r="M6" s="213">
        <f>+G6/K6-1</f>
        <v>-0.72611440888941958</v>
      </c>
      <c r="N6" s="568">
        <f>SUBTOTAL(9,N5:N5)</f>
        <v>153129158.31</v>
      </c>
      <c r="O6" s="90">
        <v>0.81464631675926258</v>
      </c>
      <c r="P6" s="170">
        <f>+I6/N6-1</f>
        <v>-0.72611440888941958</v>
      </c>
      <c r="R6"/>
    </row>
    <row r="7" spans="1:19" ht="14.1" customHeight="1" x14ac:dyDescent="0.25">
      <c r="A7" s="37" t="s">
        <v>54</v>
      </c>
      <c r="B7" s="38" t="s">
        <v>549</v>
      </c>
      <c r="C7" s="198">
        <v>8321253.9400000004</v>
      </c>
      <c r="D7" s="204">
        <v>20613543.629999999</v>
      </c>
      <c r="E7" s="30">
        <v>4698042.37</v>
      </c>
      <c r="F7" s="48">
        <f t="shared" si="0"/>
        <v>0.22791046771612264</v>
      </c>
      <c r="G7" s="30">
        <v>4221469.2</v>
      </c>
      <c r="H7" s="48">
        <f t="shared" si="1"/>
        <v>0.20479104785536578</v>
      </c>
      <c r="I7" s="30">
        <v>3504326.39</v>
      </c>
      <c r="J7" s="153">
        <f t="shared" si="2"/>
        <v>0.17000116296840712</v>
      </c>
      <c r="K7" s="650">
        <v>4609081.28</v>
      </c>
      <c r="L7" s="48">
        <v>0.44915667395472647</v>
      </c>
      <c r="M7" s="210">
        <f>+G7/K7-1</f>
        <v>-8.4097471155900272E-2</v>
      </c>
      <c r="N7" s="615">
        <v>4037335.79</v>
      </c>
      <c r="O7" s="48">
        <v>0.39343986467402409</v>
      </c>
      <c r="P7" s="153">
        <f>+I7/N7-1</f>
        <v>-0.13202008149042266</v>
      </c>
    </row>
    <row r="8" spans="1:19" ht="14.1" customHeight="1" x14ac:dyDescent="0.25">
      <c r="A8" s="39" t="s">
        <v>55</v>
      </c>
      <c r="B8" s="40" t="s">
        <v>106</v>
      </c>
      <c r="C8" s="199">
        <v>169539288.22</v>
      </c>
      <c r="D8" s="205">
        <v>169959460.25999999</v>
      </c>
      <c r="E8" s="32">
        <v>74484944.879999995</v>
      </c>
      <c r="F8" s="280">
        <f t="shared" si="0"/>
        <v>0.43825124394990828</v>
      </c>
      <c r="G8" s="32">
        <v>73641981.379999995</v>
      </c>
      <c r="H8" s="280">
        <f t="shared" si="1"/>
        <v>0.43329145236954875</v>
      </c>
      <c r="I8" s="32">
        <v>68242233.310000002</v>
      </c>
      <c r="J8" s="178">
        <f t="shared" si="2"/>
        <v>0.40152065207552812</v>
      </c>
      <c r="K8" s="651">
        <v>91503825.549999997</v>
      </c>
      <c r="L8" s="280">
        <v>0.46970938583386102</v>
      </c>
      <c r="M8" s="443">
        <f>+G8/K8-1</f>
        <v>-0.1952032503847595</v>
      </c>
      <c r="N8" s="616">
        <v>85747669.890000001</v>
      </c>
      <c r="O8" s="280">
        <v>0.44016176502597121</v>
      </c>
      <c r="P8" s="427">
        <f>+I8/N8-1</f>
        <v>-0.20415058044675227</v>
      </c>
      <c r="Q8" s="53" t="s">
        <v>148</v>
      </c>
    </row>
    <row r="9" spans="1:19" ht="14.1" customHeight="1" x14ac:dyDescent="0.25">
      <c r="A9" s="39" t="s">
        <v>56</v>
      </c>
      <c r="B9" s="40" t="s">
        <v>122</v>
      </c>
      <c r="C9" s="199">
        <v>60818645.530000001</v>
      </c>
      <c r="D9" s="205">
        <v>58474136.530000001</v>
      </c>
      <c r="E9" s="32">
        <v>1723929.09</v>
      </c>
      <c r="F9" s="280">
        <f t="shared" si="0"/>
        <v>2.9481907597139853E-2</v>
      </c>
      <c r="G9" s="32">
        <v>1441623.45</v>
      </c>
      <c r="H9" s="280">
        <f t="shared" si="1"/>
        <v>2.4654035707913E-2</v>
      </c>
      <c r="I9" s="32">
        <v>304473.05</v>
      </c>
      <c r="J9" s="178">
        <f t="shared" si="2"/>
        <v>5.2069695778028443E-3</v>
      </c>
      <c r="K9" s="651">
        <v>0</v>
      </c>
      <c r="L9" s="280">
        <v>0</v>
      </c>
      <c r="M9" s="224" t="s">
        <v>129</v>
      </c>
      <c r="N9" s="616">
        <v>0</v>
      </c>
      <c r="O9" s="280">
        <v>0</v>
      </c>
      <c r="P9" s="348" t="s">
        <v>129</v>
      </c>
      <c r="R9" s="276"/>
    </row>
    <row r="10" spans="1:19" ht="14.1" customHeight="1" x14ac:dyDescent="0.25">
      <c r="A10" s="39">
        <v>134</v>
      </c>
      <c r="B10" s="40" t="s">
        <v>468</v>
      </c>
      <c r="C10" s="199">
        <v>14713359.07</v>
      </c>
      <c r="D10" s="205">
        <v>14962406.300000001</v>
      </c>
      <c r="E10" s="32">
        <v>12634247.789999999</v>
      </c>
      <c r="F10" s="280">
        <f t="shared" si="0"/>
        <v>0.8443994593302816</v>
      </c>
      <c r="G10" s="32">
        <v>12285977.99</v>
      </c>
      <c r="H10" s="280">
        <f t="shared" si="1"/>
        <v>0.82112313645700152</v>
      </c>
      <c r="I10" s="32">
        <v>3418388.29</v>
      </c>
      <c r="J10" s="178">
        <f t="shared" si="2"/>
        <v>0.2284651426689302</v>
      </c>
      <c r="K10" s="651">
        <v>13194195.15</v>
      </c>
      <c r="L10" s="280">
        <v>0.57489254318630412</v>
      </c>
      <c r="M10" s="210">
        <f t="shared" ref="M10:M20" si="3">+G10/K10-1</f>
        <v>-6.8834601101075865E-2</v>
      </c>
      <c r="N10" s="616">
        <v>3054538.03</v>
      </c>
      <c r="O10" s="280">
        <v>0.13309119020617055</v>
      </c>
      <c r="P10" s="153">
        <f t="shared" ref="P10:P20" si="4">+I10/N10-1</f>
        <v>0.11911793417743111</v>
      </c>
      <c r="R10" s="276"/>
    </row>
    <row r="11" spans="1:19" ht="14.1" customHeight="1" x14ac:dyDescent="0.25">
      <c r="A11" s="39" t="s">
        <v>57</v>
      </c>
      <c r="B11" s="40" t="s">
        <v>475</v>
      </c>
      <c r="C11" s="199">
        <v>431130.98</v>
      </c>
      <c r="D11" s="205">
        <v>325576.23</v>
      </c>
      <c r="E11" s="32">
        <v>125508.4</v>
      </c>
      <c r="F11" s="280">
        <f t="shared" si="0"/>
        <v>0.38549620161152426</v>
      </c>
      <c r="G11" s="32">
        <v>125508.4</v>
      </c>
      <c r="H11" s="280">
        <f t="shared" si="1"/>
        <v>0.38549620161152426</v>
      </c>
      <c r="I11" s="32">
        <v>125508.4</v>
      </c>
      <c r="J11" s="178">
        <f t="shared" si="2"/>
        <v>0.38549620161152426</v>
      </c>
      <c r="K11" s="651">
        <v>209828.3</v>
      </c>
      <c r="L11" s="280">
        <v>0.49625042082769222</v>
      </c>
      <c r="M11" s="210">
        <f t="shared" si="3"/>
        <v>-0.40185189509708652</v>
      </c>
      <c r="N11" s="616">
        <v>209828.3</v>
      </c>
      <c r="O11" s="280">
        <v>0.49625042082769222</v>
      </c>
      <c r="P11" s="153">
        <f t="shared" si="4"/>
        <v>-0.40185189509708652</v>
      </c>
      <c r="R11" s="275"/>
    </row>
    <row r="12" spans="1:19" ht="14.1" customHeight="1" x14ac:dyDescent="0.25">
      <c r="A12" s="39">
        <v>136</v>
      </c>
      <c r="B12" s="40" t="s">
        <v>741</v>
      </c>
      <c r="C12" s="199">
        <v>41868192.539999999</v>
      </c>
      <c r="D12" s="205">
        <v>42541740.880000003</v>
      </c>
      <c r="E12" s="32">
        <v>19662323.050000001</v>
      </c>
      <c r="F12" s="280">
        <f t="shared" si="0"/>
        <v>0.46218896178843916</v>
      </c>
      <c r="G12" s="32">
        <v>19165484.82</v>
      </c>
      <c r="H12" s="280">
        <f t="shared" si="1"/>
        <v>0.45051012073204089</v>
      </c>
      <c r="I12" s="32">
        <v>16609084.050000001</v>
      </c>
      <c r="J12" s="178">
        <f t="shared" si="2"/>
        <v>0.39041853263246146</v>
      </c>
      <c r="K12" s="651">
        <v>22613009.859999999</v>
      </c>
      <c r="L12" s="280">
        <v>0.4805965633166619</v>
      </c>
      <c r="M12" s="211">
        <f t="shared" si="3"/>
        <v>-0.1524575923923468</v>
      </c>
      <c r="N12" s="616">
        <v>20277583.620000001</v>
      </c>
      <c r="O12" s="280">
        <v>0.43096151553786294</v>
      </c>
      <c r="P12" s="178">
        <f t="shared" si="4"/>
        <v>-0.180914039796227</v>
      </c>
      <c r="R12" s="275"/>
    </row>
    <row r="13" spans="1:19" ht="14.1" customHeight="1" x14ac:dyDescent="0.25">
      <c r="A13" s="39" t="s">
        <v>58</v>
      </c>
      <c r="B13" s="40" t="s">
        <v>742</v>
      </c>
      <c r="C13" s="199">
        <v>27281948.489999998</v>
      </c>
      <c r="D13" s="205">
        <v>30425356.690000001</v>
      </c>
      <c r="E13" s="32">
        <v>16771594.310000001</v>
      </c>
      <c r="F13" s="280">
        <f t="shared" si="0"/>
        <v>0.55123739323366339</v>
      </c>
      <c r="G13" s="32">
        <v>13668767.74</v>
      </c>
      <c r="H13" s="280">
        <f t="shared" si="1"/>
        <v>0.44925579276750294</v>
      </c>
      <c r="I13" s="32">
        <v>9384332.4299999997</v>
      </c>
      <c r="J13" s="178">
        <f t="shared" si="2"/>
        <v>0.30843787718302668</v>
      </c>
      <c r="K13" s="651">
        <v>14482366.140000001</v>
      </c>
      <c r="L13" s="280">
        <v>0.62393353672650298</v>
      </c>
      <c r="M13" s="211">
        <f t="shared" si="3"/>
        <v>-5.617855481176226E-2</v>
      </c>
      <c r="N13" s="616">
        <v>9862665.8100000005</v>
      </c>
      <c r="O13" s="280">
        <v>0.42490625502062196</v>
      </c>
      <c r="P13" s="178">
        <f t="shared" si="4"/>
        <v>-4.8499400589545161E-2</v>
      </c>
      <c r="R13" s="275"/>
      <c r="S13" s="275"/>
    </row>
    <row r="14" spans="1:19" ht="14.1" customHeight="1" x14ac:dyDescent="0.25">
      <c r="A14" s="39" t="s">
        <v>59</v>
      </c>
      <c r="B14" s="40" t="s">
        <v>476</v>
      </c>
      <c r="C14" s="199">
        <v>214257422.94</v>
      </c>
      <c r="D14" s="205">
        <v>258013621.66999999</v>
      </c>
      <c r="E14" s="32">
        <v>110958153.59999999</v>
      </c>
      <c r="F14" s="280">
        <f t="shared" si="0"/>
        <v>0.43004765749118368</v>
      </c>
      <c r="G14" s="32">
        <v>107960817.69</v>
      </c>
      <c r="H14" s="280">
        <f t="shared" si="1"/>
        <v>0.41843068978769704</v>
      </c>
      <c r="I14" s="32">
        <v>63876382.659999996</v>
      </c>
      <c r="J14" s="178">
        <f t="shared" si="2"/>
        <v>0.24756980754178179</v>
      </c>
      <c r="K14" s="651">
        <v>88102245.280000001</v>
      </c>
      <c r="L14" s="280">
        <v>0.31752059787229464</v>
      </c>
      <c r="M14" s="211">
        <f t="shared" si="3"/>
        <v>0.2254037039224932</v>
      </c>
      <c r="N14" s="616">
        <v>62592896.460000001</v>
      </c>
      <c r="O14" s="280">
        <v>0.22558487406733019</v>
      </c>
      <c r="P14" s="178">
        <f t="shared" si="4"/>
        <v>2.0505301281595223E-2</v>
      </c>
      <c r="R14" s="275"/>
      <c r="S14" s="275"/>
    </row>
    <row r="15" spans="1:19" ht="14.1" customHeight="1" x14ac:dyDescent="0.25">
      <c r="A15" s="39">
        <v>152</v>
      </c>
      <c r="B15" s="40" t="s">
        <v>470</v>
      </c>
      <c r="C15" s="199">
        <v>49948909.390000001</v>
      </c>
      <c r="D15" s="205">
        <v>62457509.759999998</v>
      </c>
      <c r="E15" s="32">
        <v>40136221.130000003</v>
      </c>
      <c r="F15" s="280">
        <f t="shared" si="0"/>
        <v>0.64261641689250726</v>
      </c>
      <c r="G15" s="32">
        <v>40055922.090000004</v>
      </c>
      <c r="H15" s="280">
        <f t="shared" si="1"/>
        <v>0.64133075820536856</v>
      </c>
      <c r="I15" s="32">
        <v>9365268.7100000009</v>
      </c>
      <c r="J15" s="178">
        <f t="shared" si="2"/>
        <v>0.14994623938717855</v>
      </c>
      <c r="K15" s="651">
        <v>19329619.41</v>
      </c>
      <c r="L15" s="280">
        <v>0.52844605851457627</v>
      </c>
      <c r="M15" s="211">
        <f t="shared" si="3"/>
        <v>1.0722561184664321</v>
      </c>
      <c r="N15" s="616">
        <v>11676764.68</v>
      </c>
      <c r="O15" s="280">
        <v>0.31922719948412148</v>
      </c>
      <c r="P15" s="178">
        <f t="shared" si="4"/>
        <v>-0.19795688560540547</v>
      </c>
      <c r="R15" s="275"/>
      <c r="S15" s="275"/>
    </row>
    <row r="16" spans="1:19" ht="14.1" customHeight="1" x14ac:dyDescent="0.25">
      <c r="A16" s="39" t="s">
        <v>60</v>
      </c>
      <c r="B16" s="40" t="s">
        <v>477</v>
      </c>
      <c r="C16" s="199">
        <v>129037696.42</v>
      </c>
      <c r="D16" s="205">
        <v>90553203.569999993</v>
      </c>
      <c r="E16" s="32">
        <v>38576141.149999999</v>
      </c>
      <c r="F16" s="280">
        <f t="shared" si="0"/>
        <v>0.42600526131778027</v>
      </c>
      <c r="G16" s="32">
        <v>37221426.450000003</v>
      </c>
      <c r="H16" s="280">
        <f t="shared" si="1"/>
        <v>0.41104483312097145</v>
      </c>
      <c r="I16" s="32">
        <v>9954009.9199999999</v>
      </c>
      <c r="J16" s="178">
        <f t="shared" si="2"/>
        <v>0.10992443698919266</v>
      </c>
      <c r="K16" s="652">
        <v>24581201.760000002</v>
      </c>
      <c r="L16" s="280">
        <v>0.42708731665884114</v>
      </c>
      <c r="M16" s="211">
        <f t="shared" si="3"/>
        <v>0.51422321875934185</v>
      </c>
      <c r="N16" s="617">
        <v>9080777.3800000008</v>
      </c>
      <c r="O16" s="280">
        <v>0.15777441974832487</v>
      </c>
      <c r="P16" s="178">
        <f t="shared" si="4"/>
        <v>9.6162751651995615E-2</v>
      </c>
      <c r="R16" s="275"/>
    </row>
    <row r="17" spans="1:18" ht="14.1" customHeight="1" x14ac:dyDescent="0.25">
      <c r="A17" s="39">
        <v>160</v>
      </c>
      <c r="B17" s="40" t="s">
        <v>162</v>
      </c>
      <c r="C17" s="199">
        <v>18375699.07</v>
      </c>
      <c r="D17" s="205">
        <v>18819154.100000001</v>
      </c>
      <c r="E17" s="32">
        <v>18220117.760000002</v>
      </c>
      <c r="F17" s="280">
        <f t="shared" si="0"/>
        <v>0.96816879564209535</v>
      </c>
      <c r="G17" s="32">
        <v>18220117.760000002</v>
      </c>
      <c r="H17" s="280">
        <f t="shared" si="1"/>
        <v>0.96816879564209535</v>
      </c>
      <c r="I17" s="32">
        <v>6254334.9299999997</v>
      </c>
      <c r="J17" s="178">
        <f t="shared" si="2"/>
        <v>0.33233879146565887</v>
      </c>
      <c r="K17" s="651">
        <v>19349633.260000002</v>
      </c>
      <c r="L17" s="280">
        <v>0.99392772157766229</v>
      </c>
      <c r="M17" s="211">
        <f t="shared" si="3"/>
        <v>-5.8374000417618199E-2</v>
      </c>
      <c r="N17" s="616">
        <v>7616287.21</v>
      </c>
      <c r="O17" s="280">
        <v>0.39122390030850585</v>
      </c>
      <c r="P17" s="178">
        <f t="shared" si="4"/>
        <v>-0.17882102426649427</v>
      </c>
      <c r="R17" s="275"/>
    </row>
    <row r="18" spans="1:18" ht="14.1" customHeight="1" x14ac:dyDescent="0.25">
      <c r="A18" s="39" t="s">
        <v>61</v>
      </c>
      <c r="B18" s="40" t="s">
        <v>478</v>
      </c>
      <c r="C18" s="199">
        <v>8493454.4900000002</v>
      </c>
      <c r="D18" s="205">
        <v>8345483.4699999997</v>
      </c>
      <c r="E18" s="32">
        <v>6341788.7300000004</v>
      </c>
      <c r="F18" s="280">
        <f t="shared" si="0"/>
        <v>0.75990669118178733</v>
      </c>
      <c r="G18" s="32">
        <v>6341788.7300000004</v>
      </c>
      <c r="H18" s="280">
        <f t="shared" si="1"/>
        <v>0.75990669118178733</v>
      </c>
      <c r="I18" s="32">
        <v>1682999.29</v>
      </c>
      <c r="J18" s="178">
        <f t="shared" si="2"/>
        <v>0.20166588263579655</v>
      </c>
      <c r="K18" s="651">
        <v>6140658.3200000003</v>
      </c>
      <c r="L18" s="280">
        <v>0.99583507764852397</v>
      </c>
      <c r="M18" s="211">
        <f t="shared" si="3"/>
        <v>3.2753883951647689E-2</v>
      </c>
      <c r="N18" s="616">
        <v>1142999.8500000001</v>
      </c>
      <c r="O18" s="280">
        <v>0.18536112661891296</v>
      </c>
      <c r="P18" s="178">
        <f t="shared" si="4"/>
        <v>0.47244051694319977</v>
      </c>
    </row>
    <row r="19" spans="1:18" ht="14.1" customHeight="1" x14ac:dyDescent="0.25">
      <c r="A19" s="39" t="s">
        <v>62</v>
      </c>
      <c r="B19" s="40" t="s">
        <v>121</v>
      </c>
      <c r="C19" s="199">
        <v>108819137.34</v>
      </c>
      <c r="D19" s="205">
        <v>103078433.37</v>
      </c>
      <c r="E19" s="32">
        <v>92980495.900000006</v>
      </c>
      <c r="F19" s="280">
        <f t="shared" si="0"/>
        <v>0.90203637036514273</v>
      </c>
      <c r="G19" s="32">
        <v>92980495.900000006</v>
      </c>
      <c r="H19" s="280">
        <f t="shared" si="1"/>
        <v>0.90203637036514273</v>
      </c>
      <c r="I19" s="32">
        <v>19410512.649999999</v>
      </c>
      <c r="J19" s="178">
        <f t="shared" si="2"/>
        <v>0.18830818450961481</v>
      </c>
      <c r="K19" s="651">
        <v>93382122.780000001</v>
      </c>
      <c r="L19" s="280">
        <v>0.94420995571785593</v>
      </c>
      <c r="M19" s="211">
        <f t="shared" si="3"/>
        <v>-4.3008968745140708E-3</v>
      </c>
      <c r="N19" s="616">
        <v>20586577.98</v>
      </c>
      <c r="O19" s="280">
        <v>0.20815602927203011</v>
      </c>
      <c r="P19" s="178">
        <f t="shared" si="4"/>
        <v>-5.7127771849335929E-2</v>
      </c>
    </row>
    <row r="20" spans="1:18" ht="14.1" customHeight="1" x14ac:dyDescent="0.25">
      <c r="A20" s="39" t="s">
        <v>63</v>
      </c>
      <c r="B20" s="40" t="s">
        <v>98</v>
      </c>
      <c r="C20" s="199">
        <v>171073344.52000001</v>
      </c>
      <c r="D20" s="205">
        <v>174535316.71000001</v>
      </c>
      <c r="E20" s="32">
        <v>173882510.59999999</v>
      </c>
      <c r="F20" s="280">
        <f t="shared" si="0"/>
        <v>0.99625974775589576</v>
      </c>
      <c r="G20" s="32">
        <v>173881500.36000001</v>
      </c>
      <c r="H20" s="280">
        <f t="shared" si="1"/>
        <v>0.99625395958637786</v>
      </c>
      <c r="I20" s="32">
        <v>43678742.119999997</v>
      </c>
      <c r="J20" s="178">
        <f t="shared" si="2"/>
        <v>0.25025732867906969</v>
      </c>
      <c r="K20" s="651">
        <v>174670313.84999999</v>
      </c>
      <c r="L20" s="280">
        <v>0.98684683288162689</v>
      </c>
      <c r="M20" s="211">
        <f t="shared" si="3"/>
        <v>-4.5160134691083487E-3</v>
      </c>
      <c r="N20" s="616">
        <v>41416009.020000003</v>
      </c>
      <c r="O20" s="280">
        <v>0.23399086216265991</v>
      </c>
      <c r="P20" s="178">
        <f t="shared" si="4"/>
        <v>5.4634262294739999E-2</v>
      </c>
    </row>
    <row r="21" spans="1:18" ht="14.1" customHeight="1" x14ac:dyDescent="0.25">
      <c r="A21" s="39" t="s">
        <v>64</v>
      </c>
      <c r="B21" s="40" t="s">
        <v>491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51">
        <v>0</v>
      </c>
      <c r="L21" s="280">
        <v>0</v>
      </c>
      <c r="M21" s="212" t="s">
        <v>129</v>
      </c>
      <c r="N21" s="616">
        <v>0</v>
      </c>
      <c r="O21" s="280">
        <v>0</v>
      </c>
      <c r="P21" s="432" t="s">
        <v>129</v>
      </c>
    </row>
    <row r="22" spans="1:18" ht="14.1" customHeight="1" x14ac:dyDescent="0.25">
      <c r="A22" s="39" t="s">
        <v>65</v>
      </c>
      <c r="B22" s="40" t="s">
        <v>99</v>
      </c>
      <c r="C22" s="199">
        <v>31920925.68</v>
      </c>
      <c r="D22" s="205">
        <v>32455066.960000001</v>
      </c>
      <c r="E22" s="32">
        <v>26545016.91</v>
      </c>
      <c r="F22" s="280">
        <f t="shared" si="0"/>
        <v>0.81790054362593123</v>
      </c>
      <c r="G22" s="32">
        <v>26519668.629999999</v>
      </c>
      <c r="H22" s="280">
        <f t="shared" si="1"/>
        <v>0.81711951673631666</v>
      </c>
      <c r="I22" s="32">
        <v>6172553.8499999996</v>
      </c>
      <c r="J22" s="178">
        <f t="shared" si="2"/>
        <v>0.19018767878702905</v>
      </c>
      <c r="K22" s="651">
        <v>22079169.489999998</v>
      </c>
      <c r="L22" s="280">
        <v>0.63781716553679024</v>
      </c>
      <c r="M22" s="211">
        <f t="shared" ref="M22:M27" si="5">+G22/K22-1</f>
        <v>0.2011171272547716</v>
      </c>
      <c r="N22" s="616">
        <v>6511978.2000000002</v>
      </c>
      <c r="O22" s="280">
        <v>0.18811629121478199</v>
      </c>
      <c r="P22" s="178">
        <f>+I22/N22-1</f>
        <v>-5.2123078360428288E-2</v>
      </c>
    </row>
    <row r="23" spans="1:18" ht="14.1" customHeight="1" x14ac:dyDescent="0.25">
      <c r="A23" s="39" t="s">
        <v>66</v>
      </c>
      <c r="B23" s="40" t="s">
        <v>112</v>
      </c>
      <c r="C23" s="199">
        <v>2348598.2599999998</v>
      </c>
      <c r="D23" s="205">
        <v>2428435.69</v>
      </c>
      <c r="E23" s="32">
        <v>2299571.59</v>
      </c>
      <c r="F23" s="280">
        <f t="shared" si="0"/>
        <v>0.94693534585632777</v>
      </c>
      <c r="G23" s="32">
        <v>1596725.37</v>
      </c>
      <c r="H23" s="280">
        <f t="shared" si="1"/>
        <v>0.65751190224024425</v>
      </c>
      <c r="I23" s="32">
        <v>846837.06</v>
      </c>
      <c r="J23" s="178">
        <f t="shared" si="2"/>
        <v>0.34871710356060531</v>
      </c>
      <c r="K23" s="651">
        <v>1106294.56</v>
      </c>
      <c r="L23" s="280">
        <v>0.55896324222869787</v>
      </c>
      <c r="M23" s="211">
        <f t="shared" si="5"/>
        <v>0.44330942927171235</v>
      </c>
      <c r="N23" s="616">
        <v>399942.58</v>
      </c>
      <c r="O23" s="280">
        <v>0.20207385022494403</v>
      </c>
      <c r="P23" s="178">
        <f>+I23/N23-1</f>
        <v>1.1173966022822577</v>
      </c>
    </row>
    <row r="24" spans="1:18" ht="14.1" customHeight="1" x14ac:dyDescent="0.25">
      <c r="A24" s="39" t="s">
        <v>67</v>
      </c>
      <c r="B24" s="40" t="s">
        <v>109</v>
      </c>
      <c r="C24" s="199">
        <v>56423741.060000002</v>
      </c>
      <c r="D24" s="205">
        <v>51216110.270000003</v>
      </c>
      <c r="E24" s="32">
        <v>48856333.990000002</v>
      </c>
      <c r="F24" s="280">
        <f t="shared" si="0"/>
        <v>0.95392511716411532</v>
      </c>
      <c r="G24" s="32">
        <v>48856333.990000002</v>
      </c>
      <c r="H24" s="280">
        <f t="shared" si="1"/>
        <v>0.95392511716411532</v>
      </c>
      <c r="I24" s="32">
        <v>15129236.970000001</v>
      </c>
      <c r="J24" s="178">
        <f t="shared" si="2"/>
        <v>0.29539996087641196</v>
      </c>
      <c r="K24" s="651">
        <v>49346335.539999999</v>
      </c>
      <c r="L24" s="280">
        <v>0.9437151187233902</v>
      </c>
      <c r="M24" s="211">
        <f t="shared" si="5"/>
        <v>-9.9298467583839312E-3</v>
      </c>
      <c r="N24" s="616">
        <v>16978971.800000001</v>
      </c>
      <c r="O24" s="280">
        <v>0.32471129239271768</v>
      </c>
      <c r="P24" s="178">
        <f>+I24/N24-1</f>
        <v>-0.10894268815500363</v>
      </c>
    </row>
    <row r="25" spans="1:18" ht="14.1" customHeight="1" x14ac:dyDescent="0.25">
      <c r="A25" s="41">
        <v>172</v>
      </c>
      <c r="B25" s="42" t="s">
        <v>471</v>
      </c>
      <c r="C25" s="199">
        <v>16330544.140000001</v>
      </c>
      <c r="D25" s="205">
        <v>9104054</v>
      </c>
      <c r="E25" s="32">
        <v>5250800.13</v>
      </c>
      <c r="F25" s="280">
        <f t="shared" si="0"/>
        <v>0.57675406253082417</v>
      </c>
      <c r="G25" s="32">
        <v>4019634.68</v>
      </c>
      <c r="H25" s="280">
        <f t="shared" si="1"/>
        <v>0.44152140134493933</v>
      </c>
      <c r="I25" s="32">
        <v>772971.81</v>
      </c>
      <c r="J25" s="178">
        <f t="shared" si="2"/>
        <v>8.4904132818192868E-2</v>
      </c>
      <c r="K25" s="206">
        <v>1514873.9</v>
      </c>
      <c r="L25" s="390">
        <v>0.49650091433255977</v>
      </c>
      <c r="M25" s="211">
        <f t="shared" si="5"/>
        <v>1.6534450689261995</v>
      </c>
      <c r="N25" s="580">
        <v>535685.17000000004</v>
      </c>
      <c r="O25" s="390">
        <v>0.17557116582402849</v>
      </c>
      <c r="P25" s="178">
        <f>+I25/N25-1</f>
        <v>0.4429591358670617</v>
      </c>
    </row>
    <row r="26" spans="1:18" ht="14.1" customHeight="1" x14ac:dyDescent="0.25">
      <c r="A26" s="41" t="s">
        <v>68</v>
      </c>
      <c r="B26" s="662" t="s">
        <v>131</v>
      </c>
      <c r="C26" s="661">
        <v>3772412.45</v>
      </c>
      <c r="D26" s="397">
        <v>3679582.45</v>
      </c>
      <c r="E26" s="398">
        <v>2735437.07</v>
      </c>
      <c r="F26" s="412">
        <f t="shared" si="0"/>
        <v>0.74340964149342537</v>
      </c>
      <c r="G26" s="398">
        <v>2545607.87</v>
      </c>
      <c r="H26" s="412">
        <f t="shared" si="1"/>
        <v>0.69181976612590923</v>
      </c>
      <c r="I26" s="398">
        <v>1016099.88</v>
      </c>
      <c r="J26" s="427">
        <f t="shared" si="2"/>
        <v>0.27614543057731999</v>
      </c>
      <c r="K26" s="663">
        <v>1900648.48</v>
      </c>
      <c r="L26" s="412">
        <v>0.58548639956501003</v>
      </c>
      <c r="M26" s="443">
        <f t="shared" si="5"/>
        <v>0.33933649319520676</v>
      </c>
      <c r="N26" s="664">
        <v>709761.92</v>
      </c>
      <c r="O26" s="412">
        <v>0.21863903581431782</v>
      </c>
      <c r="P26" s="178">
        <f>+I26/N26-1</f>
        <v>0.43160664353477851</v>
      </c>
    </row>
    <row r="27" spans="1:18" ht="14.1" customHeight="1" x14ac:dyDescent="0.25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1163852360.5400002</v>
      </c>
      <c r="E27" s="203">
        <f>SUBTOTAL(9,E7:E26)</f>
        <v>696883178.45000005</v>
      </c>
      <c r="F27" s="90">
        <f t="shared" si="0"/>
        <v>0.59877283586610819</v>
      </c>
      <c r="G27" s="203">
        <f>SUM(G7:G26)</f>
        <v>684750852.5</v>
      </c>
      <c r="H27" s="90">
        <f t="shared" si="1"/>
        <v>0.58834855323255231</v>
      </c>
      <c r="I27" s="203">
        <f>SUM(I7:I26)</f>
        <v>279748295.77000004</v>
      </c>
      <c r="J27" s="170">
        <f t="shared" si="2"/>
        <v>0.24036407473556473</v>
      </c>
      <c r="K27" s="152">
        <f>SUBTOTAL(9,K7:K26)</f>
        <v>648115422.90999997</v>
      </c>
      <c r="L27" s="90">
        <v>0.56627972104904978</v>
      </c>
      <c r="M27" s="213">
        <f t="shared" si="5"/>
        <v>5.6526088247536466E-2</v>
      </c>
      <c r="N27" s="568">
        <f>SUM(N7:N26)</f>
        <v>302438273.69</v>
      </c>
      <c r="O27" s="90">
        <v>0.26425024803569885</v>
      </c>
      <c r="P27" s="170">
        <f t="shared" ref="P27:P32" si="6">+I27/N27-1</f>
        <v>-7.5023500310206215E-2</v>
      </c>
    </row>
    <row r="28" spans="1:18" ht="14.1" customHeight="1" x14ac:dyDescent="0.25">
      <c r="A28" s="37" t="s">
        <v>69</v>
      </c>
      <c r="B28" s="38" t="s">
        <v>100</v>
      </c>
      <c r="C28" s="198">
        <v>557191.48</v>
      </c>
      <c r="D28" s="204">
        <v>560338.96</v>
      </c>
      <c r="E28" s="30">
        <v>197322.79</v>
      </c>
      <c r="F28" s="48">
        <f t="shared" si="0"/>
        <v>0.35214897425658215</v>
      </c>
      <c r="G28" s="30">
        <v>197322.79</v>
      </c>
      <c r="H28" s="48">
        <f t="shared" si="1"/>
        <v>0.35214897425658215</v>
      </c>
      <c r="I28" s="30">
        <v>197322.79</v>
      </c>
      <c r="J28" s="153">
        <f t="shared" si="2"/>
        <v>0.35214897425658215</v>
      </c>
      <c r="K28" s="650">
        <v>213961.21</v>
      </c>
      <c r="L28" s="48">
        <v>0.37143756095436276</v>
      </c>
      <c r="M28" s="210">
        <f t="shared" ref="M28:M32" si="7">+G28/K28-1</f>
        <v>-7.7763721751246351E-2</v>
      </c>
      <c r="N28" s="615">
        <v>213961.21</v>
      </c>
      <c r="O28" s="48">
        <v>0.37143756095436276</v>
      </c>
      <c r="P28" s="153">
        <f t="shared" si="6"/>
        <v>-7.7763721751246351E-2</v>
      </c>
    </row>
    <row r="29" spans="1:18" ht="14.1" customHeight="1" x14ac:dyDescent="0.25">
      <c r="A29" s="39" t="s">
        <v>70</v>
      </c>
      <c r="B29" s="40" t="s">
        <v>743</v>
      </c>
      <c r="C29" s="199">
        <v>27181862.050000001</v>
      </c>
      <c r="D29" s="205">
        <v>26817731.969999999</v>
      </c>
      <c r="E29" s="32">
        <v>11655248.810000001</v>
      </c>
      <c r="F29" s="280">
        <f t="shared" si="0"/>
        <v>0.4346097881445864</v>
      </c>
      <c r="G29" s="32">
        <v>10347792.369999999</v>
      </c>
      <c r="H29" s="280">
        <f t="shared" si="1"/>
        <v>0.38585635733758883</v>
      </c>
      <c r="I29" s="32">
        <v>8264255.4400000004</v>
      </c>
      <c r="J29" s="178">
        <f t="shared" si="2"/>
        <v>0.30816384656409113</v>
      </c>
      <c r="K29" s="651">
        <v>10669082.699999999</v>
      </c>
      <c r="L29" s="280">
        <v>0.43399923612740055</v>
      </c>
      <c r="M29" s="211">
        <f t="shared" si="7"/>
        <v>-3.0114147488986998E-2</v>
      </c>
      <c r="N29" s="616">
        <v>9043999.9199999999</v>
      </c>
      <c r="O29" s="280">
        <v>0.3678937699879552</v>
      </c>
      <c r="P29" s="178">
        <f t="shared" si="6"/>
        <v>-8.6216772102757799E-2</v>
      </c>
    </row>
    <row r="30" spans="1:18" ht="14.1" customHeight="1" x14ac:dyDescent="0.25">
      <c r="A30" s="39" t="s">
        <v>71</v>
      </c>
      <c r="B30" s="40" t="s">
        <v>479</v>
      </c>
      <c r="C30" s="199">
        <v>244713639.38999999</v>
      </c>
      <c r="D30" s="205">
        <v>251234178.94999999</v>
      </c>
      <c r="E30" s="32">
        <v>221444750.25</v>
      </c>
      <c r="F30" s="280">
        <f t="shared" si="0"/>
        <v>0.88142764322712397</v>
      </c>
      <c r="G30" s="32">
        <v>208635103.97999999</v>
      </c>
      <c r="H30" s="280">
        <f t="shared" si="1"/>
        <v>0.83044076587016469</v>
      </c>
      <c r="I30" s="32">
        <v>91991957.069999993</v>
      </c>
      <c r="J30" s="178">
        <f t="shared" si="2"/>
        <v>0.36616019943810274</v>
      </c>
      <c r="K30" s="653">
        <v>190455090.41</v>
      </c>
      <c r="L30" s="280">
        <v>0.88583707684560886</v>
      </c>
      <c r="M30" s="211">
        <f t="shared" si="7"/>
        <v>9.5455645374787235E-2</v>
      </c>
      <c r="N30" s="618">
        <v>81914148.269999996</v>
      </c>
      <c r="O30" s="280">
        <v>0.380995800635133</v>
      </c>
      <c r="P30" s="178">
        <f t="shared" si="6"/>
        <v>0.12302891518547177</v>
      </c>
    </row>
    <row r="31" spans="1:18" ht="14.1" customHeight="1" x14ac:dyDescent="0.25">
      <c r="A31" s="39" t="s">
        <v>72</v>
      </c>
      <c r="B31" s="40" t="s">
        <v>101</v>
      </c>
      <c r="C31" s="199">
        <v>39641547.32</v>
      </c>
      <c r="D31" s="205">
        <v>39883935.759999998</v>
      </c>
      <c r="E31" s="32">
        <v>28843261.75</v>
      </c>
      <c r="F31" s="280">
        <f t="shared" si="0"/>
        <v>0.72317992696516176</v>
      </c>
      <c r="G31" s="32">
        <v>16704580.140000001</v>
      </c>
      <c r="H31" s="280">
        <f t="shared" si="1"/>
        <v>0.41882978250990949</v>
      </c>
      <c r="I31" s="32">
        <v>5853446.54</v>
      </c>
      <c r="J31" s="178">
        <f t="shared" si="2"/>
        <v>0.14676200902596179</v>
      </c>
      <c r="K31" s="651">
        <v>14686274.460000001</v>
      </c>
      <c r="L31" s="280">
        <v>0.42073947667547174</v>
      </c>
      <c r="M31" s="211">
        <f t="shared" si="7"/>
        <v>0.13742802407085075</v>
      </c>
      <c r="N31" s="616">
        <v>5456169.6500000004</v>
      </c>
      <c r="O31" s="280">
        <v>0.15631098066742735</v>
      </c>
      <c r="P31" s="178">
        <f t="shared" si="6"/>
        <v>7.2812415207800463E-2</v>
      </c>
    </row>
    <row r="32" spans="1:18" ht="14.1" customHeight="1" x14ac:dyDescent="0.25">
      <c r="A32" s="253">
        <v>234</v>
      </c>
      <c r="B32" s="40" t="s">
        <v>431</v>
      </c>
      <c r="C32" s="199">
        <v>10668077.699999999</v>
      </c>
      <c r="D32" s="205">
        <v>10738410.75</v>
      </c>
      <c r="E32" s="32">
        <v>10598332.08</v>
      </c>
      <c r="F32" s="280">
        <f t="shared" si="0"/>
        <v>0.98695536301775377</v>
      </c>
      <c r="G32" s="32">
        <v>10556480.17</v>
      </c>
      <c r="H32" s="280">
        <f t="shared" si="1"/>
        <v>0.98305796041560434</v>
      </c>
      <c r="I32" s="32">
        <v>3939797.11</v>
      </c>
      <c r="J32" s="178">
        <f t="shared" si="2"/>
        <v>0.36688828558732489</v>
      </c>
      <c r="K32" s="651">
        <v>10543993.279999999</v>
      </c>
      <c r="L32" s="390">
        <v>0.98776445996869822</v>
      </c>
      <c r="M32" s="211">
        <f t="shared" si="7"/>
        <v>1.1842657395928491E-3</v>
      </c>
      <c r="N32" s="616">
        <v>4017773.63</v>
      </c>
      <c r="O32" s="390">
        <v>0.37638624139121479</v>
      </c>
      <c r="P32" s="178">
        <f t="shared" si="6"/>
        <v>-1.9407892823468997E-2</v>
      </c>
    </row>
    <row r="33" spans="1:18" ht="14.1" customHeight="1" x14ac:dyDescent="0.25">
      <c r="A33" s="532">
        <v>2</v>
      </c>
      <c r="B33" s="518" t="s">
        <v>125</v>
      </c>
      <c r="C33" s="201">
        <f>SUBTOTAL(9,C28:C32)</f>
        <v>322762317.93999994</v>
      </c>
      <c r="D33" s="207">
        <f>SUBTOTAL(9,D28:D32)</f>
        <v>329234596.38999999</v>
      </c>
      <c r="E33" s="203">
        <f>SUBTOTAL(9,E28:E32)</f>
        <v>272738915.68000001</v>
      </c>
      <c r="F33" s="263">
        <f t="shared" si="0"/>
        <v>0.82840296454423301</v>
      </c>
      <c r="G33" s="203">
        <f>SUBTOTAL(9,G28:G32)</f>
        <v>246441279.44999996</v>
      </c>
      <c r="H33" s="90">
        <f>G33/D33</f>
        <v>0.74852789516103613</v>
      </c>
      <c r="I33" s="203">
        <f>SUBTOTAL(9,I28:I32)</f>
        <v>110246778.95</v>
      </c>
      <c r="J33" s="170">
        <f>I33/D33</f>
        <v>0.33485781919286955</v>
      </c>
      <c r="K33" s="152">
        <f>SUM(K28:K32)</f>
        <v>226568402.06</v>
      </c>
      <c r="L33" s="90">
        <v>0.75830352002708634</v>
      </c>
      <c r="M33" s="213">
        <f t="shared" ref="M33:M56" si="8">+G33/K33-1</f>
        <v>8.771248421806499E-2</v>
      </c>
      <c r="N33" s="568">
        <f>SUM(N28:N32)</f>
        <v>100646052.67999999</v>
      </c>
      <c r="O33" s="90">
        <v>0.33685304451176024</v>
      </c>
      <c r="P33" s="170">
        <f t="shared" ref="P33:P55" si="9">+I33/N33-1</f>
        <v>9.5390986674113609E-2</v>
      </c>
    </row>
    <row r="34" spans="1:18" ht="14.1" customHeight="1" x14ac:dyDescent="0.25">
      <c r="A34" s="37">
        <v>311</v>
      </c>
      <c r="B34" s="38" t="s">
        <v>472</v>
      </c>
      <c r="C34" s="198">
        <v>19998074.850000001</v>
      </c>
      <c r="D34" s="516">
        <v>19983074.850000001</v>
      </c>
      <c r="E34" s="180">
        <v>18153248.420000002</v>
      </c>
      <c r="F34" s="48">
        <f t="shared" ref="F34:F68" si="10">+E34/D34</f>
        <v>0.90843118770582998</v>
      </c>
      <c r="G34" s="180">
        <v>17847757.629999999</v>
      </c>
      <c r="H34" s="48">
        <f t="shared" ref="H34:H80" si="11">+G34/D34</f>
        <v>0.89314371106406565</v>
      </c>
      <c r="I34" s="180">
        <v>7268445.8799999999</v>
      </c>
      <c r="J34" s="153">
        <f t="shared" ref="J34:J80" si="12">+I34/D34</f>
        <v>0.363730103327917</v>
      </c>
      <c r="K34" s="650">
        <v>16193499.23</v>
      </c>
      <c r="L34" s="48">
        <v>0.97532274160430821</v>
      </c>
      <c r="M34" s="210">
        <f t="shared" si="8"/>
        <v>0.10215570930681417</v>
      </c>
      <c r="N34" s="615">
        <v>9143806.0999999996</v>
      </c>
      <c r="O34" s="48">
        <v>0.55072482528226219</v>
      </c>
      <c r="P34" s="153">
        <f t="shared" si="9"/>
        <v>-0.20509623667544741</v>
      </c>
    </row>
    <row r="35" spans="1:18" ht="14.1" customHeight="1" x14ac:dyDescent="0.25">
      <c r="A35" s="37" t="s">
        <v>73</v>
      </c>
      <c r="B35" s="38" t="s">
        <v>132</v>
      </c>
      <c r="C35" s="200">
        <v>2248848</v>
      </c>
      <c r="D35" s="206">
        <v>2248848</v>
      </c>
      <c r="E35" s="34">
        <v>2248848</v>
      </c>
      <c r="F35" s="48">
        <f t="shared" si="10"/>
        <v>1</v>
      </c>
      <c r="G35" s="34">
        <v>2248848</v>
      </c>
      <c r="H35" s="48">
        <f t="shared" si="11"/>
        <v>1</v>
      </c>
      <c r="I35" s="34">
        <v>1500000</v>
      </c>
      <c r="J35" s="153">
        <f t="shared" si="12"/>
        <v>0.66700817485219099</v>
      </c>
      <c r="K35" s="650">
        <v>2248848</v>
      </c>
      <c r="L35" s="48">
        <v>1</v>
      </c>
      <c r="M35" s="210">
        <f t="shared" si="8"/>
        <v>0</v>
      </c>
      <c r="N35" s="615">
        <v>1500000</v>
      </c>
      <c r="O35" s="48">
        <v>0.66700817485219099</v>
      </c>
      <c r="P35" s="153">
        <f t="shared" si="9"/>
        <v>0</v>
      </c>
    </row>
    <row r="36" spans="1:18" ht="14.1" customHeight="1" x14ac:dyDescent="0.25">
      <c r="A36" s="37">
        <v>313</v>
      </c>
      <c r="B36" s="38" t="s">
        <v>761</v>
      </c>
      <c r="C36" s="200">
        <v>9000</v>
      </c>
      <c r="D36" s="206">
        <v>6000</v>
      </c>
      <c r="E36" s="34">
        <v>6000</v>
      </c>
      <c r="F36" s="48">
        <f t="shared" si="10"/>
        <v>1</v>
      </c>
      <c r="G36" s="34">
        <v>870</v>
      </c>
      <c r="H36" s="48">
        <f t="shared" si="11"/>
        <v>0.14499999999999999</v>
      </c>
      <c r="I36" s="34">
        <v>870</v>
      </c>
      <c r="J36" s="153">
        <f t="shared" si="12"/>
        <v>0.14499999999999999</v>
      </c>
      <c r="K36" s="650">
        <v>0</v>
      </c>
      <c r="L36" s="48" t="s">
        <v>129</v>
      </c>
      <c r="M36" s="224" t="s">
        <v>129</v>
      </c>
      <c r="N36" s="615">
        <v>0</v>
      </c>
      <c r="O36" s="48" t="s">
        <v>129</v>
      </c>
      <c r="P36" s="348" t="s">
        <v>129</v>
      </c>
    </row>
    <row r="37" spans="1:18" ht="14.1" customHeight="1" x14ac:dyDescent="0.25">
      <c r="A37" s="39" t="s">
        <v>74</v>
      </c>
      <c r="B37" s="40" t="s">
        <v>654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5100000</v>
      </c>
      <c r="J37" s="178">
        <f t="shared" si="12"/>
        <v>0.47775458984946917</v>
      </c>
      <c r="K37" s="651">
        <v>22965790.039999999</v>
      </c>
      <c r="L37" s="280">
        <v>0.99247962282546187</v>
      </c>
      <c r="M37" s="212">
        <f t="shared" si="8"/>
        <v>-0.53518095082262629</v>
      </c>
      <c r="N37" s="616">
        <v>3542705.06</v>
      </c>
      <c r="O37" s="280">
        <v>0.15310000551283692</v>
      </c>
      <c r="P37" s="153">
        <f t="shared" si="9"/>
        <v>0.43957792523659878</v>
      </c>
    </row>
    <row r="38" spans="1:18" ht="14.1" customHeight="1" x14ac:dyDescent="0.25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34681050</v>
      </c>
      <c r="J38" s="178">
        <f t="shared" si="12"/>
        <v>0.82227821665652867</v>
      </c>
      <c r="K38" s="205">
        <v>39307154.049999997</v>
      </c>
      <c r="L38" s="610">
        <v>1</v>
      </c>
      <c r="M38" s="211">
        <f t="shared" si="8"/>
        <v>7.3005261493868101E-2</v>
      </c>
      <c r="N38" s="579">
        <v>31780000</v>
      </c>
      <c r="O38" s="610">
        <v>0.80850422189240134</v>
      </c>
      <c r="P38" s="153">
        <f t="shared" si="9"/>
        <v>9.1285399622404118E-2</v>
      </c>
    </row>
    <row r="39" spans="1:18" ht="14.1" customHeight="1" x14ac:dyDescent="0.25">
      <c r="A39" s="39" t="s">
        <v>75</v>
      </c>
      <c r="B39" s="40" t="s">
        <v>474</v>
      </c>
      <c r="C39" s="200">
        <v>8163831</v>
      </c>
      <c r="D39" s="206">
        <v>8163831</v>
      </c>
      <c r="E39" s="34">
        <v>7463831</v>
      </c>
      <c r="F39" s="280">
        <f t="shared" si="10"/>
        <v>0.91425594184886971</v>
      </c>
      <c r="G39" s="34">
        <v>7463831</v>
      </c>
      <c r="H39" s="280">
        <f t="shared" si="11"/>
        <v>0.91425594184886971</v>
      </c>
      <c r="I39" s="34">
        <v>0</v>
      </c>
      <c r="J39" s="178">
        <f t="shared" si="12"/>
        <v>0</v>
      </c>
      <c r="K39" s="205">
        <v>7493661</v>
      </c>
      <c r="L39" s="280">
        <v>1</v>
      </c>
      <c r="M39" s="211">
        <f t="shared" si="8"/>
        <v>-3.9806978191300191E-3</v>
      </c>
      <c r="N39" s="579">
        <v>29830</v>
      </c>
      <c r="O39" s="280">
        <v>3.9806978191300624E-3</v>
      </c>
      <c r="P39" s="153">
        <f t="shared" si="9"/>
        <v>-1</v>
      </c>
    </row>
    <row r="40" spans="1:18" ht="14.1" customHeight="1" x14ac:dyDescent="0.25">
      <c r="A40" s="39" t="s">
        <v>473</v>
      </c>
      <c r="B40" s="40" t="s">
        <v>114</v>
      </c>
      <c r="C40" s="200">
        <v>17924191.510000002</v>
      </c>
      <c r="D40" s="206">
        <v>18016443.09</v>
      </c>
      <c r="E40" s="34">
        <v>17349790.43</v>
      </c>
      <c r="F40" s="280">
        <f t="shared" si="10"/>
        <v>0.96299754304055585</v>
      </c>
      <c r="G40" s="34">
        <v>17165694.809999999</v>
      </c>
      <c r="H40" s="280">
        <f t="shared" si="11"/>
        <v>0.95277934297296407</v>
      </c>
      <c r="I40" s="34">
        <v>258868.24</v>
      </c>
      <c r="J40" s="178">
        <f t="shared" si="12"/>
        <v>1.4368443244143148E-2</v>
      </c>
      <c r="K40" s="205">
        <v>14604781.029999999</v>
      </c>
      <c r="L40" s="280">
        <v>0.86131241151216587</v>
      </c>
      <c r="M40" s="211">
        <f t="shared" si="8"/>
        <v>0.17534763271969434</v>
      </c>
      <c r="N40" s="579">
        <v>897510.37</v>
      </c>
      <c r="O40" s="280">
        <v>5.2930394475204007E-2</v>
      </c>
      <c r="P40" s="153">
        <f t="shared" si="9"/>
        <v>-0.711570753215921</v>
      </c>
    </row>
    <row r="41" spans="1:18" ht="14.1" customHeight="1" x14ac:dyDescent="0.25">
      <c r="A41" s="39">
        <v>328</v>
      </c>
      <c r="B41" s="40" t="s">
        <v>432</v>
      </c>
      <c r="C41" s="200">
        <v>9502324.5999999996</v>
      </c>
      <c r="D41" s="206">
        <v>9602324.5999999996</v>
      </c>
      <c r="E41" s="34">
        <v>9502324.5999999996</v>
      </c>
      <c r="F41" s="280">
        <f t="shared" si="10"/>
        <v>0.98958585507513463</v>
      </c>
      <c r="G41" s="34">
        <v>9502324.5999999996</v>
      </c>
      <c r="H41" s="280">
        <f t="shared" si="11"/>
        <v>0.98958585507513463</v>
      </c>
      <c r="I41" s="34">
        <v>0</v>
      </c>
      <c r="J41" s="178">
        <f t="shared" si="12"/>
        <v>0</v>
      </c>
      <c r="K41" s="205">
        <v>9402300.0800000001</v>
      </c>
      <c r="L41" s="280">
        <v>1</v>
      </c>
      <c r="M41" s="211">
        <f t="shared" si="8"/>
        <v>1.0638303303333707E-2</v>
      </c>
      <c r="N41" s="579">
        <v>2800000</v>
      </c>
      <c r="O41" s="280">
        <v>0.29779947206279761</v>
      </c>
      <c r="P41" s="153">
        <f t="shared" si="9"/>
        <v>-1</v>
      </c>
    </row>
    <row r="42" spans="1:18" ht="14.1" customHeight="1" x14ac:dyDescent="0.25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15900000</v>
      </c>
      <c r="J42" s="178">
        <f t="shared" si="12"/>
        <v>0.47638748688484278</v>
      </c>
      <c r="K42" s="205">
        <v>30377801.829999998</v>
      </c>
      <c r="L42" s="610">
        <v>1</v>
      </c>
      <c r="M42" s="211">
        <f t="shared" si="8"/>
        <v>9.8703313254183689E-2</v>
      </c>
      <c r="N42" s="579">
        <v>20500000</v>
      </c>
      <c r="O42" s="610">
        <v>0.67483487168432821</v>
      </c>
      <c r="P42" s="153">
        <f t="shared" si="9"/>
        <v>-0.224390243902439</v>
      </c>
    </row>
    <row r="43" spans="1:18" ht="14.1" customHeight="1" x14ac:dyDescent="0.25">
      <c r="A43" s="253" t="s">
        <v>433</v>
      </c>
      <c r="B43" s="40" t="s">
        <v>668</v>
      </c>
      <c r="C43" s="200">
        <v>28640778.239999998</v>
      </c>
      <c r="D43" s="206">
        <v>22684621.100000001</v>
      </c>
      <c r="E43" s="34">
        <v>14546561.58</v>
      </c>
      <c r="F43" s="280">
        <f t="shared" si="10"/>
        <v>0.64125212917927021</v>
      </c>
      <c r="G43" s="34">
        <v>14546561.58</v>
      </c>
      <c r="H43" s="280">
        <f t="shared" si="11"/>
        <v>0.64125212917927021</v>
      </c>
      <c r="I43" s="34">
        <v>3366705.54</v>
      </c>
      <c r="J43" s="178">
        <f t="shared" si="12"/>
        <v>0.14841356728678179</v>
      </c>
      <c r="K43" s="205">
        <v>15448230.970000001</v>
      </c>
      <c r="L43" s="280">
        <v>0.90686698762261009</v>
      </c>
      <c r="M43" s="211">
        <f t="shared" si="8"/>
        <v>-5.8367161376018717E-2</v>
      </c>
      <c r="N43" s="579">
        <v>3233323.13</v>
      </c>
      <c r="O43" s="280">
        <v>0.1898077529140936</v>
      </c>
      <c r="P43" s="153">
        <f t="shared" si="9"/>
        <v>4.1252421931611938E-2</v>
      </c>
    </row>
    <row r="44" spans="1:18" ht="14.1" customHeight="1" x14ac:dyDescent="0.25">
      <c r="A44" s="39" t="s">
        <v>76</v>
      </c>
      <c r="B44" s="40" t="s">
        <v>110</v>
      </c>
      <c r="C44" s="200">
        <v>12623127.310000001</v>
      </c>
      <c r="D44" s="206">
        <v>12927747.279999999</v>
      </c>
      <c r="E44" s="34">
        <v>12606798.43</v>
      </c>
      <c r="F44" s="280">
        <f t="shared" si="10"/>
        <v>0.9751736444835577</v>
      </c>
      <c r="G44" s="34">
        <v>12528724.9</v>
      </c>
      <c r="H44" s="280">
        <f t="shared" si="11"/>
        <v>0.96913442293095331</v>
      </c>
      <c r="I44" s="34">
        <v>7048347.5700000003</v>
      </c>
      <c r="J44" s="178">
        <f t="shared" si="12"/>
        <v>0.54521081030909513</v>
      </c>
      <c r="K44" s="205">
        <v>12410129.98</v>
      </c>
      <c r="L44" s="280">
        <v>0.98610831873393145</v>
      </c>
      <c r="M44" s="211">
        <f t="shared" si="8"/>
        <v>9.5562995867992662E-3</v>
      </c>
      <c r="N44" s="579">
        <v>30310.03</v>
      </c>
      <c r="O44" s="280">
        <v>2.4084334952368504E-3</v>
      </c>
      <c r="P44" s="153">
        <f t="shared" si="9"/>
        <v>231.54175499001488</v>
      </c>
    </row>
    <row r="45" spans="1:18" ht="14.1" customHeight="1" x14ac:dyDescent="0.25">
      <c r="A45" s="39" t="s">
        <v>77</v>
      </c>
      <c r="B45" s="40" t="s">
        <v>481</v>
      </c>
      <c r="C45" s="200">
        <v>65286878.990000002</v>
      </c>
      <c r="D45" s="206">
        <v>69986878.989999995</v>
      </c>
      <c r="E45" s="34">
        <v>65286878.990000002</v>
      </c>
      <c r="F45" s="280">
        <f t="shared" si="10"/>
        <v>0.93284455503907315</v>
      </c>
      <c r="G45" s="34">
        <v>65286878.990000002</v>
      </c>
      <c r="H45" s="280">
        <f t="shared" si="11"/>
        <v>0.93284455503907315</v>
      </c>
      <c r="I45" s="34">
        <v>46000000</v>
      </c>
      <c r="J45" s="178">
        <f t="shared" si="12"/>
        <v>0.65726605706439156</v>
      </c>
      <c r="K45" s="205">
        <v>66032054.990000002</v>
      </c>
      <c r="L45" s="280">
        <v>1</v>
      </c>
      <c r="M45" s="211">
        <f t="shared" si="8"/>
        <v>-1.1285064505607956E-2</v>
      </c>
      <c r="N45" s="579">
        <v>58477327.799999997</v>
      </c>
      <c r="O45" s="280">
        <v>0.88559000335300631</v>
      </c>
      <c r="P45" s="153">
        <f t="shared" si="9"/>
        <v>-0.21337034829419821</v>
      </c>
      <c r="R45" s="275"/>
    </row>
    <row r="46" spans="1:18" ht="14.1" customHeight="1" x14ac:dyDescent="0.25">
      <c r="A46" s="39" t="s">
        <v>78</v>
      </c>
      <c r="B46" s="40" t="s">
        <v>102</v>
      </c>
      <c r="C46" s="200">
        <v>17748245.370000001</v>
      </c>
      <c r="D46" s="206">
        <v>20618290.68</v>
      </c>
      <c r="E46" s="34">
        <v>17065053.18</v>
      </c>
      <c r="F46" s="280">
        <f t="shared" si="10"/>
        <v>0.82766575779016027</v>
      </c>
      <c r="G46" s="34">
        <v>16794899.18</v>
      </c>
      <c r="H46" s="280">
        <f t="shared" si="11"/>
        <v>0.81456311973966211</v>
      </c>
      <c r="I46" s="34">
        <v>1613252.66</v>
      </c>
      <c r="J46" s="178">
        <f t="shared" si="12"/>
        <v>7.8243763512601705E-2</v>
      </c>
      <c r="K46" s="205">
        <v>15652521.07</v>
      </c>
      <c r="L46" s="610">
        <v>0.94883103019653703</v>
      </c>
      <c r="M46" s="211">
        <f t="shared" si="8"/>
        <v>7.298364940006441E-2</v>
      </c>
      <c r="N46" s="579">
        <v>1153447.99</v>
      </c>
      <c r="O46" s="610">
        <v>6.9920189836219462E-2</v>
      </c>
      <c r="P46" s="153">
        <f t="shared" si="9"/>
        <v>0.39863493975137954</v>
      </c>
      <c r="R46" s="275"/>
    </row>
    <row r="47" spans="1:18" ht="14.1" customHeight="1" x14ac:dyDescent="0.25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211322.62</v>
      </c>
      <c r="F47" s="280">
        <f t="shared" si="10"/>
        <v>1</v>
      </c>
      <c r="G47" s="34">
        <v>211322.62</v>
      </c>
      <c r="H47" s="280">
        <f t="shared" si="11"/>
        <v>1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0</v>
      </c>
      <c r="N47" s="579">
        <v>0</v>
      </c>
      <c r="O47" s="280">
        <v>0</v>
      </c>
      <c r="P47" s="153" t="s">
        <v>129</v>
      </c>
    </row>
    <row r="48" spans="1:18" ht="14.1" customHeight="1" x14ac:dyDescent="0.25">
      <c r="A48" s="253">
        <v>337</v>
      </c>
      <c r="B48" s="40" t="s">
        <v>483</v>
      </c>
      <c r="C48" s="661">
        <v>15245118.1</v>
      </c>
      <c r="D48" s="397">
        <v>15941014.48</v>
      </c>
      <c r="E48" s="398">
        <v>14011176.210000001</v>
      </c>
      <c r="F48" s="412">
        <f t="shared" si="10"/>
        <v>0.87893880452707551</v>
      </c>
      <c r="G48" s="398">
        <v>13447505.550000001</v>
      </c>
      <c r="H48" s="412">
        <f t="shared" si="11"/>
        <v>0.84357903111320687</v>
      </c>
      <c r="I48" s="398">
        <v>6810047.0199999996</v>
      </c>
      <c r="J48" s="178">
        <f t="shared" si="12"/>
        <v>0.42720286268756963</v>
      </c>
      <c r="K48" s="205">
        <v>12108223.390000001</v>
      </c>
      <c r="L48" s="280">
        <v>0.8151168758489189</v>
      </c>
      <c r="M48" s="211">
        <f t="shared" si="8"/>
        <v>0.11060930384767209</v>
      </c>
      <c r="N48" s="579">
        <v>5995941.1100000003</v>
      </c>
      <c r="O48" s="280">
        <v>0.40364243604835731</v>
      </c>
      <c r="P48" s="153">
        <f t="shared" si="9"/>
        <v>0.13577616842204088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5">
      <c r="A50" s="8" t="s">
        <v>533</v>
      </c>
      <c r="C50" s="164" t="s">
        <v>765</v>
      </c>
      <c r="D50" s="746" t="s">
        <v>780</v>
      </c>
      <c r="E50" s="744"/>
      <c r="F50" s="744"/>
      <c r="G50" s="744"/>
      <c r="H50" s="744"/>
      <c r="I50" s="744"/>
      <c r="J50" s="745"/>
      <c r="K50" s="755" t="s">
        <v>781</v>
      </c>
      <c r="L50" s="753"/>
      <c r="M50" s="753"/>
      <c r="N50" s="753"/>
      <c r="O50" s="753"/>
      <c r="P50" s="754"/>
      <c r="R50"/>
    </row>
    <row r="51" spans="1:19" ht="12.75" customHeight="1" x14ac:dyDescent="0.25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543</v>
      </c>
      <c r="L51" s="88" t="s">
        <v>544</v>
      </c>
      <c r="M51" s="88" t="s">
        <v>545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5">
      <c r="A52" s="680"/>
      <c r="B52" s="518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13" t="s">
        <v>764</v>
      </c>
      <c r="N52" s="564" t="s">
        <v>17</v>
      </c>
      <c r="O52" s="89" t="s">
        <v>18</v>
      </c>
      <c r="P52" s="648" t="s">
        <v>764</v>
      </c>
      <c r="R52"/>
    </row>
    <row r="53" spans="1:19" ht="14.1" customHeight="1" x14ac:dyDescent="0.25">
      <c r="A53" s="699">
        <v>338</v>
      </c>
      <c r="B53" s="38" t="s">
        <v>428</v>
      </c>
      <c r="C53" s="530">
        <v>8127724.7699999996</v>
      </c>
      <c r="D53" s="516">
        <v>8346600.8700000001</v>
      </c>
      <c r="E53" s="180">
        <v>7478732.4400000004</v>
      </c>
      <c r="F53" s="48">
        <f t="shared" si="10"/>
        <v>0.89602133329277078</v>
      </c>
      <c r="G53" s="180">
        <v>7197352.6699999999</v>
      </c>
      <c r="H53" s="48">
        <f t="shared" si="11"/>
        <v>0.86230943375635494</v>
      </c>
      <c r="I53" s="180">
        <v>1232502.96</v>
      </c>
      <c r="J53" s="153">
        <f t="shared" si="12"/>
        <v>0.14766525669508862</v>
      </c>
      <c r="K53" s="204">
        <v>5355796.25</v>
      </c>
      <c r="L53" s="48">
        <v>0.7732766427222898</v>
      </c>
      <c r="M53" s="210">
        <f t="shared" si="8"/>
        <v>0.34384362922693334</v>
      </c>
      <c r="N53" s="578">
        <v>695072.89</v>
      </c>
      <c r="O53" s="48">
        <v>0.10035550378274369</v>
      </c>
      <c r="P53" s="153">
        <f t="shared" si="9"/>
        <v>0.77319958486655982</v>
      </c>
    </row>
    <row r="54" spans="1:19" ht="14.1" customHeight="1" x14ac:dyDescent="0.25">
      <c r="A54" s="253" t="s">
        <v>79</v>
      </c>
      <c r="B54" s="40" t="s">
        <v>115</v>
      </c>
      <c r="C54" s="200">
        <v>14042820.529999999</v>
      </c>
      <c r="D54" s="206">
        <v>13075938.869999999</v>
      </c>
      <c r="E54" s="34">
        <v>12263893.51</v>
      </c>
      <c r="F54" s="390">
        <f t="shared" si="10"/>
        <v>0.93789773965194445</v>
      </c>
      <c r="G54" s="34">
        <v>12157076.130000001</v>
      </c>
      <c r="H54" s="390">
        <f t="shared" si="11"/>
        <v>0.92972873694690206</v>
      </c>
      <c r="I54" s="34">
        <v>4075941.84</v>
      </c>
      <c r="J54" s="392">
        <f t="shared" si="12"/>
        <v>0.31171313054631922</v>
      </c>
      <c r="K54" s="205">
        <v>12302043.84</v>
      </c>
      <c r="L54" s="390">
        <v>0.97341325734029194</v>
      </c>
      <c r="M54" s="211">
        <f t="shared" si="8"/>
        <v>-1.1784034578761426E-2</v>
      </c>
      <c r="N54" s="579">
        <v>5123764.91</v>
      </c>
      <c r="O54" s="390">
        <v>0.40542374549764143</v>
      </c>
      <c r="P54" s="178">
        <f t="shared" si="9"/>
        <v>-0.20450256567294389</v>
      </c>
    </row>
    <row r="55" spans="1:19" ht="14.1" customHeight="1" x14ac:dyDescent="0.25">
      <c r="A55" s="253">
        <v>342</v>
      </c>
      <c r="B55" s="40" t="s">
        <v>484</v>
      </c>
      <c r="C55" s="200">
        <v>5455050.5800000001</v>
      </c>
      <c r="D55" s="206">
        <v>6466117.6299999999</v>
      </c>
      <c r="E55" s="34">
        <v>6411530.8799999999</v>
      </c>
      <c r="F55" s="390">
        <f t="shared" si="10"/>
        <v>0.9915580332552657</v>
      </c>
      <c r="G55" s="34">
        <v>6411530.8799999999</v>
      </c>
      <c r="H55" s="390">
        <f t="shared" si="11"/>
        <v>0.9915580332552657</v>
      </c>
      <c r="I55" s="34">
        <v>1333714.18</v>
      </c>
      <c r="J55" s="392">
        <f t="shared" si="12"/>
        <v>0.20626197299785282</v>
      </c>
      <c r="K55" s="205">
        <v>6317104.3899999997</v>
      </c>
      <c r="L55" s="390">
        <v>0.99181905207445498</v>
      </c>
      <c r="M55" s="211">
        <f t="shared" si="8"/>
        <v>1.4947748868845201E-2</v>
      </c>
      <c r="N55" s="579">
        <v>77030.48</v>
      </c>
      <c r="O55" s="390">
        <v>1.2094195843174955E-2</v>
      </c>
      <c r="P55" s="178">
        <f t="shared" si="9"/>
        <v>16.314109687489939</v>
      </c>
    </row>
    <row r="56" spans="1:19" ht="14.1" customHeight="1" x14ac:dyDescent="0.25">
      <c r="A56" s="531">
        <v>343</v>
      </c>
      <c r="B56" s="533" t="s">
        <v>435</v>
      </c>
      <c r="C56" s="661">
        <v>6518951.2199999997</v>
      </c>
      <c r="D56" s="397">
        <v>6518951.2199999997</v>
      </c>
      <c r="E56" s="398">
        <v>6518951.2199999997</v>
      </c>
      <c r="F56" s="412">
        <f t="shared" si="10"/>
        <v>1</v>
      </c>
      <c r="G56" s="398">
        <v>6518951.2199999997</v>
      </c>
      <c r="H56" s="412">
        <f t="shared" si="11"/>
        <v>1</v>
      </c>
      <c r="I56" s="398">
        <v>0</v>
      </c>
      <c r="J56" s="427">
        <f t="shared" si="12"/>
        <v>0</v>
      </c>
      <c r="K56" s="397">
        <v>7608676.7199999997</v>
      </c>
      <c r="L56" s="412">
        <v>1</v>
      </c>
      <c r="M56" s="665">
        <f t="shared" si="8"/>
        <v>-0.14322142208192024</v>
      </c>
      <c r="N56" s="635">
        <v>0</v>
      </c>
      <c r="O56" s="390">
        <v>0</v>
      </c>
      <c r="P56" s="667" t="s">
        <v>129</v>
      </c>
    </row>
    <row r="57" spans="1:19" ht="14.1" customHeight="1" x14ac:dyDescent="0.25">
      <c r="A57" s="532">
        <v>3</v>
      </c>
      <c r="B57" s="2" t="s">
        <v>124</v>
      </c>
      <c r="C57" s="201">
        <f>SUM(C34:C48,C53:C56)</f>
        <v>317974199.00999999</v>
      </c>
      <c r="D57" s="207">
        <f>SUM(D34:D48,D53:D56)</f>
        <v>321025916.60000008</v>
      </c>
      <c r="E57" s="203">
        <f>SUM(E34:E48,E53:E56)</f>
        <v>297352852.8300001</v>
      </c>
      <c r="F57" s="90">
        <f t="shared" si="10"/>
        <v>0.92625809149391281</v>
      </c>
      <c r="G57" s="203">
        <f>SUM(G34:G48,G53:G56)</f>
        <v>295558041.0800001</v>
      </c>
      <c r="H57" s="90">
        <f t="shared" si="11"/>
        <v>0.92066722902084852</v>
      </c>
      <c r="I57" s="203">
        <f>SUM(I34:I48,I53:I56)</f>
        <v>136189745.88999999</v>
      </c>
      <c r="J57" s="170">
        <f t="shared" si="12"/>
        <v>0.42423286983303937</v>
      </c>
      <c r="K57" s="152">
        <f>SUM(K34:K56)</f>
        <v>296039939.47999996</v>
      </c>
      <c r="L57" s="90">
        <v>0.95575284936265503</v>
      </c>
      <c r="M57" s="213">
        <f t="shared" ref="M57:M64" si="13">+G57/K57-1</f>
        <v>-1.6278154928903721E-3</v>
      </c>
      <c r="N57" s="568">
        <f>SUM(N34:N48,N53:N56)</f>
        <v>144980069.86999997</v>
      </c>
      <c r="O57" s="90">
        <v>0.46806223215165382</v>
      </c>
      <c r="P57" s="170">
        <f t="shared" ref="P57:P64" si="14">+I57/N57-1</f>
        <v>-6.0631257716195486E-2</v>
      </c>
    </row>
    <row r="58" spans="1:19" ht="14.1" customHeight="1" x14ac:dyDescent="0.25">
      <c r="A58" s="37">
        <v>430</v>
      </c>
      <c r="B58" s="534" t="s">
        <v>744</v>
      </c>
      <c r="C58" s="198">
        <v>4583248.97</v>
      </c>
      <c r="D58" s="516">
        <v>5239143.75</v>
      </c>
      <c r="E58" s="180">
        <v>1900051.37</v>
      </c>
      <c r="F58" s="78">
        <f t="shared" si="10"/>
        <v>0.36266448501246029</v>
      </c>
      <c r="G58" s="180">
        <v>1801197.28</v>
      </c>
      <c r="H58" s="414">
        <f t="shared" si="11"/>
        <v>0.34379611744762684</v>
      </c>
      <c r="I58" s="180">
        <v>1773785.03</v>
      </c>
      <c r="J58" s="153">
        <f t="shared" si="12"/>
        <v>0.3385639170522855</v>
      </c>
      <c r="K58" s="650">
        <v>2250984.67</v>
      </c>
      <c r="L58" s="48">
        <v>0.47226785457814074</v>
      </c>
      <c r="M58" s="210">
        <f t="shared" si="13"/>
        <v>-0.19981806006701941</v>
      </c>
      <c r="N58" s="615">
        <v>2097383.2200000002</v>
      </c>
      <c r="O58" s="48">
        <v>0.44004150127668024</v>
      </c>
      <c r="P58" s="153">
        <f t="shared" si="14"/>
        <v>-0.15428663055671832</v>
      </c>
    </row>
    <row r="59" spans="1:19" ht="14.1" customHeight="1" x14ac:dyDescent="0.25">
      <c r="A59" s="37" t="s">
        <v>80</v>
      </c>
      <c r="B59" s="38" t="s">
        <v>103</v>
      </c>
      <c r="C59" s="200">
        <v>37609119.530000001</v>
      </c>
      <c r="D59" s="206">
        <v>33244598.789999999</v>
      </c>
      <c r="E59" s="34">
        <v>29118153.600000001</v>
      </c>
      <c r="F59" s="48">
        <f t="shared" si="10"/>
        <v>0.87587622229806439</v>
      </c>
      <c r="G59" s="34">
        <v>26886645.859999999</v>
      </c>
      <c r="H59" s="48">
        <f t="shared" si="11"/>
        <v>0.80875230379039864</v>
      </c>
      <c r="I59" s="34">
        <v>4966248.78</v>
      </c>
      <c r="J59" s="153">
        <f t="shared" si="12"/>
        <v>0.14938513204418191</v>
      </c>
      <c r="K59" s="650">
        <v>12328328.68</v>
      </c>
      <c r="L59" s="48">
        <v>0.60221246119336791</v>
      </c>
      <c r="M59" s="210">
        <f t="shared" si="13"/>
        <v>1.1808832776836704</v>
      </c>
      <c r="N59" s="615">
        <v>1388555.23</v>
      </c>
      <c r="O59" s="48">
        <v>6.7827950103064832E-2</v>
      </c>
      <c r="P59" s="153">
        <f t="shared" si="14"/>
        <v>2.5765583339454206</v>
      </c>
    </row>
    <row r="60" spans="1:19" ht="14.1" customHeight="1" x14ac:dyDescent="0.25">
      <c r="A60" s="39" t="s">
        <v>81</v>
      </c>
      <c r="B60" s="40" t="s">
        <v>485</v>
      </c>
      <c r="C60" s="200">
        <v>2743104</v>
      </c>
      <c r="D60" s="206">
        <v>8658123.4000000004</v>
      </c>
      <c r="E60" s="34">
        <v>3167881.33</v>
      </c>
      <c r="F60" s="280">
        <f t="shared" si="10"/>
        <v>0.36588544464496775</v>
      </c>
      <c r="G60" s="34">
        <v>2985180.21</v>
      </c>
      <c r="H60" s="280">
        <f t="shared" si="11"/>
        <v>0.3447837449394634</v>
      </c>
      <c r="I60" s="34">
        <v>1926858.57</v>
      </c>
      <c r="J60" s="178">
        <f t="shared" si="12"/>
        <v>0.22254921545701231</v>
      </c>
      <c r="K60" s="651">
        <v>3569073.82</v>
      </c>
      <c r="L60" s="280">
        <v>0.5626379743944796</v>
      </c>
      <c r="M60" s="211">
        <f t="shared" si="13"/>
        <v>-0.1635980759848783</v>
      </c>
      <c r="N60" s="616">
        <v>2989269.04</v>
      </c>
      <c r="O60" s="280">
        <v>0.47123605798260876</v>
      </c>
      <c r="P60" s="178">
        <f t="shared" si="14"/>
        <v>-0.35540811341624834</v>
      </c>
    </row>
    <row r="61" spans="1:19" ht="14.1" customHeight="1" x14ac:dyDescent="0.25">
      <c r="A61" s="39" t="s">
        <v>82</v>
      </c>
      <c r="B61" s="40" t="s">
        <v>104</v>
      </c>
      <c r="C61" s="200">
        <v>54474980.619999997</v>
      </c>
      <c r="D61" s="206">
        <v>59939435.920000002</v>
      </c>
      <c r="E61" s="34">
        <v>22546972.34</v>
      </c>
      <c r="F61" s="280">
        <f t="shared" si="10"/>
        <v>0.37616257133438835</v>
      </c>
      <c r="G61" s="34">
        <v>17224724.010000002</v>
      </c>
      <c r="H61" s="280">
        <f t="shared" si="11"/>
        <v>0.28736880395386943</v>
      </c>
      <c r="I61" s="34">
        <v>14247906.949999999</v>
      </c>
      <c r="J61" s="178">
        <f t="shared" si="12"/>
        <v>0.23770505563342978</v>
      </c>
      <c r="K61" s="651">
        <v>20597262.109999999</v>
      </c>
      <c r="L61" s="280">
        <v>0.34512802720751323</v>
      </c>
      <c r="M61" s="211">
        <f t="shared" si="13"/>
        <v>-0.16373720361419419</v>
      </c>
      <c r="N61" s="616">
        <v>16933706.260000002</v>
      </c>
      <c r="O61" s="280">
        <v>0.28374143143946801</v>
      </c>
      <c r="P61" s="178">
        <f t="shared" si="14"/>
        <v>-0.15860670244081598</v>
      </c>
      <c r="R61" s="279"/>
      <c r="S61" s="279"/>
    </row>
    <row r="62" spans="1:19" ht="14.1" customHeight="1" x14ac:dyDescent="0.25">
      <c r="A62" s="39" t="s">
        <v>83</v>
      </c>
      <c r="B62" s="40" t="s">
        <v>486</v>
      </c>
      <c r="C62" s="200">
        <v>162462056</v>
      </c>
      <c r="D62" s="206">
        <v>159996278.41</v>
      </c>
      <c r="E62" s="34">
        <v>128902206.55</v>
      </c>
      <c r="F62" s="280">
        <f t="shared" si="10"/>
        <v>0.8056575304813054</v>
      </c>
      <c r="G62" s="34">
        <v>126709264.56999999</v>
      </c>
      <c r="H62" s="280">
        <f t="shared" si="11"/>
        <v>0.79195132430080628</v>
      </c>
      <c r="I62" s="34">
        <v>59380642.909999996</v>
      </c>
      <c r="J62" s="178">
        <f t="shared" si="12"/>
        <v>0.37113765082606209</v>
      </c>
      <c r="K62" s="651">
        <v>127616368</v>
      </c>
      <c r="L62" s="280">
        <v>0.77836828313607243</v>
      </c>
      <c r="M62" s="211">
        <f t="shared" si="13"/>
        <v>-7.1080492590104294E-3</v>
      </c>
      <c r="N62" s="616">
        <v>69831228.680000007</v>
      </c>
      <c r="O62" s="280">
        <v>0.42592039272684884</v>
      </c>
      <c r="P62" s="178">
        <f t="shared" si="14"/>
        <v>-0.14965490322230446</v>
      </c>
      <c r="R62" s="279"/>
      <c r="S62" s="279"/>
    </row>
    <row r="63" spans="1:19" ht="14.1" customHeight="1" x14ac:dyDescent="0.25">
      <c r="A63" s="39">
        <v>491</v>
      </c>
      <c r="B63" s="40" t="s">
        <v>498</v>
      </c>
      <c r="C63" s="200">
        <v>34765352.369999997</v>
      </c>
      <c r="D63" s="206">
        <v>38294457.909999996</v>
      </c>
      <c r="E63" s="34">
        <v>36647054.609999999</v>
      </c>
      <c r="F63" s="280">
        <f t="shared" si="10"/>
        <v>0.95698063401571731</v>
      </c>
      <c r="G63" s="34">
        <v>36578865.229999997</v>
      </c>
      <c r="H63" s="280">
        <f t="shared" si="11"/>
        <v>0.95519997478402741</v>
      </c>
      <c r="I63" s="34">
        <v>6938233.5800000001</v>
      </c>
      <c r="J63" s="178">
        <f t="shared" si="12"/>
        <v>0.18118114104934724</v>
      </c>
      <c r="K63" s="651">
        <v>15669752</v>
      </c>
      <c r="L63" s="280">
        <v>1</v>
      </c>
      <c r="M63" s="211">
        <f t="shared" si="13"/>
        <v>1.3343614646868693</v>
      </c>
      <c r="N63" s="616">
        <v>5400000</v>
      </c>
      <c r="O63" s="280">
        <v>0.34461298430249565</v>
      </c>
      <c r="P63" s="178">
        <f t="shared" si="14"/>
        <v>0.28485807037037048</v>
      </c>
      <c r="R63" s="279"/>
      <c r="S63" s="279"/>
    </row>
    <row r="64" spans="1:19" ht="14.1" customHeight="1" x14ac:dyDescent="0.25">
      <c r="A64" s="41" t="s">
        <v>84</v>
      </c>
      <c r="B64" s="662" t="s">
        <v>487</v>
      </c>
      <c r="C64" s="661">
        <v>1548192.01</v>
      </c>
      <c r="D64" s="397">
        <v>1470667.36</v>
      </c>
      <c r="E64" s="398">
        <v>788398.12</v>
      </c>
      <c r="F64" s="412">
        <f t="shared" si="10"/>
        <v>0.53608187782178018</v>
      </c>
      <c r="G64" s="398">
        <v>385482.84</v>
      </c>
      <c r="H64" s="412">
        <f t="shared" si="11"/>
        <v>0.26211422819637475</v>
      </c>
      <c r="I64" s="398">
        <v>333855.51</v>
      </c>
      <c r="J64" s="427">
        <f t="shared" si="12"/>
        <v>0.22700953259750048</v>
      </c>
      <c r="K64" s="663">
        <v>601354.5</v>
      </c>
      <c r="L64" s="412">
        <v>0.34761744893235275</v>
      </c>
      <c r="M64" s="443">
        <f t="shared" si="13"/>
        <v>-0.35897571232941627</v>
      </c>
      <c r="N64" s="664">
        <v>544747.56999999995</v>
      </c>
      <c r="O64" s="412">
        <v>0.31489539131327399</v>
      </c>
      <c r="P64" s="427">
        <f t="shared" si="14"/>
        <v>-0.38713722027250153</v>
      </c>
    </row>
    <row r="65" spans="1:21" ht="14.1" customHeight="1" x14ac:dyDescent="0.25">
      <c r="A65" s="18">
        <v>4</v>
      </c>
      <c r="B65" s="518" t="s">
        <v>123</v>
      </c>
      <c r="C65" s="201">
        <f>SUM(C58:C64)</f>
        <v>298186053.5</v>
      </c>
      <c r="D65" s="713">
        <f>SUM(D58:D64)</f>
        <v>306842705.53999996</v>
      </c>
      <c r="E65" s="714">
        <f>SUM(E58:E64)</f>
        <v>223070717.92000002</v>
      </c>
      <c r="F65" s="90">
        <f t="shared" si="10"/>
        <v>0.72698719536912881</v>
      </c>
      <c r="G65" s="203">
        <f>SUM(G58:G64)</f>
        <v>212571360</v>
      </c>
      <c r="H65" s="90">
        <f t="shared" si="11"/>
        <v>0.69276980081994888</v>
      </c>
      <c r="I65" s="203">
        <f>SUM(I58:I64)</f>
        <v>89567531.329999998</v>
      </c>
      <c r="J65" s="170">
        <f t="shared" si="12"/>
        <v>0.29190047445440737</v>
      </c>
      <c r="K65" s="152">
        <f>SUM(K58:K64)</f>
        <v>182633123.78</v>
      </c>
      <c r="L65" s="90">
        <v>0.66969509624609525</v>
      </c>
      <c r="M65" s="213">
        <f t="shared" ref="M65:M78" si="15">+G65/K65-1</f>
        <v>0.16392555523533403</v>
      </c>
      <c r="N65" s="568">
        <f>SUBTOTAL(9,N58:N64)</f>
        <v>99184890</v>
      </c>
      <c r="O65" s="90">
        <v>0.36369982114921456</v>
      </c>
      <c r="P65" s="170">
        <f t="shared" ref="P65:P78" si="16">+I65/N65-1</f>
        <v>-9.6963949549170314E-2</v>
      </c>
    </row>
    <row r="66" spans="1:21" ht="14.1" customHeight="1" x14ac:dyDescent="0.25">
      <c r="A66" s="37" t="s">
        <v>85</v>
      </c>
      <c r="B66" s="38" t="s">
        <v>113</v>
      </c>
      <c r="C66" s="198">
        <v>30183531.489999998</v>
      </c>
      <c r="D66" s="516">
        <v>30204212.539999999</v>
      </c>
      <c r="E66" s="180">
        <v>13819806.67</v>
      </c>
      <c r="F66" s="48">
        <f t="shared" si="10"/>
        <v>0.45754567021729747</v>
      </c>
      <c r="G66" s="180">
        <v>12418507.33</v>
      </c>
      <c r="H66" s="48">
        <f t="shared" si="11"/>
        <v>0.41115150125347383</v>
      </c>
      <c r="I66" s="30">
        <v>10396116.57</v>
      </c>
      <c r="J66" s="153">
        <f t="shared" si="12"/>
        <v>0.34419425953357435</v>
      </c>
      <c r="K66" s="650">
        <v>15166076.810000001</v>
      </c>
      <c r="L66" s="48">
        <v>0.49501979543650465</v>
      </c>
      <c r="M66" s="210">
        <f t="shared" si="15"/>
        <v>-0.18116547307661968</v>
      </c>
      <c r="N66" s="615">
        <v>13482953.039999999</v>
      </c>
      <c r="O66" s="48">
        <v>0.44008274119645563</v>
      </c>
      <c r="P66" s="153">
        <f t="shared" si="16"/>
        <v>-0.22894364912806953</v>
      </c>
    </row>
    <row r="67" spans="1:21" ht="14.1" customHeight="1" x14ac:dyDescent="0.25">
      <c r="A67" s="39" t="s">
        <v>86</v>
      </c>
      <c r="B67" s="40" t="s">
        <v>745</v>
      </c>
      <c r="C67" s="200">
        <v>58410922.509999998</v>
      </c>
      <c r="D67" s="206">
        <v>60659638.149999999</v>
      </c>
      <c r="E67" s="34">
        <v>28444437.98</v>
      </c>
      <c r="F67" s="280">
        <f t="shared" si="10"/>
        <v>0.4689186887277863</v>
      </c>
      <c r="G67" s="34">
        <v>24563396.960000001</v>
      </c>
      <c r="H67" s="280">
        <f t="shared" si="11"/>
        <v>0.40493807264822929</v>
      </c>
      <c r="I67" s="34">
        <v>17720285.98</v>
      </c>
      <c r="J67" s="178">
        <f t="shared" si="12"/>
        <v>0.2921264702598626</v>
      </c>
      <c r="K67" s="651">
        <v>27786158.93</v>
      </c>
      <c r="L67" s="280">
        <v>0.4496100450872591</v>
      </c>
      <c r="M67" s="211">
        <f t="shared" si="15"/>
        <v>-0.11598443592433594</v>
      </c>
      <c r="N67" s="616">
        <v>21374885.949999999</v>
      </c>
      <c r="O67" s="280">
        <v>0.34586872766132709</v>
      </c>
      <c r="P67" s="178">
        <f t="shared" si="16"/>
        <v>-0.17097634946679086</v>
      </c>
    </row>
    <row r="68" spans="1:21" ht="14.1" customHeight="1" x14ac:dyDescent="0.25">
      <c r="A68" s="39" t="s">
        <v>87</v>
      </c>
      <c r="B68" s="40" t="s">
        <v>116</v>
      </c>
      <c r="C68" s="200">
        <v>7218581.6100000003</v>
      </c>
      <c r="D68" s="206">
        <v>7260705.21</v>
      </c>
      <c r="E68" s="34">
        <v>3853625.98</v>
      </c>
      <c r="F68" s="280">
        <f t="shared" si="10"/>
        <v>0.53075092136952351</v>
      </c>
      <c r="G68" s="34">
        <v>3393830.15</v>
      </c>
      <c r="H68" s="280">
        <f t="shared" si="11"/>
        <v>0.46742431373274274</v>
      </c>
      <c r="I68" s="34">
        <v>2816229.6</v>
      </c>
      <c r="J68" s="178">
        <f t="shared" si="12"/>
        <v>0.38787273667594613</v>
      </c>
      <c r="K68" s="651">
        <v>2786119.92</v>
      </c>
      <c r="L68" s="280">
        <v>0.37146032083382891</v>
      </c>
      <c r="M68" s="211">
        <f t="shared" si="15"/>
        <v>0.21812062920823605</v>
      </c>
      <c r="N68" s="616">
        <v>2664261.77</v>
      </c>
      <c r="O68" s="280">
        <v>0.3552135443866698</v>
      </c>
      <c r="P68" s="178">
        <f t="shared" si="16"/>
        <v>5.7039376427339583E-2</v>
      </c>
      <c r="T68" s="254"/>
      <c r="U68" s="254"/>
    </row>
    <row r="69" spans="1:21" ht="14.1" customHeight="1" x14ac:dyDescent="0.25">
      <c r="A69" s="39" t="s">
        <v>88</v>
      </c>
      <c r="B69" s="40" t="s">
        <v>111</v>
      </c>
      <c r="C69" s="200">
        <v>3332924.07</v>
      </c>
      <c r="D69" s="206">
        <v>2321787.4900000002</v>
      </c>
      <c r="E69" s="34">
        <v>1222885.94</v>
      </c>
      <c r="F69" s="280">
        <f t="shared" ref="F69:F80" si="17">+E69/D69</f>
        <v>0.52670020200685974</v>
      </c>
      <c r="G69" s="34">
        <v>1118017.67</v>
      </c>
      <c r="H69" s="280">
        <f t="shared" si="11"/>
        <v>0.48153316133165996</v>
      </c>
      <c r="I69" s="34">
        <v>843431.21</v>
      </c>
      <c r="J69" s="178">
        <f t="shared" si="12"/>
        <v>0.36326804827430603</v>
      </c>
      <c r="K69" s="651">
        <v>1208662.8500000001</v>
      </c>
      <c r="L69" s="280">
        <v>0.50950024376839342</v>
      </c>
      <c r="M69" s="211">
        <f t="shared" si="15"/>
        <v>-7.4996248953957845E-2</v>
      </c>
      <c r="N69" s="616">
        <v>942321.18</v>
      </c>
      <c r="O69" s="280">
        <v>0.39722646469867101</v>
      </c>
      <c r="P69" s="178">
        <f t="shared" si="16"/>
        <v>-0.10494295586139757</v>
      </c>
      <c r="T69" s="254"/>
      <c r="U69" s="254"/>
    </row>
    <row r="70" spans="1:21" ht="14.1" customHeight="1" x14ac:dyDescent="0.25">
      <c r="A70" s="39" t="s">
        <v>89</v>
      </c>
      <c r="B70" s="40" t="s">
        <v>105</v>
      </c>
      <c r="C70" s="200">
        <v>15684736.65</v>
      </c>
      <c r="D70" s="206">
        <v>16087491.08</v>
      </c>
      <c r="E70" s="34">
        <v>10023749.939999999</v>
      </c>
      <c r="F70" s="280">
        <f t="shared" si="17"/>
        <v>0.62307726482357118</v>
      </c>
      <c r="G70" s="34">
        <v>4930046.0599999996</v>
      </c>
      <c r="H70" s="280">
        <f t="shared" si="11"/>
        <v>0.30645213945939914</v>
      </c>
      <c r="I70" s="34">
        <v>2704943.19</v>
      </c>
      <c r="J70" s="178">
        <f t="shared" si="12"/>
        <v>0.16813953005778448</v>
      </c>
      <c r="K70" s="651">
        <v>4009038.88</v>
      </c>
      <c r="L70" s="280">
        <v>0.29260765545977002</v>
      </c>
      <c r="M70" s="211">
        <f t="shared" si="15"/>
        <v>0.22973266350562294</v>
      </c>
      <c r="N70" s="616">
        <v>2494410.13</v>
      </c>
      <c r="O70" s="280">
        <v>0.18205947154456137</v>
      </c>
      <c r="P70" s="178">
        <f t="shared" si="16"/>
        <v>8.4401942354203063E-2</v>
      </c>
      <c r="T70" s="254"/>
      <c r="U70" s="254"/>
    </row>
    <row r="71" spans="1:21" ht="14.1" customHeight="1" x14ac:dyDescent="0.25">
      <c r="A71" s="39" t="s">
        <v>90</v>
      </c>
      <c r="B71" s="40" t="s">
        <v>120</v>
      </c>
      <c r="C71" s="200">
        <v>39167636.100000001</v>
      </c>
      <c r="D71" s="206">
        <v>39568452.170000002</v>
      </c>
      <c r="E71" s="34">
        <v>28952946.18</v>
      </c>
      <c r="F71" s="280">
        <f t="shared" si="17"/>
        <v>0.73171793669380725</v>
      </c>
      <c r="G71" s="34">
        <v>23465764.18</v>
      </c>
      <c r="H71" s="280">
        <f t="shared" si="11"/>
        <v>0.59304225697742274</v>
      </c>
      <c r="I71" s="34">
        <v>10544513.75</v>
      </c>
      <c r="J71" s="178">
        <f t="shared" si="12"/>
        <v>0.26648790063096367</v>
      </c>
      <c r="K71" s="651">
        <v>17736093.239999998</v>
      </c>
      <c r="L71" s="280">
        <v>0.45265664164540775</v>
      </c>
      <c r="M71" s="211">
        <f t="shared" si="15"/>
        <v>0.32305146699826448</v>
      </c>
      <c r="N71" s="616">
        <v>9714270.7400000002</v>
      </c>
      <c r="O71" s="280">
        <v>0.2479254653040294</v>
      </c>
      <c r="P71" s="178">
        <f t="shared" si="16"/>
        <v>8.5466323949706879E-2</v>
      </c>
      <c r="T71" s="254"/>
      <c r="U71" s="254"/>
    </row>
    <row r="72" spans="1:21" ht="14.1" customHeight="1" x14ac:dyDescent="0.25">
      <c r="A72" s="39" t="s">
        <v>91</v>
      </c>
      <c r="B72" s="40" t="s">
        <v>488</v>
      </c>
      <c r="C72" s="200">
        <v>49281328.299999997</v>
      </c>
      <c r="D72" s="206">
        <v>50310609.210000001</v>
      </c>
      <c r="E72" s="34">
        <v>44340253.490000002</v>
      </c>
      <c r="F72" s="280">
        <f t="shared" si="17"/>
        <v>0.8813300849711575</v>
      </c>
      <c r="G72" s="34">
        <v>44025808.369999997</v>
      </c>
      <c r="H72" s="280">
        <f t="shared" si="11"/>
        <v>0.87508000919315432</v>
      </c>
      <c r="I72" s="34">
        <v>22783428.129999999</v>
      </c>
      <c r="J72" s="178">
        <f t="shared" si="12"/>
        <v>0.45285534180077958</v>
      </c>
      <c r="K72" s="651">
        <v>45391541.880000003</v>
      </c>
      <c r="L72" s="280">
        <v>0.77405373839881975</v>
      </c>
      <c r="M72" s="211">
        <f t="shared" si="15"/>
        <v>-3.0087841334197174E-2</v>
      </c>
      <c r="N72" s="616">
        <v>15402540.119999999</v>
      </c>
      <c r="O72" s="280">
        <v>0.26265672561294812</v>
      </c>
      <c r="P72" s="178">
        <f t="shared" si="16"/>
        <v>0.47919940168933639</v>
      </c>
    </row>
    <row r="73" spans="1:21" ht="14.1" customHeight="1" x14ac:dyDescent="0.25">
      <c r="A73" s="39" t="s">
        <v>92</v>
      </c>
      <c r="B73" s="40" t="s">
        <v>118</v>
      </c>
      <c r="C73" s="200">
        <v>44564324.299999997</v>
      </c>
      <c r="D73" s="206">
        <v>22456351</v>
      </c>
      <c r="E73" s="34">
        <v>2913.68</v>
      </c>
      <c r="F73" s="280">
        <f t="shared" si="17"/>
        <v>1.297485953973555E-4</v>
      </c>
      <c r="G73" s="34">
        <v>2913.68</v>
      </c>
      <c r="H73" s="280">
        <f t="shared" si="11"/>
        <v>1.297485953973555E-4</v>
      </c>
      <c r="I73" s="34">
        <v>2913.68</v>
      </c>
      <c r="J73" s="178">
        <f t="shared" si="12"/>
        <v>1.297485953973555E-4</v>
      </c>
      <c r="K73" s="651">
        <v>9397979.9100000001</v>
      </c>
      <c r="L73" s="280">
        <v>0.15104812156391539</v>
      </c>
      <c r="M73" s="211">
        <f t="shared" si="15"/>
        <v>-0.99968996741556138</v>
      </c>
      <c r="N73" s="616">
        <v>9397979.9100000001</v>
      </c>
      <c r="O73" s="280">
        <v>0.15104812156391539</v>
      </c>
      <c r="P73" s="178">
        <f t="shared" si="16"/>
        <v>-0.99968996741556138</v>
      </c>
    </row>
    <row r="74" spans="1:21" ht="14.1" customHeight="1" x14ac:dyDescent="0.25">
      <c r="A74" s="253">
        <v>931</v>
      </c>
      <c r="B74" s="40" t="s">
        <v>436</v>
      </c>
      <c r="C74" s="200">
        <v>5805408.6299999999</v>
      </c>
      <c r="D74" s="206">
        <v>5139664.4800000004</v>
      </c>
      <c r="E74" s="34">
        <v>2331677.4500000002</v>
      </c>
      <c r="F74" s="280">
        <f t="shared" si="17"/>
        <v>0.45366335858561724</v>
      </c>
      <c r="G74" s="34">
        <v>2253247.09</v>
      </c>
      <c r="H74" s="280">
        <f t="shared" si="11"/>
        <v>0.43840353757877976</v>
      </c>
      <c r="I74" s="34">
        <v>1864578.82</v>
      </c>
      <c r="J74" s="178">
        <f t="shared" si="12"/>
        <v>0.36278220635912012</v>
      </c>
      <c r="K74" s="651">
        <v>2384863.3199999998</v>
      </c>
      <c r="L74" s="280">
        <v>0.49220361343314961</v>
      </c>
      <c r="M74" s="211">
        <f t="shared" si="15"/>
        <v>-5.5188164829504727E-2</v>
      </c>
      <c r="N74" s="616">
        <v>2054537.88</v>
      </c>
      <c r="O74" s="280">
        <v>0.42402889926257192</v>
      </c>
      <c r="P74" s="178">
        <f t="shared" si="16"/>
        <v>-9.2458290425874168E-2</v>
      </c>
    </row>
    <row r="75" spans="1:21" ht="14.1" customHeight="1" x14ac:dyDescent="0.25">
      <c r="A75" s="39" t="s">
        <v>93</v>
      </c>
      <c r="B75" s="40" t="s">
        <v>107</v>
      </c>
      <c r="C75" s="200">
        <v>30138334.93</v>
      </c>
      <c r="D75" s="206">
        <v>30139104.140000001</v>
      </c>
      <c r="E75" s="34">
        <v>27698082.52</v>
      </c>
      <c r="F75" s="280">
        <f t="shared" si="17"/>
        <v>0.91900815602676367</v>
      </c>
      <c r="G75" s="34">
        <v>27562148.010000002</v>
      </c>
      <c r="H75" s="280">
        <f t="shared" si="11"/>
        <v>0.91449791878253228</v>
      </c>
      <c r="I75" s="34">
        <v>9966749.3900000006</v>
      </c>
      <c r="J75" s="178">
        <f t="shared" si="12"/>
        <v>0.33069162718650075</v>
      </c>
      <c r="K75" s="651">
        <v>28208356.350000001</v>
      </c>
      <c r="L75" s="280">
        <v>0.94093151320561663</v>
      </c>
      <c r="M75" s="211">
        <f t="shared" si="15"/>
        <v>-2.2908401041948689E-2</v>
      </c>
      <c r="N75" s="616">
        <v>13919906.66</v>
      </c>
      <c r="O75" s="280">
        <v>0.4643191072447842</v>
      </c>
      <c r="P75" s="178">
        <f t="shared" si="16"/>
        <v>-0.2839930874938783</v>
      </c>
    </row>
    <row r="76" spans="1:21" ht="14.1" customHeight="1" x14ac:dyDescent="0.25">
      <c r="A76" s="39" t="s">
        <v>94</v>
      </c>
      <c r="B76" s="40" t="s">
        <v>108</v>
      </c>
      <c r="C76" s="200">
        <v>113561295.48999999</v>
      </c>
      <c r="D76" s="206">
        <v>113683264.01000001</v>
      </c>
      <c r="E76" s="34">
        <v>91692617.340000004</v>
      </c>
      <c r="F76" s="280">
        <f t="shared" si="17"/>
        <v>0.80656214561128692</v>
      </c>
      <c r="G76" s="34">
        <v>89689305.349999994</v>
      </c>
      <c r="H76" s="280">
        <f t="shared" si="11"/>
        <v>0.78894027305646841</v>
      </c>
      <c r="I76" s="34">
        <v>35373449.390000001</v>
      </c>
      <c r="J76" s="178">
        <f t="shared" si="12"/>
        <v>0.31115793250700841</v>
      </c>
      <c r="K76" s="651">
        <v>79940795.209999993</v>
      </c>
      <c r="L76" s="280">
        <v>0.78541267052891228</v>
      </c>
      <c r="M76" s="211">
        <f t="shared" si="15"/>
        <v>0.12194662455372396</v>
      </c>
      <c r="N76" s="616">
        <v>32670999.210000001</v>
      </c>
      <c r="O76" s="280">
        <v>0.3209902612422873</v>
      </c>
      <c r="P76" s="178">
        <f t="shared" si="16"/>
        <v>8.2717096059089279E-2</v>
      </c>
    </row>
    <row r="77" spans="1:21" ht="14.1" customHeight="1" x14ac:dyDescent="0.25">
      <c r="A77" s="39" t="s">
        <v>95</v>
      </c>
      <c r="B77" s="40" t="s">
        <v>117</v>
      </c>
      <c r="C77" s="200">
        <v>799840.54</v>
      </c>
      <c r="D77" s="206">
        <v>801333.05</v>
      </c>
      <c r="E77" s="34">
        <v>315983.57</v>
      </c>
      <c r="F77" s="280">
        <f t="shared" si="17"/>
        <v>0.39432239815891779</v>
      </c>
      <c r="G77" s="34">
        <v>315983.57</v>
      </c>
      <c r="H77" s="280">
        <f t="shared" si="11"/>
        <v>0.39432239815891779</v>
      </c>
      <c r="I77" s="34">
        <v>315983.57</v>
      </c>
      <c r="J77" s="178">
        <f t="shared" si="12"/>
        <v>0.39432239815891779</v>
      </c>
      <c r="K77" s="651">
        <v>399729.99</v>
      </c>
      <c r="L77" s="280">
        <v>0.47739224090751559</v>
      </c>
      <c r="M77" s="211">
        <f t="shared" si="15"/>
        <v>-0.20950747278181447</v>
      </c>
      <c r="N77" s="616">
        <v>399729.99</v>
      </c>
      <c r="O77" s="280">
        <v>0.47739224090751559</v>
      </c>
      <c r="P77" s="178">
        <f t="shared" si="16"/>
        <v>-0.20950747278181447</v>
      </c>
    </row>
    <row r="78" spans="1:21" ht="14.1" customHeight="1" x14ac:dyDescent="0.25">
      <c r="A78" s="250">
        <v>943</v>
      </c>
      <c r="B78" s="42" t="s">
        <v>740</v>
      </c>
      <c r="C78" s="200">
        <v>98287346.239999995</v>
      </c>
      <c r="D78" s="206">
        <v>98287346.239999995</v>
      </c>
      <c r="E78" s="34">
        <v>97687346.230000004</v>
      </c>
      <c r="F78" s="390">
        <f t="shared" si="17"/>
        <v>0.99389545009654756</v>
      </c>
      <c r="G78" s="34">
        <v>97687346.230000004</v>
      </c>
      <c r="H78" s="390">
        <f t="shared" si="11"/>
        <v>0.99389545009654756</v>
      </c>
      <c r="I78" s="34">
        <v>36706994.700000003</v>
      </c>
      <c r="J78" s="392">
        <f t="shared" si="12"/>
        <v>0.37346612869542872</v>
      </c>
      <c r="K78" s="653">
        <v>84274401.209999993</v>
      </c>
      <c r="L78" s="78">
        <v>0.7444128037021408</v>
      </c>
      <c r="M78" s="520">
        <f t="shared" si="15"/>
        <v>0.15915799848374879</v>
      </c>
      <c r="N78" s="618">
        <v>30467255.039999999</v>
      </c>
      <c r="O78" s="78">
        <v>0.26912341612393853</v>
      </c>
      <c r="P78" s="392">
        <f t="shared" si="16"/>
        <v>0.20480150416596254</v>
      </c>
    </row>
    <row r="79" spans="1:21" ht="14.1" customHeight="1" thickBot="1" x14ac:dyDescent="0.3">
      <c r="A79" s="18">
        <v>9</v>
      </c>
      <c r="B79" s="2" t="s">
        <v>534</v>
      </c>
      <c r="C79" s="201">
        <f>SUBTOTAL(9,C66:C78)</f>
        <v>496436210.86000007</v>
      </c>
      <c r="D79" s="207">
        <f>SUM(D66:D78)</f>
        <v>476919958.76999998</v>
      </c>
      <c r="E79" s="529">
        <f>SUM(E66:E78)</f>
        <v>350386326.97000003</v>
      </c>
      <c r="F79" s="535">
        <f t="shared" si="17"/>
        <v>0.73468581158495361</v>
      </c>
      <c r="G79" s="203">
        <f>SUM(G66:G78)</f>
        <v>331426314.64999998</v>
      </c>
      <c r="H79" s="535">
        <f t="shared" si="11"/>
        <v>0.69493068712151351</v>
      </c>
      <c r="I79" s="203">
        <f>SUM(I66:I78)</f>
        <v>152039617.98000002</v>
      </c>
      <c r="J79" s="536">
        <f t="shared" si="12"/>
        <v>0.31879483167808215</v>
      </c>
      <c r="K79" s="152">
        <f>SUM(K66:K78)</f>
        <v>318689818.5</v>
      </c>
      <c r="L79" s="90">
        <v>0.59944652431546563</v>
      </c>
      <c r="M79" s="561">
        <f>+G79/K79-1</f>
        <v>3.9965180594559779E-2</v>
      </c>
      <c r="N79" s="568">
        <f>SUM(N66:N78)</f>
        <v>154986051.62</v>
      </c>
      <c r="O79" s="90">
        <v>0.2915243743847008</v>
      </c>
      <c r="P79" s="536">
        <f>+I79/N79-1</f>
        <v>-1.9010960078034267E-2</v>
      </c>
    </row>
    <row r="80" spans="1:21" s="6" customFormat="1" ht="14.1" customHeight="1" thickBot="1" x14ac:dyDescent="0.3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2753060537.8400006</v>
      </c>
      <c r="E80" s="209">
        <f>SUM(E6,E27,E33,E57,E65,E79)</f>
        <v>1882371861.8900003</v>
      </c>
      <c r="F80" s="181">
        <f t="shared" si="17"/>
        <v>0.683737911323546</v>
      </c>
      <c r="G80" s="209">
        <f>SUM(G6,G27,G33,G57,G65,G79)</f>
        <v>1812687717.7199998</v>
      </c>
      <c r="H80" s="181">
        <f t="shared" si="11"/>
        <v>0.65842639230236488</v>
      </c>
      <c r="I80" s="209">
        <f>SUM(I6,I27,I33,I57,I65,I79)</f>
        <v>809731839.96000016</v>
      </c>
      <c r="J80" s="173">
        <f t="shared" si="12"/>
        <v>0.29412060825778297</v>
      </c>
      <c r="K80" s="154">
        <f>K6+K27+K33+K57+K65+K79</f>
        <v>1825175865.04</v>
      </c>
      <c r="L80" s="181">
        <v>0.66482101933943261</v>
      </c>
      <c r="M80" s="609">
        <f>+G80/K80-1</f>
        <v>-6.8421611085277556E-3</v>
      </c>
      <c r="N80" s="576">
        <f>N6+N27+N33+N57+N65+N79</f>
        <v>955364496.16999996</v>
      </c>
      <c r="O80" s="181">
        <v>0.34799188963115235</v>
      </c>
      <c r="P80" s="175">
        <f>+I80/N80-1</f>
        <v>-0.15243674722457512</v>
      </c>
      <c r="R80" s="255"/>
      <c r="S80" s="46" t="s">
        <v>148</v>
      </c>
    </row>
    <row r="81" spans="1:19" ht="14.4" thickBot="1" x14ac:dyDescent="0.3">
      <c r="A81" s="7" t="s">
        <v>19</v>
      </c>
      <c r="N81" s="97"/>
    </row>
    <row r="82" spans="1:19" ht="12.75" customHeight="1" x14ac:dyDescent="0.25">
      <c r="A82" s="8" t="s">
        <v>757</v>
      </c>
      <c r="C82" s="164" t="s">
        <v>765</v>
      </c>
      <c r="D82" s="746" t="s">
        <v>780</v>
      </c>
      <c r="E82" s="744"/>
      <c r="F82" s="744"/>
      <c r="G82" s="744"/>
      <c r="H82" s="744"/>
      <c r="I82" s="744"/>
      <c r="J82" s="745"/>
      <c r="K82" s="755" t="s">
        <v>781</v>
      </c>
      <c r="L82" s="753"/>
      <c r="M82" s="753"/>
      <c r="N82" s="753"/>
      <c r="O82" s="753"/>
      <c r="P82" s="756"/>
    </row>
    <row r="83" spans="1:19" ht="12.75" customHeight="1" x14ac:dyDescent="0.25">
      <c r="A83" s="8" t="s">
        <v>148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11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3" t="s">
        <v>764</v>
      </c>
      <c r="N84" s="564" t="s">
        <v>17</v>
      </c>
      <c r="O84" s="89" t="s">
        <v>18</v>
      </c>
      <c r="P84" s="612" t="s">
        <v>764</v>
      </c>
    </row>
    <row r="85" spans="1:19" ht="14.1" customHeight="1" x14ac:dyDescent="0.25">
      <c r="A85" s="17" t="s">
        <v>546</v>
      </c>
      <c r="B85" s="13" t="s">
        <v>547</v>
      </c>
      <c r="C85" s="530">
        <v>155185000</v>
      </c>
      <c r="D85" s="516">
        <v>155185000</v>
      </c>
      <c r="E85" s="180">
        <v>41939870.039999999</v>
      </c>
      <c r="F85" s="78">
        <f t="shared" ref="F85:F117" si="18">+E85/D85</f>
        <v>0.27025724161484677</v>
      </c>
      <c r="G85" s="180">
        <v>41939870.039999999</v>
      </c>
      <c r="H85" s="78">
        <f t="shared" ref="H85:H117" si="19">+G85/D85</f>
        <v>0.27025724161484677</v>
      </c>
      <c r="I85" s="180">
        <v>41939870.039999999</v>
      </c>
      <c r="J85" s="172">
        <f t="shared" ref="J85:J117" si="20">+I85/D85</f>
        <v>0.27025724161484677</v>
      </c>
      <c r="K85" s="614">
        <v>153129158.31</v>
      </c>
      <c r="L85" s="78">
        <v>0.81464631675926258</v>
      </c>
      <c r="M85" s="245">
        <f>+G85/K85-1</f>
        <v>-0.72611440888941958</v>
      </c>
      <c r="N85" s="614">
        <v>153129158.31</v>
      </c>
      <c r="O85" s="78">
        <v>0.81464631675926258</v>
      </c>
      <c r="P85" s="245">
        <f>+I85/N85-1</f>
        <v>-0.72611440888941958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41939870.039999999</v>
      </c>
      <c r="F86" s="90">
        <f t="shared" si="18"/>
        <v>0.27025724161484677</v>
      </c>
      <c r="G86" s="203">
        <f>SUBTOTAL(9,G85:G85)</f>
        <v>41939870.039999999</v>
      </c>
      <c r="H86" s="90">
        <f t="shared" si="19"/>
        <v>0.27025724161484677</v>
      </c>
      <c r="I86" s="203">
        <f>SUBTOTAL(9,I85:I85)</f>
        <v>41939870.039999999</v>
      </c>
      <c r="J86" s="170">
        <f t="shared" si="20"/>
        <v>0.27025724161484677</v>
      </c>
      <c r="K86" s="568">
        <v>153129158.31</v>
      </c>
      <c r="L86" s="90">
        <v>0.81464631675926258</v>
      </c>
      <c r="M86" s="213">
        <f>+G86/K86-1</f>
        <v>-0.72611440888941958</v>
      </c>
      <c r="N86" s="568">
        <f>SUBTOTAL(9,N85:N85)</f>
        <v>153129158.31</v>
      </c>
      <c r="O86" s="90">
        <v>0.81464631675926258</v>
      </c>
      <c r="P86" s="213">
        <f>+I86/N86-1</f>
        <v>-0.72611440888941958</v>
      </c>
    </row>
    <row r="87" spans="1:19" ht="14.1" customHeight="1" x14ac:dyDescent="0.25">
      <c r="A87" s="37" t="s">
        <v>548</v>
      </c>
      <c r="B87" s="38" t="s">
        <v>549</v>
      </c>
      <c r="C87" s="198">
        <v>8321253.9400000004</v>
      </c>
      <c r="D87" s="204">
        <v>20613543.629999999</v>
      </c>
      <c r="E87" s="30">
        <v>4698042.37</v>
      </c>
      <c r="F87" s="48">
        <f t="shared" si="18"/>
        <v>0.22791046771612264</v>
      </c>
      <c r="G87" s="30">
        <v>4221469.2</v>
      </c>
      <c r="H87" s="48">
        <f t="shared" si="19"/>
        <v>0.20479104785536578</v>
      </c>
      <c r="I87" s="30">
        <v>3504326.39</v>
      </c>
      <c r="J87" s="153">
        <f t="shared" si="20"/>
        <v>0.17000116296840712</v>
      </c>
      <c r="K87" s="615">
        <v>4609081.28</v>
      </c>
      <c r="L87" s="48">
        <v>0.44915667395472636</v>
      </c>
      <c r="M87" s="210">
        <f>+G87/K87-1</f>
        <v>-8.4097471155900272E-2</v>
      </c>
      <c r="N87" s="615">
        <v>4037335.79</v>
      </c>
      <c r="O87" s="48">
        <v>0.39343986467402403</v>
      </c>
      <c r="P87" s="210">
        <f>+I87/N87-1</f>
        <v>-0.13202008149042266</v>
      </c>
    </row>
    <row r="88" spans="1:19" ht="14.1" customHeight="1" x14ac:dyDescent="0.25">
      <c r="A88" s="39" t="s">
        <v>550</v>
      </c>
      <c r="B88" s="40" t="s">
        <v>551</v>
      </c>
      <c r="C88" s="199">
        <v>168947008.41</v>
      </c>
      <c r="D88" s="205">
        <v>169242180.44999999</v>
      </c>
      <c r="E88" s="32">
        <v>73987107.390000001</v>
      </c>
      <c r="F88" s="280">
        <f t="shared" si="18"/>
        <v>0.43716706552276052</v>
      </c>
      <c r="G88" s="32">
        <v>73215290.890000001</v>
      </c>
      <c r="H88" s="280">
        <f t="shared" si="19"/>
        <v>0.43260663916836228</v>
      </c>
      <c r="I88" s="32">
        <v>67923018.939999998</v>
      </c>
      <c r="J88" s="178">
        <f t="shared" si="20"/>
        <v>0.40133623166162652</v>
      </c>
      <c r="K88" s="616">
        <v>91120048.420000032</v>
      </c>
      <c r="L88" s="280">
        <v>0.46931167784513478</v>
      </c>
      <c r="M88" s="443">
        <f>+G88/K88-1</f>
        <v>-0.19649635662474141</v>
      </c>
      <c r="N88" s="616">
        <v>85540241.329999998</v>
      </c>
      <c r="O88" s="280">
        <v>0.4405730119547277</v>
      </c>
      <c r="P88" s="443">
        <f>+I88/N88-1</f>
        <v>-0.20595245133849571</v>
      </c>
      <c r="Q88" s="53"/>
    </row>
    <row r="89" spans="1:19" ht="14.1" customHeight="1" x14ac:dyDescent="0.25">
      <c r="A89" s="39" t="s">
        <v>552</v>
      </c>
      <c r="B89" s="40" t="s">
        <v>553</v>
      </c>
      <c r="C89" s="199">
        <v>592279.81000000006</v>
      </c>
      <c r="D89" s="205">
        <v>717279.81</v>
      </c>
      <c r="E89" s="32">
        <v>497837.49</v>
      </c>
      <c r="F89" s="280">
        <f t="shared" si="18"/>
        <v>0.69406315786303807</v>
      </c>
      <c r="G89" s="32">
        <v>426690.49</v>
      </c>
      <c r="H89" s="280">
        <f t="shared" si="19"/>
        <v>0.59487313604993286</v>
      </c>
      <c r="I89" s="32">
        <v>319214.37</v>
      </c>
      <c r="J89" s="178">
        <f t="shared" si="20"/>
        <v>0.44503465112171492</v>
      </c>
      <c r="K89" s="616">
        <v>383777.13</v>
      </c>
      <c r="L89" s="280">
        <v>0.58802211235860036</v>
      </c>
      <c r="M89" s="670">
        <f>+G89/K89-1</f>
        <v>0.11181844004096853</v>
      </c>
      <c r="N89" s="616">
        <v>207428.56000000003</v>
      </c>
      <c r="O89" s="280">
        <v>0.31782138767545293</v>
      </c>
      <c r="P89" s="594">
        <f>+I89/N89-1</f>
        <v>0.53891233685467399</v>
      </c>
    </row>
    <row r="90" spans="1:19" ht="14.1" customHeight="1" x14ac:dyDescent="0.25">
      <c r="A90" s="39" t="s">
        <v>554</v>
      </c>
      <c r="B90" s="40" t="s">
        <v>555</v>
      </c>
      <c r="C90" s="199">
        <v>60818645.530000001</v>
      </c>
      <c r="D90" s="205">
        <v>58474136.530000001</v>
      </c>
      <c r="E90" s="32">
        <v>1723929.09</v>
      </c>
      <c r="F90" s="280">
        <f t="shared" si="18"/>
        <v>2.9481907597139853E-2</v>
      </c>
      <c r="G90" s="32">
        <v>1441623.45</v>
      </c>
      <c r="H90" s="280">
        <f t="shared" si="19"/>
        <v>2.4654035707913E-2</v>
      </c>
      <c r="I90" s="32">
        <v>304473.05</v>
      </c>
      <c r="J90" s="178">
        <f t="shared" si="20"/>
        <v>5.2069695778028443E-3</v>
      </c>
      <c r="K90" s="616">
        <v>0</v>
      </c>
      <c r="L90" s="280">
        <v>0</v>
      </c>
      <c r="M90" s="670" t="s">
        <v>129</v>
      </c>
      <c r="N90" s="616">
        <v>0</v>
      </c>
      <c r="O90" s="280">
        <v>0</v>
      </c>
      <c r="P90" s="594" t="s">
        <v>129</v>
      </c>
    </row>
    <row r="91" spans="1:19" ht="14.1" customHeight="1" x14ac:dyDescent="0.25">
      <c r="A91" s="39">
        <v>1341</v>
      </c>
      <c r="B91" s="40" t="s">
        <v>556</v>
      </c>
      <c r="C91" s="199">
        <v>14713359.07</v>
      </c>
      <c r="D91" s="205">
        <v>14962406.300000001</v>
      </c>
      <c r="E91" s="32">
        <v>12634247.789999999</v>
      </c>
      <c r="F91" s="280">
        <f t="shared" si="18"/>
        <v>0.8443994593302816</v>
      </c>
      <c r="G91" s="32">
        <v>12285977.99</v>
      </c>
      <c r="H91" s="280">
        <f t="shared" si="19"/>
        <v>0.82112313645700152</v>
      </c>
      <c r="I91" s="32">
        <v>3418388.29</v>
      </c>
      <c r="J91" s="178">
        <f t="shared" si="20"/>
        <v>0.2284651426689302</v>
      </c>
      <c r="K91" s="616">
        <v>13194195.15</v>
      </c>
      <c r="L91" s="280">
        <v>0.57489254318630401</v>
      </c>
      <c r="M91" s="210">
        <f t="shared" ref="M91:M120" si="21">+G91/K91-1</f>
        <v>-6.8834601101075865E-2</v>
      </c>
      <c r="N91" s="616">
        <v>3054538.03</v>
      </c>
      <c r="O91" s="280">
        <v>0.13309119020617055</v>
      </c>
      <c r="P91" s="210">
        <f t="shared" ref="P91:P120" si="22">+I91/N91-1</f>
        <v>0.11911793417743111</v>
      </c>
      <c r="R91" s="275"/>
    </row>
    <row r="92" spans="1:19" ht="14.1" customHeight="1" x14ac:dyDescent="0.25">
      <c r="A92" s="39" t="s">
        <v>557</v>
      </c>
      <c r="B92" s="40" t="s">
        <v>475</v>
      </c>
      <c r="C92" s="199">
        <v>431130.98</v>
      </c>
      <c r="D92" s="205">
        <v>325576.23</v>
      </c>
      <c r="E92" s="32">
        <v>125508.4</v>
      </c>
      <c r="F92" s="280">
        <f t="shared" si="18"/>
        <v>0.38549620161152426</v>
      </c>
      <c r="G92" s="32">
        <v>125508.4</v>
      </c>
      <c r="H92" s="280">
        <f t="shared" si="19"/>
        <v>0.38549620161152426</v>
      </c>
      <c r="I92" s="32">
        <v>125508.4</v>
      </c>
      <c r="J92" s="178">
        <f t="shared" si="20"/>
        <v>0.38549620161152426</v>
      </c>
      <c r="K92" s="616">
        <v>209828.3</v>
      </c>
      <c r="L92" s="280">
        <v>0.49625042082769222</v>
      </c>
      <c r="M92" s="210">
        <f t="shared" si="21"/>
        <v>-0.40185189509708652</v>
      </c>
      <c r="N92" s="616">
        <v>209828.3</v>
      </c>
      <c r="O92" s="280">
        <v>0.49625042082769222</v>
      </c>
      <c r="P92" s="210">
        <f t="shared" si="22"/>
        <v>-0.40185189509708652</v>
      </c>
      <c r="R92" s="275"/>
    </row>
    <row r="93" spans="1:19" ht="14.1" customHeight="1" x14ac:dyDescent="0.25">
      <c r="A93" s="39">
        <v>1361</v>
      </c>
      <c r="B93" s="40" t="s">
        <v>558</v>
      </c>
      <c r="C93" s="199">
        <v>41868192.539999999</v>
      </c>
      <c r="D93" s="205">
        <v>42541740.880000003</v>
      </c>
      <c r="E93" s="32">
        <v>19662323.050000001</v>
      </c>
      <c r="F93" s="280">
        <f t="shared" si="18"/>
        <v>0.46218896178843916</v>
      </c>
      <c r="G93" s="32">
        <v>19165484.82</v>
      </c>
      <c r="H93" s="280">
        <f t="shared" si="19"/>
        <v>0.45051012073204089</v>
      </c>
      <c r="I93" s="32">
        <v>16609084.050000001</v>
      </c>
      <c r="J93" s="178">
        <f t="shared" si="20"/>
        <v>0.39041853263246146</v>
      </c>
      <c r="K93" s="616">
        <v>22613009.860000003</v>
      </c>
      <c r="L93" s="280">
        <v>0.4805965633166619</v>
      </c>
      <c r="M93" s="211">
        <f t="shared" si="21"/>
        <v>-0.15245759239234691</v>
      </c>
      <c r="N93" s="616">
        <v>20277583.619999997</v>
      </c>
      <c r="O93" s="280">
        <v>0.43096151553786277</v>
      </c>
      <c r="P93" s="211">
        <f t="shared" si="22"/>
        <v>-0.18091403979622678</v>
      </c>
      <c r="R93" s="275"/>
      <c r="S93" s="275"/>
    </row>
    <row r="94" spans="1:19" ht="14.1" customHeight="1" x14ac:dyDescent="0.25">
      <c r="A94" s="39" t="s">
        <v>559</v>
      </c>
      <c r="B94" s="40" t="s">
        <v>560</v>
      </c>
      <c r="C94" s="199">
        <v>27281948.489999998</v>
      </c>
      <c r="D94" s="205">
        <v>30425356.690000001</v>
      </c>
      <c r="E94" s="32">
        <v>16771594.310000001</v>
      </c>
      <c r="F94" s="280">
        <f t="shared" si="18"/>
        <v>0.55123739323366339</v>
      </c>
      <c r="G94" s="32">
        <v>13668767.74</v>
      </c>
      <c r="H94" s="280">
        <f t="shared" si="19"/>
        <v>0.44925579276750294</v>
      </c>
      <c r="I94" s="32">
        <v>9384332.4299999997</v>
      </c>
      <c r="J94" s="178">
        <f t="shared" si="20"/>
        <v>0.30843787718302668</v>
      </c>
      <c r="K94" s="616">
        <v>14482366.139999995</v>
      </c>
      <c r="L94" s="280">
        <v>0.62393353672650287</v>
      </c>
      <c r="M94" s="211">
        <f t="shared" si="21"/>
        <v>-5.6178554811761927E-2</v>
      </c>
      <c r="N94" s="616">
        <v>9862665.8099999987</v>
      </c>
      <c r="O94" s="280">
        <v>0.42490625502062196</v>
      </c>
      <c r="P94" s="211">
        <f t="shared" si="22"/>
        <v>-4.8499400589544939E-2</v>
      </c>
      <c r="R94" s="275"/>
      <c r="S94" s="275"/>
    </row>
    <row r="95" spans="1:19" ht="14.1" customHeight="1" x14ac:dyDescent="0.25">
      <c r="A95" s="39" t="s">
        <v>561</v>
      </c>
      <c r="B95" s="40" t="s">
        <v>562</v>
      </c>
      <c r="C95" s="199">
        <v>10111588.699999999</v>
      </c>
      <c r="D95" s="205">
        <v>10131540.460000001</v>
      </c>
      <c r="E95" s="32">
        <v>4525429.6100000003</v>
      </c>
      <c r="F95" s="280">
        <f t="shared" si="18"/>
        <v>0.44666747646783811</v>
      </c>
      <c r="G95" s="32">
        <v>4433731.5999999996</v>
      </c>
      <c r="H95" s="280">
        <f t="shared" si="19"/>
        <v>0.43761672941095864</v>
      </c>
      <c r="I95" s="32">
        <v>4002012.38</v>
      </c>
      <c r="J95" s="178">
        <f t="shared" si="20"/>
        <v>0.39500531985241655</v>
      </c>
      <c r="K95" s="616">
        <v>5000760.1000000006</v>
      </c>
      <c r="L95" s="280">
        <v>0.46136036575083189</v>
      </c>
      <c r="M95" s="211">
        <f t="shared" si="21"/>
        <v>-0.11338846268590264</v>
      </c>
      <c r="N95" s="616">
        <v>4749144.99</v>
      </c>
      <c r="O95" s="280">
        <v>0.43814684683437038</v>
      </c>
      <c r="P95" s="211">
        <f t="shared" si="22"/>
        <v>-0.15731939361152258</v>
      </c>
      <c r="R95" s="275"/>
      <c r="S95" s="275"/>
    </row>
    <row r="96" spans="1:19" ht="14.1" customHeight="1" x14ac:dyDescent="0.25">
      <c r="A96" s="39" t="s">
        <v>563</v>
      </c>
      <c r="B96" s="40" t="s">
        <v>564</v>
      </c>
      <c r="C96" s="199">
        <v>21055570.43</v>
      </c>
      <c r="D96" s="205">
        <v>34966500.009999998</v>
      </c>
      <c r="E96" s="32">
        <v>10232195.83</v>
      </c>
      <c r="F96" s="280">
        <f t="shared" si="18"/>
        <v>0.29262853951850243</v>
      </c>
      <c r="G96" s="32">
        <v>10232195.83</v>
      </c>
      <c r="H96" s="280">
        <f t="shared" si="19"/>
        <v>0.29262853951850243</v>
      </c>
      <c r="I96" s="32">
        <v>3555043.32</v>
      </c>
      <c r="J96" s="178">
        <f t="shared" si="20"/>
        <v>0.10166997895080435</v>
      </c>
      <c r="K96" s="616">
        <v>6049238.3700000001</v>
      </c>
      <c r="L96" s="280">
        <v>0.27871851735310149</v>
      </c>
      <c r="M96" s="211">
        <f t="shared" si="21"/>
        <v>0.69148497780225515</v>
      </c>
      <c r="N96" s="616">
        <v>6049238.3700000001</v>
      </c>
      <c r="O96" s="280">
        <v>0.27871851735310149</v>
      </c>
      <c r="P96" s="211">
        <f t="shared" si="22"/>
        <v>-0.41231555072609916</v>
      </c>
      <c r="R96" s="276"/>
    </row>
    <row r="97" spans="1:19" ht="14.1" customHeight="1" x14ac:dyDescent="0.25">
      <c r="A97" s="39" t="s">
        <v>565</v>
      </c>
      <c r="B97" s="40" t="s">
        <v>566</v>
      </c>
      <c r="C97" s="199">
        <v>173426660.56</v>
      </c>
      <c r="D97" s="205">
        <v>203725740.80000001</v>
      </c>
      <c r="E97" s="32">
        <v>88334255.799999997</v>
      </c>
      <c r="F97" s="280">
        <f t="shared" si="18"/>
        <v>0.43359398499730473</v>
      </c>
      <c r="G97" s="32">
        <v>85923503.549999997</v>
      </c>
      <c r="H97" s="280">
        <f t="shared" si="19"/>
        <v>0.42176066319646927</v>
      </c>
      <c r="I97" s="32">
        <v>52121695.350000001</v>
      </c>
      <c r="J97" s="178">
        <f t="shared" si="20"/>
        <v>0.25584246323182347</v>
      </c>
      <c r="K97" s="616">
        <v>69289157.399999991</v>
      </c>
      <c r="L97" s="280">
        <v>0.29539687081048061</v>
      </c>
      <c r="M97" s="211">
        <f t="shared" si="21"/>
        <v>0.2400714162819364</v>
      </c>
      <c r="N97" s="616">
        <v>50136785.209999993</v>
      </c>
      <c r="O97" s="280">
        <v>0.21374555585995889</v>
      </c>
      <c r="P97" s="211">
        <f t="shared" si="22"/>
        <v>3.9589896553720694E-2</v>
      </c>
      <c r="R97" s="275"/>
      <c r="S97" s="275"/>
    </row>
    <row r="98" spans="1:19" ht="14.1" customHeight="1" x14ac:dyDescent="0.25">
      <c r="A98" s="39" t="s">
        <v>567</v>
      </c>
      <c r="B98" s="40" t="s">
        <v>568</v>
      </c>
      <c r="C98" s="199">
        <v>1408497.48</v>
      </c>
      <c r="D98" s="205">
        <v>837075.23</v>
      </c>
      <c r="E98" s="32">
        <v>754765.14</v>
      </c>
      <c r="F98" s="280">
        <f t="shared" si="18"/>
        <v>0.90166942342804723</v>
      </c>
      <c r="G98" s="32">
        <v>334595.7</v>
      </c>
      <c r="H98" s="280">
        <f t="shared" si="19"/>
        <v>0.39971998693594124</v>
      </c>
      <c r="I98" s="32">
        <v>163296.63</v>
      </c>
      <c r="J98" s="178">
        <f t="shared" si="20"/>
        <v>0.19507999298939954</v>
      </c>
      <c r="K98" s="616">
        <v>665298.66</v>
      </c>
      <c r="L98" s="280">
        <v>0.35892010869523294</v>
      </c>
      <c r="M98" s="211">
        <f t="shared" si="21"/>
        <v>-0.49707444172516446</v>
      </c>
      <c r="N98" s="616">
        <v>466406.59000000008</v>
      </c>
      <c r="O98" s="280">
        <v>0.25162038351162913</v>
      </c>
      <c r="P98" s="211">
        <f t="shared" si="22"/>
        <v>-0.64988352758909351</v>
      </c>
    </row>
    <row r="99" spans="1:19" ht="14.1" customHeight="1" x14ac:dyDescent="0.25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117670</v>
      </c>
      <c r="F99" s="280">
        <f t="shared" si="18"/>
        <v>0.34142765739279662</v>
      </c>
      <c r="G99" s="32">
        <v>42953.79</v>
      </c>
      <c r="H99" s="280">
        <f t="shared" si="19"/>
        <v>0.12463339760212573</v>
      </c>
      <c r="I99" s="32">
        <v>28433.79</v>
      </c>
      <c r="J99" s="178">
        <f t="shared" si="20"/>
        <v>8.2502611629971342E-2</v>
      </c>
      <c r="K99" s="616">
        <v>206161.43</v>
      </c>
      <c r="L99" s="280">
        <v>0.48667562392888319</v>
      </c>
      <c r="M99" s="211">
        <f t="shared" si="21"/>
        <v>-0.79164972807959277</v>
      </c>
      <c r="N99" s="616">
        <v>130481.98</v>
      </c>
      <c r="O99" s="280">
        <v>0.3080226938083232</v>
      </c>
      <c r="P99" s="211">
        <f t="shared" si="22"/>
        <v>-0.78208646128760462</v>
      </c>
    </row>
    <row r="100" spans="1:19" ht="14.1" customHeight="1" x14ac:dyDescent="0.25">
      <c r="A100" s="39" t="s">
        <v>571</v>
      </c>
      <c r="B100" s="40" t="s">
        <v>572</v>
      </c>
      <c r="C100" s="199">
        <v>7945464.6799999997</v>
      </c>
      <c r="D100" s="205">
        <v>8008124.0800000001</v>
      </c>
      <c r="E100" s="32">
        <v>6993837.2199999997</v>
      </c>
      <c r="F100" s="280">
        <f t="shared" si="18"/>
        <v>0.87334276418953782</v>
      </c>
      <c r="G100" s="32">
        <v>6993837.2199999997</v>
      </c>
      <c r="H100" s="280">
        <f t="shared" si="19"/>
        <v>0.87334276418953782</v>
      </c>
      <c r="I100" s="32">
        <v>4005901.19</v>
      </c>
      <c r="J100" s="178">
        <f t="shared" si="20"/>
        <v>0.50022966052743778</v>
      </c>
      <c r="K100" s="616">
        <v>6891629.3199999994</v>
      </c>
      <c r="L100" s="280">
        <v>0.85225904696533816</v>
      </c>
      <c r="M100" s="211">
        <f t="shared" si="21"/>
        <v>1.4830730913426571E-2</v>
      </c>
      <c r="N100" s="616">
        <v>1060839.3199999996</v>
      </c>
      <c r="O100" s="280">
        <v>0.13118957301182257</v>
      </c>
      <c r="P100" s="211">
        <f t="shared" si="22"/>
        <v>2.7761620581710731</v>
      </c>
    </row>
    <row r="101" spans="1:19" ht="14.1" customHeight="1" x14ac:dyDescent="0.25">
      <c r="A101" s="39">
        <v>1521</v>
      </c>
      <c r="B101" s="40" t="s">
        <v>573</v>
      </c>
      <c r="C101" s="199">
        <v>32800946.870000001</v>
      </c>
      <c r="D101" s="205">
        <v>32800946.870000001</v>
      </c>
      <c r="E101" s="32">
        <v>16216273.01</v>
      </c>
      <c r="F101" s="280">
        <f t="shared" si="18"/>
        <v>0.49438429549823537</v>
      </c>
      <c r="G101" s="32">
        <v>16216273.01</v>
      </c>
      <c r="H101" s="280">
        <f t="shared" si="19"/>
        <v>0.49438429549823537</v>
      </c>
      <c r="I101" s="32">
        <v>4739962.26</v>
      </c>
      <c r="J101" s="178">
        <f t="shared" si="20"/>
        <v>0.1445068728895508</v>
      </c>
      <c r="K101" s="616">
        <v>8841268</v>
      </c>
      <c r="L101" s="280">
        <v>0.54868453559226316</v>
      </c>
      <c r="M101" s="211">
        <f t="shared" si="21"/>
        <v>0.83415693427684801</v>
      </c>
      <c r="N101" s="616">
        <v>7270000</v>
      </c>
      <c r="O101" s="280">
        <v>0.45117245329015626</v>
      </c>
      <c r="P101" s="211">
        <f t="shared" si="22"/>
        <v>-0.34801069325997247</v>
      </c>
    </row>
    <row r="102" spans="1:19" ht="14.1" customHeight="1" x14ac:dyDescent="0.25">
      <c r="A102" s="39" t="s">
        <v>574</v>
      </c>
      <c r="B102" s="40" t="s">
        <v>575</v>
      </c>
      <c r="C102" s="199">
        <v>17147962.52</v>
      </c>
      <c r="D102" s="205">
        <v>29656562.890000001</v>
      </c>
      <c r="E102" s="32">
        <v>23919948.120000001</v>
      </c>
      <c r="F102" s="280">
        <f t="shared" si="18"/>
        <v>0.80656508337537836</v>
      </c>
      <c r="G102" s="32">
        <v>23839649.079999998</v>
      </c>
      <c r="H102" s="280">
        <f t="shared" si="19"/>
        <v>0.80385745200562575</v>
      </c>
      <c r="I102" s="32">
        <v>4625306.45</v>
      </c>
      <c r="J102" s="178">
        <f t="shared" si="20"/>
        <v>0.15596232331965965</v>
      </c>
      <c r="K102" s="614">
        <v>10488351.41</v>
      </c>
      <c r="L102" s="280">
        <v>0.51251057428106939</v>
      </c>
      <c r="M102" s="211">
        <f t="shared" si="21"/>
        <v>1.2729643723865274</v>
      </c>
      <c r="N102" s="614">
        <v>4406764.68</v>
      </c>
      <c r="O102" s="280">
        <v>0.21533541436407047</v>
      </c>
      <c r="P102" s="211">
        <f t="shared" si="22"/>
        <v>4.959233947568098E-2</v>
      </c>
    </row>
    <row r="103" spans="1:19" ht="14.1" customHeight="1" x14ac:dyDescent="0.25">
      <c r="A103" s="39" t="s">
        <v>576</v>
      </c>
      <c r="B103" s="40" t="s">
        <v>577</v>
      </c>
      <c r="C103" s="199">
        <v>8492360.5399999991</v>
      </c>
      <c r="D103" s="205">
        <v>8371293.6100000003</v>
      </c>
      <c r="E103" s="32">
        <v>7629306.6100000003</v>
      </c>
      <c r="F103" s="280">
        <f t="shared" si="18"/>
        <v>0.91136531167493007</v>
      </c>
      <c r="G103" s="32">
        <v>7566668.2000000002</v>
      </c>
      <c r="H103" s="280">
        <f t="shared" si="19"/>
        <v>0.903882787119206</v>
      </c>
      <c r="I103" s="32">
        <v>873746.4</v>
      </c>
      <c r="J103" s="178">
        <f t="shared" si="20"/>
        <v>0.1043741195454259</v>
      </c>
      <c r="K103" s="616">
        <v>7245901.8000000007</v>
      </c>
      <c r="L103" s="280">
        <v>0.88779747974575807</v>
      </c>
      <c r="M103" s="211">
        <f t="shared" si="21"/>
        <v>4.4268665081825809E-2</v>
      </c>
      <c r="N103" s="616">
        <v>2153818.2600000002</v>
      </c>
      <c r="O103" s="280">
        <v>0.263894609095916</v>
      </c>
      <c r="P103" s="211">
        <f t="shared" si="22"/>
        <v>-0.5943267748133958</v>
      </c>
    </row>
    <row r="104" spans="1:19" ht="14.1" customHeight="1" x14ac:dyDescent="0.25">
      <c r="A104" s="39" t="s">
        <v>578</v>
      </c>
      <c r="B104" s="40" t="s">
        <v>579</v>
      </c>
      <c r="C104" s="199">
        <v>78451100.349999994</v>
      </c>
      <c r="D104" s="205">
        <v>38109543.030000001</v>
      </c>
      <c r="E104" s="32">
        <v>10113347.59</v>
      </c>
      <c r="F104" s="280">
        <f t="shared" si="18"/>
        <v>0.26537572444882712</v>
      </c>
      <c r="G104" s="32">
        <v>9344490.0500000007</v>
      </c>
      <c r="H104" s="280">
        <f t="shared" si="19"/>
        <v>0.24520078980333027</v>
      </c>
      <c r="I104" s="32">
        <v>2472938.87</v>
      </c>
      <c r="J104" s="178">
        <f t="shared" si="20"/>
        <v>6.4890278743392218E-2</v>
      </c>
      <c r="K104" s="616">
        <v>5131057.8199999994</v>
      </c>
      <c r="L104" s="280">
        <v>0.561944345389773</v>
      </c>
      <c r="M104" s="211">
        <f t="shared" si="21"/>
        <v>0.82116249276645292</v>
      </c>
      <c r="N104" s="616">
        <v>1723864.89</v>
      </c>
      <c r="O104" s="280">
        <v>0.18879462308445846</v>
      </c>
      <c r="P104" s="211">
        <f t="shared" si="22"/>
        <v>0.43453172249479488</v>
      </c>
    </row>
    <row r="105" spans="1:19" ht="14.1" customHeight="1" x14ac:dyDescent="0.25">
      <c r="A105" s="39" t="s">
        <v>580</v>
      </c>
      <c r="B105" s="40" t="s">
        <v>581</v>
      </c>
      <c r="C105" s="199">
        <v>21790501.289999999</v>
      </c>
      <c r="D105" s="205">
        <v>23718106.66</v>
      </c>
      <c r="E105" s="32">
        <v>16986576.59</v>
      </c>
      <c r="F105" s="280">
        <f t="shared" si="18"/>
        <v>0.71618602755705796</v>
      </c>
      <c r="G105" s="32">
        <v>16549238.029999999</v>
      </c>
      <c r="H105" s="280">
        <f t="shared" si="19"/>
        <v>0.69774701105927139</v>
      </c>
      <c r="I105" s="32">
        <v>5005626.78</v>
      </c>
      <c r="J105" s="178">
        <f t="shared" si="20"/>
        <v>0.21104664262438225</v>
      </c>
      <c r="K105" s="616">
        <v>11670611.960000001</v>
      </c>
      <c r="L105" s="280">
        <v>0.31506802307894743</v>
      </c>
      <c r="M105" s="211">
        <f t="shared" si="21"/>
        <v>0.41802658564272899</v>
      </c>
      <c r="N105" s="616">
        <v>4950650.3299999982</v>
      </c>
      <c r="O105" s="280">
        <v>0.13365122735416851</v>
      </c>
      <c r="P105" s="211">
        <f t="shared" si="22"/>
        <v>1.1104894576547952E-2</v>
      </c>
    </row>
    <row r="106" spans="1:19" ht="14.1" customHeight="1" x14ac:dyDescent="0.25">
      <c r="A106" s="39" t="s">
        <v>582</v>
      </c>
      <c r="B106" s="40" t="s">
        <v>583</v>
      </c>
      <c r="C106" s="199">
        <v>672247.24</v>
      </c>
      <c r="D106" s="205">
        <v>1530745.68</v>
      </c>
      <c r="E106" s="32">
        <v>262805.40999999997</v>
      </c>
      <c r="F106" s="280">
        <f t="shared" si="18"/>
        <v>0.17168456748478297</v>
      </c>
      <c r="G106" s="32">
        <v>176925.22</v>
      </c>
      <c r="H106" s="280">
        <f t="shared" si="19"/>
        <v>0.11558106765324989</v>
      </c>
      <c r="I106" s="32">
        <v>165436.92000000001</v>
      </c>
      <c r="J106" s="178">
        <f t="shared" si="20"/>
        <v>0.10807603259086122</v>
      </c>
      <c r="K106" s="616">
        <v>533630.18000000005</v>
      </c>
      <c r="L106" s="280">
        <v>0.16565554617487155</v>
      </c>
      <c r="M106" s="211">
        <f t="shared" si="21"/>
        <v>-0.66844974922520317</v>
      </c>
      <c r="N106" s="616">
        <v>252443.90000000002</v>
      </c>
      <c r="O106" s="280">
        <v>7.8366504932338446E-2</v>
      </c>
      <c r="P106" s="211">
        <f t="shared" si="22"/>
        <v>-0.34465867465999378</v>
      </c>
    </row>
    <row r="107" spans="1:19" ht="14.1" customHeight="1" x14ac:dyDescent="0.25">
      <c r="A107" s="39">
        <v>1536</v>
      </c>
      <c r="B107" s="40" t="s">
        <v>768</v>
      </c>
      <c r="C107" s="199">
        <v>19631487</v>
      </c>
      <c r="D107" s="205">
        <v>18823514.59</v>
      </c>
      <c r="E107" s="32">
        <v>3584104.95</v>
      </c>
      <c r="F107" s="280">
        <f t="shared" si="18"/>
        <v>0.19040572539540823</v>
      </c>
      <c r="G107" s="32">
        <v>3584104.95</v>
      </c>
      <c r="H107" s="280">
        <f t="shared" si="19"/>
        <v>0.19040572539540823</v>
      </c>
      <c r="I107" s="32">
        <v>1436260.95</v>
      </c>
      <c r="J107" s="178">
        <f t="shared" si="20"/>
        <v>7.6301423048967393E-2</v>
      </c>
      <c r="K107" s="715">
        <v>0</v>
      </c>
      <c r="L107" s="280">
        <v>0</v>
      </c>
      <c r="M107" s="211" t="s">
        <v>129</v>
      </c>
      <c r="N107" s="616">
        <v>0</v>
      </c>
      <c r="O107" s="280">
        <v>0</v>
      </c>
      <c r="P107" s="211" t="s">
        <v>129</v>
      </c>
    </row>
    <row r="108" spans="1:19" ht="14.1" customHeight="1" x14ac:dyDescent="0.25">
      <c r="A108" s="39">
        <v>1601</v>
      </c>
      <c r="B108" s="40" t="s">
        <v>584</v>
      </c>
      <c r="C108" s="199">
        <v>18375699.07</v>
      </c>
      <c r="D108" s="205">
        <v>18819154.100000001</v>
      </c>
      <c r="E108" s="32">
        <v>18220117.760000002</v>
      </c>
      <c r="F108" s="280">
        <f t="shared" si="18"/>
        <v>0.96816879564209535</v>
      </c>
      <c r="G108" s="32">
        <v>18220117.760000002</v>
      </c>
      <c r="H108" s="280">
        <f t="shared" si="19"/>
        <v>0.96816879564209535</v>
      </c>
      <c r="I108" s="32">
        <v>6254334.9299999997</v>
      </c>
      <c r="J108" s="178">
        <f t="shared" si="20"/>
        <v>0.33233879146565887</v>
      </c>
      <c r="K108" s="616">
        <v>19349633.259999998</v>
      </c>
      <c r="L108" s="280">
        <v>0.99392772157766207</v>
      </c>
      <c r="M108" s="211">
        <f t="shared" si="21"/>
        <v>-5.8374000417618088E-2</v>
      </c>
      <c r="N108" s="616">
        <v>7616287.21</v>
      </c>
      <c r="O108" s="280">
        <v>0.39122390030850585</v>
      </c>
      <c r="P108" s="211">
        <f t="shared" si="22"/>
        <v>-0.17882102426649427</v>
      </c>
    </row>
    <row r="109" spans="1:19" ht="14.1" customHeight="1" x14ac:dyDescent="0.25">
      <c r="A109" s="39" t="s">
        <v>585</v>
      </c>
      <c r="B109" s="40" t="s">
        <v>586</v>
      </c>
      <c r="C109" s="199">
        <v>8493454.4900000002</v>
      </c>
      <c r="D109" s="205">
        <v>8345483.4699999997</v>
      </c>
      <c r="E109" s="32">
        <v>6341788.7300000004</v>
      </c>
      <c r="F109" s="280">
        <f t="shared" si="18"/>
        <v>0.75990669118178733</v>
      </c>
      <c r="G109" s="32">
        <v>6341788.7300000004</v>
      </c>
      <c r="H109" s="280">
        <f t="shared" si="19"/>
        <v>0.75990669118178733</v>
      </c>
      <c r="I109" s="32">
        <v>1682999.29</v>
      </c>
      <c r="J109" s="178">
        <f t="shared" si="20"/>
        <v>0.20166588263579655</v>
      </c>
      <c r="K109" s="616">
        <v>6140658.3200000003</v>
      </c>
      <c r="L109" s="280">
        <v>0.99583507764852397</v>
      </c>
      <c r="M109" s="211">
        <f t="shared" si="21"/>
        <v>3.2753883951647689E-2</v>
      </c>
      <c r="N109" s="616">
        <v>1142999.8500000001</v>
      </c>
      <c r="O109" s="280">
        <v>0.18536112661891296</v>
      </c>
      <c r="P109" s="211">
        <f t="shared" si="22"/>
        <v>0.47244051694319977</v>
      </c>
    </row>
    <row r="110" spans="1:19" ht="14.1" customHeight="1" x14ac:dyDescent="0.25">
      <c r="A110" s="39" t="s">
        <v>587</v>
      </c>
      <c r="B110" s="40" t="s">
        <v>588</v>
      </c>
      <c r="C110" s="199">
        <v>98538647.590000004</v>
      </c>
      <c r="D110" s="205">
        <v>94699607.700000003</v>
      </c>
      <c r="E110" s="32">
        <v>87650000</v>
      </c>
      <c r="F110" s="280">
        <f t="shared" si="18"/>
        <v>0.92555821643599057</v>
      </c>
      <c r="G110" s="32">
        <v>87650000</v>
      </c>
      <c r="H110" s="280">
        <f t="shared" si="19"/>
        <v>0.92555821643599057</v>
      </c>
      <c r="I110" s="32">
        <v>18673744.879999999</v>
      </c>
      <c r="J110" s="178">
        <f t="shared" si="20"/>
        <v>0.1971892527702625</v>
      </c>
      <c r="K110" s="616">
        <v>85241375.739999995</v>
      </c>
      <c r="L110" s="280">
        <v>1</v>
      </c>
      <c r="M110" s="211">
        <f t="shared" si="21"/>
        <v>2.8256515560550088E-2</v>
      </c>
      <c r="N110" s="616">
        <v>16556350.6</v>
      </c>
      <c r="O110" s="280">
        <v>0.19422904025504645</v>
      </c>
      <c r="P110" s="211">
        <f t="shared" si="22"/>
        <v>0.12789015714610441</v>
      </c>
    </row>
    <row r="111" spans="1:19" ht="14.1" customHeight="1" x14ac:dyDescent="0.25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si="18"/>
        <v>0.99614037707759551</v>
      </c>
      <c r="G111" s="32">
        <v>4767846.51</v>
      </c>
      <c r="H111" s="280">
        <f t="shared" si="19"/>
        <v>0.99614037707759551</v>
      </c>
      <c r="I111" s="32">
        <v>174118.38</v>
      </c>
      <c r="J111" s="178">
        <f t="shared" si="20"/>
        <v>3.6378341531246167E-2</v>
      </c>
      <c r="K111" s="616">
        <v>4199919.66</v>
      </c>
      <c r="L111" s="280">
        <v>0.89451380292828397</v>
      </c>
      <c r="M111" s="211">
        <f t="shared" si="21"/>
        <v>0.13522326519931571</v>
      </c>
      <c r="N111" s="616">
        <v>89400</v>
      </c>
      <c r="O111" s="280">
        <v>1.9040729455712634E-2</v>
      </c>
      <c r="P111" s="211">
        <f t="shared" si="22"/>
        <v>0.94763288590604033</v>
      </c>
    </row>
    <row r="112" spans="1:19" ht="14.1" customHeight="1" x14ac:dyDescent="0.25">
      <c r="A112" s="39" t="s">
        <v>591</v>
      </c>
      <c r="B112" s="40" t="s">
        <v>592</v>
      </c>
      <c r="C112" s="199">
        <v>5470927.3399999999</v>
      </c>
      <c r="D112" s="205">
        <v>3592505.77</v>
      </c>
      <c r="E112" s="32">
        <v>562649.39</v>
      </c>
      <c r="F112" s="280">
        <f t="shared" si="18"/>
        <v>0.15661753272563289</v>
      </c>
      <c r="G112" s="32">
        <v>562649.39</v>
      </c>
      <c r="H112" s="280">
        <f t="shared" si="19"/>
        <v>0.15661753272563289</v>
      </c>
      <c r="I112" s="32">
        <v>562649.39</v>
      </c>
      <c r="J112" s="178">
        <f t="shared" si="20"/>
        <v>0.15661753272563289</v>
      </c>
      <c r="K112" s="616">
        <v>3940827.38</v>
      </c>
      <c r="L112" s="280">
        <v>0.43966893872967394</v>
      </c>
      <c r="M112" s="211">
        <f t="shared" si="21"/>
        <v>-0.8572255682003509</v>
      </c>
      <c r="N112" s="616">
        <v>3940827.38</v>
      </c>
      <c r="O112" s="280">
        <v>0.43966893872967394</v>
      </c>
      <c r="P112" s="211">
        <f t="shared" si="22"/>
        <v>-0.8572255682003509</v>
      </c>
    </row>
    <row r="113" spans="1:18" ht="14.1" customHeight="1" x14ac:dyDescent="0.25">
      <c r="A113" s="39" t="s">
        <v>593</v>
      </c>
      <c r="B113" s="40" t="s">
        <v>98</v>
      </c>
      <c r="C113" s="199">
        <v>171073344.52000001</v>
      </c>
      <c r="D113" s="205">
        <v>174535316.71000001</v>
      </c>
      <c r="E113" s="32">
        <v>173882510.59999999</v>
      </c>
      <c r="F113" s="280">
        <f t="shared" si="18"/>
        <v>0.99625974775589576</v>
      </c>
      <c r="G113" s="32">
        <v>173881500.36000001</v>
      </c>
      <c r="H113" s="280">
        <f t="shared" si="19"/>
        <v>0.99625395958637786</v>
      </c>
      <c r="I113" s="32">
        <v>43678742.119999997</v>
      </c>
      <c r="J113" s="178">
        <f t="shared" si="20"/>
        <v>0.25025732867906969</v>
      </c>
      <c r="K113" s="616">
        <v>174670313.84999999</v>
      </c>
      <c r="L113" s="280">
        <v>0.98684683288162678</v>
      </c>
      <c r="M113" s="211">
        <f t="shared" si="21"/>
        <v>-4.5160134691083487E-3</v>
      </c>
      <c r="N113" s="616">
        <v>41416009.020000011</v>
      </c>
      <c r="O113" s="280">
        <v>0.23399086216265991</v>
      </c>
      <c r="P113" s="211">
        <f t="shared" si="22"/>
        <v>5.4634262294739777E-2</v>
      </c>
      <c r="R113"/>
    </row>
    <row r="114" spans="1:18" ht="14.1" customHeight="1" x14ac:dyDescent="0.25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18"/>
        <v>0</v>
      </c>
      <c r="G114" s="32">
        <v>0</v>
      </c>
      <c r="H114" s="280">
        <f t="shared" si="19"/>
        <v>0</v>
      </c>
      <c r="I114" s="32">
        <v>0</v>
      </c>
      <c r="J114" s="178">
        <f t="shared" si="20"/>
        <v>0</v>
      </c>
      <c r="K114" s="616">
        <v>0</v>
      </c>
      <c r="L114" s="280">
        <v>0</v>
      </c>
      <c r="M114" s="211" t="s">
        <v>129</v>
      </c>
      <c r="N114" s="616">
        <v>0</v>
      </c>
      <c r="O114" s="280">
        <v>0</v>
      </c>
      <c r="P114" s="211" t="s">
        <v>129</v>
      </c>
      <c r="R114"/>
    </row>
    <row r="115" spans="1:18" ht="14.1" customHeight="1" x14ac:dyDescent="0.25">
      <c r="A115" s="39" t="s">
        <v>596</v>
      </c>
      <c r="B115" s="40" t="s">
        <v>597</v>
      </c>
      <c r="C115" s="199">
        <v>31920925.68</v>
      </c>
      <c r="D115" s="205">
        <v>32455066.960000001</v>
      </c>
      <c r="E115" s="32">
        <v>26545016.91</v>
      </c>
      <c r="F115" s="280">
        <f t="shared" si="18"/>
        <v>0.81790054362593123</v>
      </c>
      <c r="G115" s="32">
        <v>26519668.629999999</v>
      </c>
      <c r="H115" s="280">
        <f t="shared" si="19"/>
        <v>0.81711951673631666</v>
      </c>
      <c r="I115" s="32">
        <v>6172553.8499999996</v>
      </c>
      <c r="J115" s="178">
        <f t="shared" si="20"/>
        <v>0.19018767878702905</v>
      </c>
      <c r="K115" s="616">
        <v>22079169.489999998</v>
      </c>
      <c r="L115" s="280">
        <v>0.63781716553679013</v>
      </c>
      <c r="M115" s="211">
        <f t="shared" si="21"/>
        <v>0.2011171272547716</v>
      </c>
      <c r="N115" s="616">
        <v>6511978.1999999993</v>
      </c>
      <c r="O115" s="280">
        <v>0.18811629121478193</v>
      </c>
      <c r="P115" s="211">
        <f t="shared" si="22"/>
        <v>-5.2123078360428066E-2</v>
      </c>
      <c r="R115"/>
    </row>
    <row r="116" spans="1:18" ht="14.1" customHeight="1" x14ac:dyDescent="0.25">
      <c r="A116" s="39" t="s">
        <v>598</v>
      </c>
      <c r="B116" s="40" t="s">
        <v>599</v>
      </c>
      <c r="C116" s="199">
        <v>2348598.2599999998</v>
      </c>
      <c r="D116" s="205">
        <v>2428435.69</v>
      </c>
      <c r="E116" s="32">
        <v>2299571.59</v>
      </c>
      <c r="F116" s="280">
        <f t="shared" si="18"/>
        <v>0.94693534585632777</v>
      </c>
      <c r="G116" s="32">
        <v>1596725.37</v>
      </c>
      <c r="H116" s="280">
        <f t="shared" si="19"/>
        <v>0.65751190224024425</v>
      </c>
      <c r="I116" s="32">
        <v>846837.06</v>
      </c>
      <c r="J116" s="178">
        <f t="shared" si="20"/>
        <v>0.34871710356060531</v>
      </c>
      <c r="K116" s="616">
        <v>1106294.56</v>
      </c>
      <c r="L116" s="280">
        <v>0.55896324222869775</v>
      </c>
      <c r="M116" s="211">
        <f t="shared" si="21"/>
        <v>0.44330942927171235</v>
      </c>
      <c r="N116" s="616">
        <v>399942.58</v>
      </c>
      <c r="O116" s="280">
        <v>0.20207385022494401</v>
      </c>
      <c r="P116" s="211">
        <f t="shared" si="22"/>
        <v>1.1173966022822577</v>
      </c>
    </row>
    <row r="117" spans="1:18" ht="14.1" customHeight="1" x14ac:dyDescent="0.25">
      <c r="A117" s="39" t="s">
        <v>600</v>
      </c>
      <c r="B117" s="40" t="s">
        <v>601</v>
      </c>
      <c r="C117" s="199">
        <v>56423741.060000002</v>
      </c>
      <c r="D117" s="205">
        <v>51216110.270000003</v>
      </c>
      <c r="E117" s="32">
        <v>48856333.990000002</v>
      </c>
      <c r="F117" s="280">
        <f t="shared" si="18"/>
        <v>0.95392511716411532</v>
      </c>
      <c r="G117" s="32">
        <v>48856333.990000002</v>
      </c>
      <c r="H117" s="280">
        <f t="shared" si="19"/>
        <v>0.95392511716411532</v>
      </c>
      <c r="I117" s="32">
        <v>15129236.970000001</v>
      </c>
      <c r="J117" s="178">
        <f t="shared" si="20"/>
        <v>0.29539996087641196</v>
      </c>
      <c r="K117" s="616">
        <v>49346335.539999999</v>
      </c>
      <c r="L117" s="280">
        <v>0.94371511872339031</v>
      </c>
      <c r="M117" s="211">
        <f t="shared" si="21"/>
        <v>-9.9298467583839312E-3</v>
      </c>
      <c r="N117" s="616">
        <v>16978971.800000001</v>
      </c>
      <c r="O117" s="280">
        <v>0.32471129239271773</v>
      </c>
      <c r="P117" s="211">
        <f t="shared" si="22"/>
        <v>-0.10894268815500363</v>
      </c>
      <c r="R117"/>
    </row>
    <row r="118" spans="1:18" ht="14.1" customHeight="1" x14ac:dyDescent="0.25">
      <c r="A118" s="41">
        <v>1721</v>
      </c>
      <c r="B118" s="42" t="s">
        <v>602</v>
      </c>
      <c r="C118" s="199">
        <v>13754086.91</v>
      </c>
      <c r="D118" s="205">
        <v>6142598.1900000004</v>
      </c>
      <c r="E118" s="32">
        <v>2821613.51</v>
      </c>
      <c r="F118" s="280">
        <f t="shared" ref="F118:F144" si="23">+E118/D118</f>
        <v>0.45935179588883374</v>
      </c>
      <c r="G118" s="32">
        <v>1830247.81</v>
      </c>
      <c r="H118" s="280">
        <f t="shared" ref="H118:H144" si="24">+G118/D118</f>
        <v>0.29795987844029886</v>
      </c>
      <c r="I118" s="32">
        <v>226675.38</v>
      </c>
      <c r="J118" s="178">
        <f t="shared" ref="J118:J144" si="25">+I118/D118</f>
        <v>3.690219887229837E-2</v>
      </c>
      <c r="K118" s="580">
        <v>716657.73</v>
      </c>
      <c r="L118" s="390">
        <v>0.47956308082240062</v>
      </c>
      <c r="M118" s="211">
        <f t="shared" si="21"/>
        <v>1.5538659996034649</v>
      </c>
      <c r="N118" s="580">
        <v>167923.46</v>
      </c>
      <c r="O118" s="390">
        <v>0.11236869212302665</v>
      </c>
      <c r="P118" s="211">
        <f t="shared" si="22"/>
        <v>0.3498732100922648</v>
      </c>
      <c r="R118"/>
    </row>
    <row r="119" spans="1:18" ht="14.1" customHeight="1" x14ac:dyDescent="0.25">
      <c r="A119" s="41" t="s">
        <v>603</v>
      </c>
      <c r="B119" s="42" t="s">
        <v>604</v>
      </c>
      <c r="C119" s="200">
        <v>2576457.23</v>
      </c>
      <c r="D119" s="206">
        <v>2961455.81</v>
      </c>
      <c r="E119" s="34">
        <v>2429186.62</v>
      </c>
      <c r="F119" s="280">
        <f t="shared" si="23"/>
        <v>0.82026772501461032</v>
      </c>
      <c r="G119" s="34">
        <v>2189386.87</v>
      </c>
      <c r="H119" s="280">
        <f t="shared" si="24"/>
        <v>0.73929412102218739</v>
      </c>
      <c r="I119" s="34">
        <v>546296.43000000005</v>
      </c>
      <c r="J119" s="178">
        <f t="shared" si="25"/>
        <v>0.18446887782532875</v>
      </c>
      <c r="K119" s="580">
        <v>798216.16999999993</v>
      </c>
      <c r="L119" s="390">
        <v>0.51276082765989395</v>
      </c>
      <c r="M119" s="211">
        <f t="shared" si="21"/>
        <v>1.7428495591613991</v>
      </c>
      <c r="N119" s="580">
        <v>367761.71</v>
      </c>
      <c r="O119" s="390">
        <v>0.23624402246977522</v>
      </c>
      <c r="P119" s="211">
        <f t="shared" si="22"/>
        <v>0.48546304616649727</v>
      </c>
      <c r="R119"/>
    </row>
    <row r="120" spans="1:18" ht="14.1" customHeight="1" x14ac:dyDescent="0.25">
      <c r="A120" s="41" t="s">
        <v>605</v>
      </c>
      <c r="B120" s="42" t="s">
        <v>606</v>
      </c>
      <c r="C120" s="661">
        <v>3772412.45</v>
      </c>
      <c r="D120" s="397">
        <v>3679582.45</v>
      </c>
      <c r="E120" s="398">
        <v>2735437.07</v>
      </c>
      <c r="F120" s="412">
        <f t="shared" si="23"/>
        <v>0.74340964149342537</v>
      </c>
      <c r="G120" s="398">
        <v>2545607.87</v>
      </c>
      <c r="H120" s="412">
        <f t="shared" si="24"/>
        <v>0.69181976612590923</v>
      </c>
      <c r="I120" s="398">
        <v>1016099.88</v>
      </c>
      <c r="J120" s="427">
        <f t="shared" si="25"/>
        <v>0.27614543057731999</v>
      </c>
      <c r="K120" s="664">
        <v>1900648.48</v>
      </c>
      <c r="L120" s="412">
        <v>0.58548639956501003</v>
      </c>
      <c r="M120" s="211">
        <f t="shared" si="21"/>
        <v>0.33933649319520676</v>
      </c>
      <c r="N120" s="664">
        <v>709761.92</v>
      </c>
      <c r="O120" s="412">
        <v>0.21863903581431782</v>
      </c>
      <c r="P120" s="211">
        <f t="shared" si="22"/>
        <v>0.43160664353477851</v>
      </c>
      <c r="R120"/>
    </row>
    <row r="121" spans="1:18" ht="14.1" customHeight="1" x14ac:dyDescent="0.25">
      <c r="A121" s="18">
        <v>1</v>
      </c>
      <c r="B121" s="2" t="s">
        <v>126</v>
      </c>
      <c r="C121" s="201">
        <f>SUBTOTAL(9,C87:C120)</f>
        <v>1145639872.53</v>
      </c>
      <c r="D121" s="207">
        <f>SUBTOTAL(9,D87:D120)</f>
        <v>1163852360.5400002</v>
      </c>
      <c r="E121" s="203">
        <f>SUBTOTAL(9,E87:E120)</f>
        <v>696883178.44999993</v>
      </c>
      <c r="F121" s="90">
        <f t="shared" si="23"/>
        <v>0.59877283586610808</v>
      </c>
      <c r="G121" s="203">
        <f>SUBTOTAL(9,G87:G120)</f>
        <v>684750852.49999988</v>
      </c>
      <c r="H121" s="90">
        <f t="shared" si="24"/>
        <v>0.5883485532325522</v>
      </c>
      <c r="I121" s="203">
        <f>SUBTOTAL(9,I87:I120)</f>
        <v>279748295.76999992</v>
      </c>
      <c r="J121" s="170">
        <f t="shared" si="25"/>
        <v>0.24036407473556462</v>
      </c>
      <c r="K121" s="568">
        <f>SUM(K87:K120)</f>
        <v>648115422.90999997</v>
      </c>
      <c r="L121" s="90">
        <v>0.56627972104904978</v>
      </c>
      <c r="M121" s="213">
        <f t="shared" ref="M121:M147" si="26">+G121/K121-1</f>
        <v>5.6526088247536244E-2</v>
      </c>
      <c r="N121" s="568">
        <f>SUM(N87:N120)</f>
        <v>302438273.68999994</v>
      </c>
      <c r="O121" s="90">
        <v>0.26425024803569885</v>
      </c>
      <c r="P121" s="213">
        <f t="shared" ref="P121:P147" si="27">+I121/N121-1</f>
        <v>-7.5023500310206437E-2</v>
      </c>
      <c r="R121"/>
    </row>
    <row r="122" spans="1:18" ht="14.1" customHeight="1" x14ac:dyDescent="0.25">
      <c r="A122" s="37" t="s">
        <v>607</v>
      </c>
      <c r="B122" s="38" t="s">
        <v>100</v>
      </c>
      <c r="C122" s="198">
        <v>557191.48</v>
      </c>
      <c r="D122" s="204">
        <v>560338.96</v>
      </c>
      <c r="E122" s="30">
        <v>197322.79</v>
      </c>
      <c r="F122" s="48">
        <f t="shared" si="23"/>
        <v>0.35214897425658215</v>
      </c>
      <c r="G122" s="30">
        <v>197322.79</v>
      </c>
      <c r="H122" s="48">
        <f t="shared" si="24"/>
        <v>0.35214897425658215</v>
      </c>
      <c r="I122" s="30">
        <v>197322.79</v>
      </c>
      <c r="J122" s="153">
        <f t="shared" si="25"/>
        <v>0.35214897425658215</v>
      </c>
      <c r="K122" s="615">
        <v>213961.21</v>
      </c>
      <c r="L122" s="48">
        <v>0.37143756095436276</v>
      </c>
      <c r="M122" s="210">
        <f t="shared" si="26"/>
        <v>-7.7763721751246351E-2</v>
      </c>
      <c r="N122" s="615">
        <v>213961.21</v>
      </c>
      <c r="O122" s="48">
        <v>0.37143756095436276</v>
      </c>
      <c r="P122" s="210">
        <f t="shared" si="27"/>
        <v>-7.7763721751246351E-2</v>
      </c>
      <c r="R122"/>
    </row>
    <row r="123" spans="1:18" ht="14.1" customHeight="1" x14ac:dyDescent="0.25">
      <c r="A123" s="39" t="s">
        <v>608</v>
      </c>
      <c r="B123" s="40" t="s">
        <v>609</v>
      </c>
      <c r="C123" s="199">
        <v>9281481.3800000008</v>
      </c>
      <c r="D123" s="205">
        <v>8885396.8399999999</v>
      </c>
      <c r="E123" s="32">
        <v>4400992</v>
      </c>
      <c r="F123" s="280">
        <f t="shared" si="23"/>
        <v>0.49530618375847352</v>
      </c>
      <c r="G123" s="32">
        <v>3690180.71</v>
      </c>
      <c r="H123" s="48">
        <f t="shared" si="24"/>
        <v>0.41530848609796028</v>
      </c>
      <c r="I123" s="32">
        <v>2855499.95</v>
      </c>
      <c r="J123" s="178">
        <f t="shared" si="25"/>
        <v>0.32136999634559937</v>
      </c>
      <c r="K123" s="616">
        <v>4041732.3500000006</v>
      </c>
      <c r="L123" s="280">
        <v>0.44895576337874421</v>
      </c>
      <c r="M123" s="211">
        <f t="shared" si="26"/>
        <v>-8.6980435505582321E-2</v>
      </c>
      <c r="N123" s="616">
        <v>3069964.0300000017</v>
      </c>
      <c r="O123" s="280">
        <v>0.341011706189287</v>
      </c>
      <c r="P123" s="211">
        <f t="shared" si="27"/>
        <v>-6.9858825023432436E-2</v>
      </c>
      <c r="R123"/>
    </row>
    <row r="124" spans="1:18" ht="14.1" customHeight="1" x14ac:dyDescent="0.25">
      <c r="A124" s="39" t="s">
        <v>610</v>
      </c>
      <c r="B124" s="40" t="s">
        <v>611</v>
      </c>
      <c r="C124" s="199">
        <v>9392699.8300000001</v>
      </c>
      <c r="D124" s="205">
        <v>9296571.2300000004</v>
      </c>
      <c r="E124" s="32">
        <v>3823734.99</v>
      </c>
      <c r="F124" s="280">
        <f t="shared" si="23"/>
        <v>0.41130594230922707</v>
      </c>
      <c r="G124" s="32">
        <v>3775449.82</v>
      </c>
      <c r="H124" s="48">
        <f t="shared" si="24"/>
        <v>0.40611207364459678</v>
      </c>
      <c r="I124" s="32">
        <v>3718364.7</v>
      </c>
      <c r="J124" s="178">
        <f t="shared" si="25"/>
        <v>0.3999716248073108</v>
      </c>
      <c r="K124" s="618">
        <v>4826015.8600000031</v>
      </c>
      <c r="L124" s="280">
        <v>0.46642810516423117</v>
      </c>
      <c r="M124" s="211">
        <f t="shared" si="26"/>
        <v>-0.21768806205290891</v>
      </c>
      <c r="N124" s="618">
        <v>4794936.5600000033</v>
      </c>
      <c r="O124" s="280">
        <v>0.46342433156933238</v>
      </c>
      <c r="P124" s="211">
        <f t="shared" si="27"/>
        <v>-0.22452264936744071</v>
      </c>
      <c r="R124"/>
    </row>
    <row r="125" spans="1:18" ht="14.1" customHeight="1" x14ac:dyDescent="0.25">
      <c r="A125" s="39" t="s">
        <v>612</v>
      </c>
      <c r="B125" s="40" t="s">
        <v>613</v>
      </c>
      <c r="C125" s="199">
        <v>8507680.8399999999</v>
      </c>
      <c r="D125" s="205">
        <v>8635763.9000000004</v>
      </c>
      <c r="E125" s="32">
        <v>3430521.82</v>
      </c>
      <c r="F125" s="280">
        <f t="shared" si="23"/>
        <v>0.39724590200989629</v>
      </c>
      <c r="G125" s="32">
        <v>2882161.84</v>
      </c>
      <c r="H125" s="48">
        <f t="shared" si="24"/>
        <v>0.3337471789843629</v>
      </c>
      <c r="I125" s="32">
        <v>1690390.79</v>
      </c>
      <c r="J125" s="178">
        <f t="shared" si="25"/>
        <v>0.1957430529104669</v>
      </c>
      <c r="K125" s="618">
        <v>1801334.4899999995</v>
      </c>
      <c r="L125" s="280">
        <v>0.34416590427025906</v>
      </c>
      <c r="M125" s="211">
        <f t="shared" si="26"/>
        <v>0.60001479791795953</v>
      </c>
      <c r="N125" s="618">
        <v>1179099.3299999998</v>
      </c>
      <c r="O125" s="280">
        <v>0.225280640206865</v>
      </c>
      <c r="P125" s="211">
        <f t="shared" si="27"/>
        <v>0.43362882752210563</v>
      </c>
      <c r="R125"/>
    </row>
    <row r="126" spans="1:18" ht="14.1" customHeight="1" x14ac:dyDescent="0.25">
      <c r="A126" s="39" t="s">
        <v>614</v>
      </c>
      <c r="B126" s="40" t="s">
        <v>616</v>
      </c>
      <c r="C126" s="199">
        <v>8498539.1999999993</v>
      </c>
      <c r="D126" s="205">
        <v>9068165.5500000007</v>
      </c>
      <c r="E126" s="32">
        <v>4894708.8600000003</v>
      </c>
      <c r="F126" s="280">
        <f t="shared" si="23"/>
        <v>0.53976836141903028</v>
      </c>
      <c r="G126" s="32">
        <v>3405856.3</v>
      </c>
      <c r="H126" s="48">
        <f t="shared" si="24"/>
        <v>0.37558382466892654</v>
      </c>
      <c r="I126" s="32">
        <v>2660083.3199999998</v>
      </c>
      <c r="J126" s="178">
        <f t="shared" si="25"/>
        <v>0.29334304775677583</v>
      </c>
      <c r="K126" s="618">
        <v>4899977.21</v>
      </c>
      <c r="L126" s="280">
        <v>0.55887328026749072</v>
      </c>
      <c r="M126" s="211">
        <f t="shared" si="26"/>
        <v>-0.30492405290187052</v>
      </c>
      <c r="N126" s="618">
        <v>3122422.7600000002</v>
      </c>
      <c r="O126" s="280">
        <v>0.35613199316555028</v>
      </c>
      <c r="P126" s="211">
        <f t="shared" si="27"/>
        <v>-0.14807073722457764</v>
      </c>
      <c r="R126"/>
    </row>
    <row r="127" spans="1:18" ht="14.1" customHeight="1" x14ac:dyDescent="0.25">
      <c r="A127" s="39" t="s">
        <v>615</v>
      </c>
      <c r="B127" s="40" t="s">
        <v>617</v>
      </c>
      <c r="C127" s="199">
        <v>1364200</v>
      </c>
      <c r="D127" s="205">
        <v>1364200</v>
      </c>
      <c r="E127" s="32">
        <v>278402.75</v>
      </c>
      <c r="F127" s="280">
        <f t="shared" si="23"/>
        <v>0.20407766456531301</v>
      </c>
      <c r="G127" s="32">
        <v>127402.75</v>
      </c>
      <c r="H127" s="48">
        <f t="shared" si="24"/>
        <v>9.3390082099398919E-2</v>
      </c>
      <c r="I127" s="32">
        <v>60376.37</v>
      </c>
      <c r="J127" s="178">
        <f t="shared" si="25"/>
        <v>4.4257711479255245E-2</v>
      </c>
      <c r="K127" s="618">
        <v>163212.31000000003</v>
      </c>
      <c r="L127" s="280">
        <v>0.11071163490165249</v>
      </c>
      <c r="M127" s="211">
        <f t="shared" si="26"/>
        <v>-0.21940477406391723</v>
      </c>
      <c r="N127" s="618">
        <v>56914.479999999996</v>
      </c>
      <c r="O127" s="280">
        <v>3.8606739469451791E-2</v>
      </c>
      <c r="P127" s="211">
        <f t="shared" si="27"/>
        <v>6.0826172882542551E-2</v>
      </c>
      <c r="R127"/>
    </row>
    <row r="128" spans="1:18" ht="14.1" customHeight="1" x14ac:dyDescent="0.25">
      <c r="A128" s="39" t="s">
        <v>618</v>
      </c>
      <c r="B128" s="40" t="s">
        <v>619</v>
      </c>
      <c r="C128" s="199">
        <v>33334210.969999999</v>
      </c>
      <c r="D128" s="205">
        <v>33633278.310000002</v>
      </c>
      <c r="E128" s="32">
        <v>29506499.719999999</v>
      </c>
      <c r="F128" s="280">
        <f t="shared" si="23"/>
        <v>0.87730073316186341</v>
      </c>
      <c r="G128" s="32">
        <v>24303696.440000001</v>
      </c>
      <c r="H128" s="48">
        <f t="shared" si="24"/>
        <v>0.72260860853323106</v>
      </c>
      <c r="I128" s="32">
        <v>6920050.0099999998</v>
      </c>
      <c r="J128" s="178">
        <f t="shared" si="25"/>
        <v>0.20575008912950654</v>
      </c>
      <c r="K128" s="618">
        <v>24500682.390000001</v>
      </c>
      <c r="L128" s="280">
        <v>0.82129363439201974</v>
      </c>
      <c r="M128" s="211">
        <f t="shared" si="26"/>
        <v>-8.0400189212852524E-3</v>
      </c>
      <c r="N128" s="618">
        <v>8754500.9900000002</v>
      </c>
      <c r="O128" s="280">
        <v>0.29346186448669093</v>
      </c>
      <c r="P128" s="211">
        <f t="shared" si="27"/>
        <v>-0.20954375150513294</v>
      </c>
      <c r="R128"/>
    </row>
    <row r="129" spans="1:19" ht="14.1" customHeight="1" x14ac:dyDescent="0.25">
      <c r="A129" s="39" t="s">
        <v>620</v>
      </c>
      <c r="B129" s="40" t="s">
        <v>623</v>
      </c>
      <c r="C129" s="199">
        <v>36709256.140000001</v>
      </c>
      <c r="D129" s="205">
        <v>36871235.530000001</v>
      </c>
      <c r="E129" s="32">
        <v>30019015.18</v>
      </c>
      <c r="F129" s="280">
        <f t="shared" si="23"/>
        <v>0.81415810315266646</v>
      </c>
      <c r="G129" s="32">
        <v>29793015.18</v>
      </c>
      <c r="H129" s="48">
        <f t="shared" si="24"/>
        <v>0.80802866385530092</v>
      </c>
      <c r="I129" s="32">
        <v>8507148.9299999997</v>
      </c>
      <c r="J129" s="178">
        <f t="shared" si="25"/>
        <v>0.23072589805346291</v>
      </c>
      <c r="K129" s="618">
        <v>23219329.18</v>
      </c>
      <c r="L129" s="280">
        <v>0.84453258559269495</v>
      </c>
      <c r="M129" s="211">
        <f t="shared" si="26"/>
        <v>0.28311265795147311</v>
      </c>
      <c r="N129" s="618">
        <v>8116713.9000000004</v>
      </c>
      <c r="O129" s="280">
        <v>0.29522081897127261</v>
      </c>
      <c r="P129" s="211">
        <f t="shared" si="27"/>
        <v>4.8102598515884498E-2</v>
      </c>
    </row>
    <row r="130" spans="1:19" ht="14.1" customHeight="1" x14ac:dyDescent="0.25">
      <c r="A130" s="39" t="s">
        <v>621</v>
      </c>
      <c r="B130" s="40" t="s">
        <v>622</v>
      </c>
      <c r="C130" s="199">
        <v>140973391.11000001</v>
      </c>
      <c r="D130" s="205">
        <v>145859031.77000001</v>
      </c>
      <c r="E130" s="32">
        <v>140056890.99000001</v>
      </c>
      <c r="F130" s="280">
        <f t="shared" si="23"/>
        <v>0.96022090158154083</v>
      </c>
      <c r="G130" s="32">
        <v>136556890.99000001</v>
      </c>
      <c r="H130" s="48">
        <f t="shared" si="24"/>
        <v>0.93622513006484087</v>
      </c>
      <c r="I130" s="32">
        <v>69596012.609999999</v>
      </c>
      <c r="J130" s="178">
        <f t="shared" si="25"/>
        <v>0.47714571916083681</v>
      </c>
      <c r="K130" s="663">
        <v>124378249</v>
      </c>
      <c r="L130" s="280">
        <v>0.96664717205595851</v>
      </c>
      <c r="M130" s="211">
        <f t="shared" si="26"/>
        <v>9.7916171741571967E-2</v>
      </c>
      <c r="N130" s="664">
        <v>55838912.609999999</v>
      </c>
      <c r="O130" s="280">
        <v>0.43397078990182841</v>
      </c>
      <c r="P130" s="211">
        <f t="shared" si="27"/>
        <v>0.24637120167587723</v>
      </c>
    </row>
    <row r="131" spans="1:19" ht="14.4" thickBot="1" x14ac:dyDescent="0.3">
      <c r="A131" s="7" t="s">
        <v>19</v>
      </c>
      <c r="L131" s="686"/>
      <c r="N131" s="97"/>
      <c r="O131" s="686"/>
    </row>
    <row r="132" spans="1:19" ht="12.75" customHeight="1" x14ac:dyDescent="0.25">
      <c r="A132" s="8" t="s">
        <v>757</v>
      </c>
      <c r="C132" s="164" t="s">
        <v>765</v>
      </c>
      <c r="D132" s="746" t="s">
        <v>780</v>
      </c>
      <c r="E132" s="744"/>
      <c r="F132" s="744"/>
      <c r="G132" s="744"/>
      <c r="H132" s="744"/>
      <c r="I132" s="744"/>
      <c r="J132" s="745"/>
      <c r="K132" s="755" t="s">
        <v>781</v>
      </c>
      <c r="L132" s="753"/>
      <c r="M132" s="753"/>
      <c r="N132" s="753"/>
      <c r="O132" s="753"/>
      <c r="P132" s="756"/>
    </row>
    <row r="133" spans="1:19" ht="12.75" customHeight="1" x14ac:dyDescent="0.25">
      <c r="A133" s="8" t="s">
        <v>148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11" t="s">
        <v>362</v>
      </c>
    </row>
    <row r="134" spans="1:19" ht="14.1" customHeight="1" x14ac:dyDescent="0.25">
      <c r="A134" s="1"/>
      <c r="B134" s="2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13" t="s">
        <v>764</v>
      </c>
      <c r="N134" s="564" t="s">
        <v>17</v>
      </c>
      <c r="O134" s="89" t="s">
        <v>18</v>
      </c>
      <c r="P134" s="612" t="s">
        <v>764</v>
      </c>
    </row>
    <row r="135" spans="1:19" ht="14.1" customHeight="1" x14ac:dyDescent="0.25">
      <c r="A135" s="39" t="s">
        <v>624</v>
      </c>
      <c r="B135" s="40" t="s">
        <v>625</v>
      </c>
      <c r="C135" s="199">
        <v>7411204.5599999996</v>
      </c>
      <c r="D135" s="204">
        <v>7840544.3200000003</v>
      </c>
      <c r="E135" s="30">
        <v>5213561.66</v>
      </c>
      <c r="F135" s="48">
        <f t="shared" si="23"/>
        <v>0.66494894323867559</v>
      </c>
      <c r="G135" s="30">
        <v>4462300.8899999997</v>
      </c>
      <c r="H135" s="48">
        <f t="shared" si="24"/>
        <v>0.56913151789951233</v>
      </c>
      <c r="I135" s="30">
        <v>1713254.01</v>
      </c>
      <c r="J135" s="153">
        <f t="shared" si="25"/>
        <v>0.21851212620911503</v>
      </c>
      <c r="K135" s="614">
        <v>3628140.45</v>
      </c>
      <c r="L135" s="48">
        <v>0.67862463538875251</v>
      </c>
      <c r="M135" s="210">
        <f t="shared" si="26"/>
        <v>0.22991404315673591</v>
      </c>
      <c r="N135" s="614">
        <v>1203242.04</v>
      </c>
      <c r="O135" s="48">
        <v>0.22506011052560515</v>
      </c>
      <c r="P135" s="210">
        <f t="shared" si="27"/>
        <v>0.42386481941737997</v>
      </c>
    </row>
    <row r="136" spans="1:19" ht="14.1" customHeight="1" x14ac:dyDescent="0.25">
      <c r="A136" s="39" t="s">
        <v>626</v>
      </c>
      <c r="B136" s="40" t="s">
        <v>627</v>
      </c>
      <c r="C136" s="199">
        <v>11963437.41</v>
      </c>
      <c r="D136" s="205">
        <v>11902508.41</v>
      </c>
      <c r="E136" s="32">
        <v>7526327.3200000003</v>
      </c>
      <c r="F136" s="280">
        <f t="shared" si="23"/>
        <v>0.63233119110226277</v>
      </c>
      <c r="G136" s="32">
        <v>6541995.6900000004</v>
      </c>
      <c r="H136" s="48">
        <f t="shared" si="24"/>
        <v>0.54963167969733873</v>
      </c>
      <c r="I136" s="32">
        <v>1612747.78</v>
      </c>
      <c r="J136" s="178">
        <f t="shared" si="25"/>
        <v>0.13549646212768354</v>
      </c>
      <c r="K136" s="618">
        <v>6557761</v>
      </c>
      <c r="L136" s="280">
        <v>0.71958756679687741</v>
      </c>
      <c r="M136" s="211">
        <f t="shared" si="26"/>
        <v>-2.404069010749188E-3</v>
      </c>
      <c r="N136" s="618">
        <v>3945227.9200000004</v>
      </c>
      <c r="O136" s="280">
        <v>0.43291253819892278</v>
      </c>
      <c r="P136" s="211">
        <f t="shared" si="27"/>
        <v>-0.59121556150804089</v>
      </c>
    </row>
    <row r="137" spans="1:19" ht="14.1" customHeight="1" x14ac:dyDescent="0.25">
      <c r="A137" s="39" t="s">
        <v>628</v>
      </c>
      <c r="B137" s="40" t="s">
        <v>629</v>
      </c>
      <c r="C137" s="199">
        <v>619200</v>
      </c>
      <c r="D137" s="205">
        <v>582376</v>
      </c>
      <c r="E137" s="32">
        <v>552038</v>
      </c>
      <c r="F137" s="280">
        <f t="shared" si="23"/>
        <v>0.94790650713628311</v>
      </c>
      <c r="G137" s="32">
        <v>46639.97</v>
      </c>
      <c r="H137" s="48">
        <f t="shared" si="24"/>
        <v>8.008566630493015E-2</v>
      </c>
      <c r="I137" s="32">
        <v>10101.969999999999</v>
      </c>
      <c r="J137" s="178">
        <f t="shared" si="25"/>
        <v>1.7346130335041277E-2</v>
      </c>
      <c r="K137" s="618">
        <v>45.370000000000005</v>
      </c>
      <c r="L137" s="280">
        <v>7.3271963824289419E-5</v>
      </c>
      <c r="M137" s="211">
        <f t="shared" si="26"/>
        <v>1026.9914040114613</v>
      </c>
      <c r="N137" s="618">
        <v>45.370000000000005</v>
      </c>
      <c r="O137" s="280">
        <v>7.3271963824289419E-5</v>
      </c>
      <c r="P137" s="211">
        <f t="shared" si="27"/>
        <v>221.65748291822786</v>
      </c>
    </row>
    <row r="138" spans="1:19" ht="14.1" customHeight="1" x14ac:dyDescent="0.25">
      <c r="A138" s="39" t="s">
        <v>630</v>
      </c>
      <c r="B138" s="40" t="s">
        <v>631</v>
      </c>
      <c r="C138" s="199">
        <v>3840200</v>
      </c>
      <c r="D138" s="205">
        <v>4112839.06</v>
      </c>
      <c r="E138" s="32">
        <v>3397305.77</v>
      </c>
      <c r="F138" s="280">
        <f t="shared" si="23"/>
        <v>0.82602448586937904</v>
      </c>
      <c r="G138" s="32">
        <v>3397305.77</v>
      </c>
      <c r="H138" s="48">
        <f t="shared" si="24"/>
        <v>0.82602448586937904</v>
      </c>
      <c r="I138" s="32">
        <v>912182.07</v>
      </c>
      <c r="J138" s="178">
        <f t="shared" si="25"/>
        <v>0.22178890462103323</v>
      </c>
      <c r="K138" s="618">
        <v>3107693.5</v>
      </c>
      <c r="L138" s="280">
        <v>0.84349260191765574</v>
      </c>
      <c r="M138" s="211">
        <f t="shared" si="26"/>
        <v>9.3192031324839553E-2</v>
      </c>
      <c r="N138" s="618">
        <v>876168.2</v>
      </c>
      <c r="O138" s="280">
        <v>0.23781025855204474</v>
      </c>
      <c r="P138" s="211">
        <f t="shared" si="27"/>
        <v>4.1103831433279669E-2</v>
      </c>
    </row>
    <row r="139" spans="1:19" ht="14.1" customHeight="1" x14ac:dyDescent="0.25">
      <c r="A139" s="39" t="s">
        <v>632</v>
      </c>
      <c r="B139" s="40" t="s">
        <v>633</v>
      </c>
      <c r="C139" s="199">
        <v>7354400.5099999998</v>
      </c>
      <c r="D139" s="205">
        <v>7337920.1100000003</v>
      </c>
      <c r="E139" s="32">
        <v>5955335.3300000001</v>
      </c>
      <c r="F139" s="280">
        <f t="shared" si="23"/>
        <v>0.8115835605629127</v>
      </c>
      <c r="G139" s="32">
        <v>2912971.34</v>
      </c>
      <c r="H139" s="48">
        <f t="shared" si="24"/>
        <v>0.39697506872965937</v>
      </c>
      <c r="I139" s="32">
        <v>1152684.6100000001</v>
      </c>
      <c r="J139" s="178">
        <f t="shared" si="25"/>
        <v>0.15708601248317489</v>
      </c>
      <c r="K139" s="616">
        <v>2439048.25</v>
      </c>
      <c r="L139" s="280">
        <v>0.41809054908605459</v>
      </c>
      <c r="M139" s="211">
        <f t="shared" si="26"/>
        <v>0.19430656609601704</v>
      </c>
      <c r="N139" s="616">
        <v>891194.7</v>
      </c>
      <c r="O139" s="280">
        <v>0.15276453898178591</v>
      </c>
      <c r="P139" s="211">
        <f t="shared" si="27"/>
        <v>0.29341501918716539</v>
      </c>
    </row>
    <row r="140" spans="1:19" ht="14.1" customHeight="1" x14ac:dyDescent="0.25">
      <c r="A140" s="39" t="s">
        <v>634</v>
      </c>
      <c r="B140" s="40" t="s">
        <v>635</v>
      </c>
      <c r="C140" s="199">
        <v>6846944.8200000003</v>
      </c>
      <c r="D140" s="205">
        <v>6847029.3499999996</v>
      </c>
      <c r="E140" s="32">
        <v>5400774.8799999999</v>
      </c>
      <c r="F140" s="280">
        <f t="shared" si="23"/>
        <v>0.78877635890373399</v>
      </c>
      <c r="G140" s="32">
        <v>4322098.1100000003</v>
      </c>
      <c r="H140" s="48">
        <f t="shared" si="24"/>
        <v>0.6312369772447376</v>
      </c>
      <c r="I140" s="32">
        <v>1446660.25</v>
      </c>
      <c r="J140" s="178">
        <f t="shared" si="25"/>
        <v>0.21128290475343151</v>
      </c>
      <c r="K140" s="616">
        <v>3684340.22</v>
      </c>
      <c r="L140" s="390">
        <v>0.58895884827372402</v>
      </c>
      <c r="M140" s="211">
        <f t="shared" si="26"/>
        <v>0.17309961944828212</v>
      </c>
      <c r="N140" s="616">
        <v>1696281.52</v>
      </c>
      <c r="O140" s="390">
        <v>0.27115845733899185</v>
      </c>
      <c r="P140" s="211">
        <f t="shared" si="27"/>
        <v>-0.14715792576694464</v>
      </c>
    </row>
    <row r="141" spans="1:19" ht="14.1" customHeight="1" x14ac:dyDescent="0.25">
      <c r="A141" s="39" t="s">
        <v>636</v>
      </c>
      <c r="B141" s="40" t="s">
        <v>637</v>
      </c>
      <c r="C141" s="199">
        <v>6662283.29</v>
      </c>
      <c r="D141" s="205">
        <v>6589206.46</v>
      </c>
      <c r="E141" s="32">
        <v>3535646.53</v>
      </c>
      <c r="F141" s="280">
        <f t="shared" si="23"/>
        <v>0.53658153701257671</v>
      </c>
      <c r="G141" s="32">
        <v>3204273.14</v>
      </c>
      <c r="H141" s="48">
        <f t="shared" si="24"/>
        <v>0.486291203569299</v>
      </c>
      <c r="I141" s="32">
        <v>1800530.15</v>
      </c>
      <c r="J141" s="178">
        <f t="shared" si="25"/>
        <v>0.27325447471257408</v>
      </c>
      <c r="K141" s="616">
        <v>3025385.16</v>
      </c>
      <c r="L141" s="390">
        <v>0.48825735857551172</v>
      </c>
      <c r="M141" s="211">
        <f t="shared" si="26"/>
        <v>5.9128993678279285E-2</v>
      </c>
      <c r="N141" s="616">
        <v>1708294.45</v>
      </c>
      <c r="O141" s="390">
        <v>0.27569624749075139</v>
      </c>
      <c r="P141" s="211">
        <f t="shared" si="27"/>
        <v>5.3992858198421256E-2</v>
      </c>
    </row>
    <row r="142" spans="1:19" ht="14.1" customHeight="1" x14ac:dyDescent="0.25">
      <c r="A142" s="39" t="s">
        <v>638</v>
      </c>
      <c r="B142" s="40" t="s">
        <v>639</v>
      </c>
      <c r="C142" s="199">
        <v>1046944.94</v>
      </c>
      <c r="D142" s="205">
        <v>1104018.23</v>
      </c>
      <c r="E142" s="32">
        <v>562013.91</v>
      </c>
      <c r="F142" s="280">
        <f t="shared" si="23"/>
        <v>0.50906216467095844</v>
      </c>
      <c r="G142" s="32">
        <v>307841.13</v>
      </c>
      <c r="H142" s="48">
        <f t="shared" si="24"/>
        <v>0.27883699891441105</v>
      </c>
      <c r="I142" s="32">
        <v>155749.89000000001</v>
      </c>
      <c r="J142" s="178">
        <f t="shared" si="25"/>
        <v>0.14107546937879822</v>
      </c>
      <c r="K142" s="616">
        <v>423839.63</v>
      </c>
      <c r="L142" s="390">
        <v>0.49671191752437366</v>
      </c>
      <c r="M142" s="211">
        <f t="shared" si="26"/>
        <v>-0.27368488406806135</v>
      </c>
      <c r="N142" s="616">
        <v>171630.15</v>
      </c>
      <c r="O142" s="390">
        <v>0.20113914527411197</v>
      </c>
      <c r="P142" s="211">
        <f t="shared" si="27"/>
        <v>-9.2526050929862769E-2</v>
      </c>
    </row>
    <row r="143" spans="1:19" ht="14.1" customHeight="1" x14ac:dyDescent="0.25">
      <c r="A143" s="39" t="s">
        <v>640</v>
      </c>
      <c r="B143" s="40" t="s">
        <v>641</v>
      </c>
      <c r="C143" s="199">
        <v>3071168.61</v>
      </c>
      <c r="D143" s="205">
        <v>3168769.86</v>
      </c>
      <c r="E143" s="32">
        <v>1986578.6</v>
      </c>
      <c r="F143" s="280">
        <f t="shared" si="23"/>
        <v>0.6269242285711466</v>
      </c>
      <c r="G143" s="32">
        <v>862823.06</v>
      </c>
      <c r="H143" s="48">
        <f t="shared" si="24"/>
        <v>0.27228959442324413</v>
      </c>
      <c r="I143" s="32">
        <v>278685.84999999998</v>
      </c>
      <c r="J143" s="178">
        <f t="shared" si="25"/>
        <v>8.7947646030690274E-2</v>
      </c>
      <c r="K143" s="616">
        <v>600754.93999999994</v>
      </c>
      <c r="L143" s="390">
        <v>0.24231471569221305</v>
      </c>
      <c r="M143" s="211">
        <f t="shared" si="26"/>
        <v>0.43623131921312219</v>
      </c>
      <c r="N143" s="616">
        <v>203924.73</v>
      </c>
      <c r="O143" s="390">
        <v>8.2253111347800681E-2</v>
      </c>
      <c r="P143" s="211">
        <f t="shared" si="27"/>
        <v>0.36661134723581568</v>
      </c>
    </row>
    <row r="144" spans="1:19" ht="14.1" customHeight="1" x14ac:dyDescent="0.25">
      <c r="A144" s="39" t="s">
        <v>642</v>
      </c>
      <c r="B144" s="40" t="s">
        <v>643</v>
      </c>
      <c r="C144" s="199">
        <v>3957522.84</v>
      </c>
      <c r="D144" s="205">
        <v>3973288.29</v>
      </c>
      <c r="E144" s="32">
        <v>2963834.8799999999</v>
      </c>
      <c r="F144" s="280">
        <f t="shared" si="23"/>
        <v>0.74594005359726867</v>
      </c>
      <c r="G144" s="32">
        <v>1929738.21</v>
      </c>
      <c r="H144" s="48">
        <f t="shared" si="24"/>
        <v>0.4856778741318063</v>
      </c>
      <c r="I144" s="32">
        <v>695636.6</v>
      </c>
      <c r="J144" s="178">
        <f t="shared" si="25"/>
        <v>0.17507831026275719</v>
      </c>
      <c r="K144" s="616">
        <v>1689139.04</v>
      </c>
      <c r="L144" s="390">
        <v>0.46139005396601024</v>
      </c>
      <c r="M144" s="211">
        <f t="shared" si="26"/>
        <v>0.14243893741275437</v>
      </c>
      <c r="N144" s="616">
        <v>332301.48</v>
      </c>
      <c r="O144" s="390">
        <v>9.076848865572669E-2</v>
      </c>
      <c r="P144" s="211">
        <f t="shared" si="27"/>
        <v>1.0933900143929542</v>
      </c>
      <c r="R144" s="275"/>
      <c r="S144" s="275"/>
    </row>
    <row r="145" spans="1:19" ht="14.1" customHeight="1" x14ac:dyDescent="0.25">
      <c r="A145" s="39" t="s">
        <v>646</v>
      </c>
      <c r="B145" s="40" t="s">
        <v>647</v>
      </c>
      <c r="C145" s="199">
        <v>543815.78</v>
      </c>
      <c r="D145" s="205">
        <v>693236.93</v>
      </c>
      <c r="E145" s="32">
        <v>565642.47</v>
      </c>
      <c r="F145" s="280">
        <f t="shared" ref="F145:F174" si="28">+E145/D145</f>
        <v>0.8159439370894449</v>
      </c>
      <c r="G145" s="32">
        <v>559642.47</v>
      </c>
      <c r="H145" s="48">
        <f>+G145/D145</f>
        <v>0.8072888875092098</v>
      </c>
      <c r="I145" s="32">
        <v>183368.4</v>
      </c>
      <c r="J145" s="178">
        <f>+I145/D145</f>
        <v>0.26451043224139831</v>
      </c>
      <c r="K145" s="616">
        <v>415948.93</v>
      </c>
      <c r="L145" s="390">
        <v>0.79903087553915753</v>
      </c>
      <c r="M145" s="211">
        <f t="shared" si="26"/>
        <v>0.34545957360678869</v>
      </c>
      <c r="N145" s="616">
        <v>307322.59999999998</v>
      </c>
      <c r="O145" s="390">
        <v>0.59036152863999491</v>
      </c>
      <c r="P145" s="211">
        <f t="shared" si="27"/>
        <v>-0.40333577810418109</v>
      </c>
      <c r="R145" s="275"/>
      <c r="S145" s="275"/>
    </row>
    <row r="146" spans="1:19" ht="14.1" customHeight="1" x14ac:dyDescent="0.25">
      <c r="A146" s="39" t="s">
        <v>648</v>
      </c>
      <c r="B146" s="40" t="s">
        <v>649</v>
      </c>
      <c r="C146" s="199">
        <v>10158466.529999999</v>
      </c>
      <c r="D146" s="205">
        <v>10170466.529999999</v>
      </c>
      <c r="E146" s="32">
        <v>7873435.1500000004</v>
      </c>
      <c r="F146" s="280">
        <f t="shared" si="28"/>
        <v>0.77414690140079556</v>
      </c>
      <c r="G146" s="32">
        <v>2605192.6800000002</v>
      </c>
      <c r="H146" s="48">
        <f>+G146/D146</f>
        <v>0.25615272144256301</v>
      </c>
      <c r="I146" s="32">
        <v>140130.79</v>
      </c>
      <c r="J146" s="178">
        <f>+I146/D146</f>
        <v>1.3778206691566588E-2</v>
      </c>
      <c r="K146" s="616">
        <v>2407818.29</v>
      </c>
      <c r="L146" s="390">
        <v>0.26441999270549871</v>
      </c>
      <c r="M146" s="211">
        <f t="shared" si="26"/>
        <v>8.1972294512307364E-2</v>
      </c>
      <c r="N146" s="616">
        <v>145220.02000000002</v>
      </c>
      <c r="O146" s="390">
        <v>1.5947663820218085E-2</v>
      </c>
      <c r="P146" s="211">
        <f t="shared" si="27"/>
        <v>-3.5044961431626387E-2</v>
      </c>
    </row>
    <row r="147" spans="1:19" ht="14.1" customHeight="1" x14ac:dyDescent="0.25">
      <c r="A147" s="253">
        <v>2341</v>
      </c>
      <c r="B147" s="40" t="s">
        <v>431</v>
      </c>
      <c r="C147" s="199">
        <v>10668077.699999999</v>
      </c>
      <c r="D147" s="205">
        <v>10738410.75</v>
      </c>
      <c r="E147" s="32">
        <v>10598332.08</v>
      </c>
      <c r="F147" s="280">
        <f t="shared" si="28"/>
        <v>0.98695536301775377</v>
      </c>
      <c r="G147" s="32">
        <v>10556480.17</v>
      </c>
      <c r="H147" s="48">
        <f>+G147/D147</f>
        <v>0.98305796041560434</v>
      </c>
      <c r="I147" s="32">
        <v>3939797.11</v>
      </c>
      <c r="J147" s="178">
        <f>+I147/D147</f>
        <v>0.36688828558732489</v>
      </c>
      <c r="K147" s="616">
        <v>10543993.280000001</v>
      </c>
      <c r="L147" s="390">
        <v>0.98776445996869855</v>
      </c>
      <c r="M147" s="211">
        <f t="shared" si="26"/>
        <v>1.184265739592627E-3</v>
      </c>
      <c r="N147" s="616">
        <v>4017773.63</v>
      </c>
      <c r="O147" s="390">
        <v>0.37638624139121485</v>
      </c>
      <c r="P147" s="211">
        <f t="shared" si="27"/>
        <v>-1.9407892823468997E-2</v>
      </c>
    </row>
    <row r="148" spans="1:19" ht="14.1" customHeight="1" x14ac:dyDescent="0.25">
      <c r="A148" s="532">
        <v>2</v>
      </c>
      <c r="B148" s="518" t="s">
        <v>125</v>
      </c>
      <c r="C148" s="201">
        <f>SUM(C122:C130,C135:C147)</f>
        <v>322762317.93999994</v>
      </c>
      <c r="D148" s="207">
        <f>SUM(D122:D130,D135:D147)</f>
        <v>329234596.3900001</v>
      </c>
      <c r="E148" s="203">
        <f>SUM(E122:E130,E135:E147)</f>
        <v>272738915.68000001</v>
      </c>
      <c r="F148" s="263">
        <f t="shared" si="28"/>
        <v>0.82840296454423268</v>
      </c>
      <c r="G148" s="203">
        <f>SUM(G122:G130,G135:G147)</f>
        <v>246441279.45000002</v>
      </c>
      <c r="H148" s="232">
        <f>G148/D148</f>
        <v>0.74852789516103602</v>
      </c>
      <c r="I148" s="203">
        <f>SUM(I122:I130,I135:I147)</f>
        <v>110246778.95</v>
      </c>
      <c r="J148" s="277">
        <f>I148/D148</f>
        <v>0.33485781919286944</v>
      </c>
      <c r="K148" s="568">
        <f>SUM(K122:K147)</f>
        <v>226568402.05999997</v>
      </c>
      <c r="L148" s="90">
        <v>0.75830352002708634</v>
      </c>
      <c r="M148" s="213">
        <f t="shared" ref="M148:M172" si="29">+G148/K148-1</f>
        <v>8.7712484218065434E-2</v>
      </c>
      <c r="N148" s="568">
        <f>SUM(N122:N147)</f>
        <v>100646052.68000002</v>
      </c>
      <c r="O148" s="90">
        <v>0.33685304451176024</v>
      </c>
      <c r="P148" s="213">
        <f>+I148/N148-1</f>
        <v>9.5390986674113165E-2</v>
      </c>
    </row>
    <row r="149" spans="1:19" ht="14.1" customHeight="1" x14ac:dyDescent="0.25">
      <c r="A149" s="37">
        <v>3111</v>
      </c>
      <c r="B149" s="38" t="s">
        <v>651</v>
      </c>
      <c r="C149" s="198">
        <v>19998074.850000001</v>
      </c>
      <c r="D149" s="516">
        <v>19983074.850000001</v>
      </c>
      <c r="E149" s="180">
        <v>18153248.420000002</v>
      </c>
      <c r="F149" s="48">
        <f t="shared" si="28"/>
        <v>0.90843118770582998</v>
      </c>
      <c r="G149" s="180">
        <v>17847757.629999999</v>
      </c>
      <c r="H149" s="48">
        <f t="shared" ref="H149:H198" si="30">+G149/D149</f>
        <v>0.89314371106406565</v>
      </c>
      <c r="I149" s="180">
        <v>7268445.8799999999</v>
      </c>
      <c r="J149" s="153">
        <f t="shared" ref="J149:J198" si="31">+I149/D149</f>
        <v>0.363730103327917</v>
      </c>
      <c r="K149" s="615">
        <v>16193499.229999999</v>
      </c>
      <c r="L149" s="48">
        <v>0.9753227416043081</v>
      </c>
      <c r="M149" s="210">
        <f t="shared" si="29"/>
        <v>0.10215570930681417</v>
      </c>
      <c r="N149" s="615">
        <v>9143806.1000000015</v>
      </c>
      <c r="O149" s="48">
        <v>0.5507248252822623</v>
      </c>
      <c r="P149" s="210">
        <f>+I149/N149-1</f>
        <v>-0.20509623667544763</v>
      </c>
    </row>
    <row r="150" spans="1:19" ht="14.1" customHeight="1" x14ac:dyDescent="0.25">
      <c r="A150" s="37" t="s">
        <v>650</v>
      </c>
      <c r="B150" s="38" t="s">
        <v>652</v>
      </c>
      <c r="C150" s="200">
        <v>2248848</v>
      </c>
      <c r="D150" s="206">
        <v>2248848</v>
      </c>
      <c r="E150" s="34">
        <v>2248848</v>
      </c>
      <c r="F150" s="48">
        <f t="shared" si="28"/>
        <v>1</v>
      </c>
      <c r="G150" s="34">
        <v>2248848</v>
      </c>
      <c r="H150" s="48">
        <f t="shared" si="30"/>
        <v>1</v>
      </c>
      <c r="I150" s="34">
        <v>1500000</v>
      </c>
      <c r="J150" s="153">
        <f t="shared" si="31"/>
        <v>0.66700817485219099</v>
      </c>
      <c r="K150" s="615">
        <v>2248848</v>
      </c>
      <c r="L150" s="48">
        <v>1</v>
      </c>
      <c r="M150" s="210">
        <f t="shared" si="29"/>
        <v>0</v>
      </c>
      <c r="N150" s="615">
        <v>1500000</v>
      </c>
      <c r="O150" s="48">
        <v>0.66700817485219099</v>
      </c>
      <c r="P150" s="210">
        <f>+I150/N150-1</f>
        <v>0</v>
      </c>
    </row>
    <row r="151" spans="1:19" ht="14.1" customHeight="1" x14ac:dyDescent="0.25">
      <c r="A151" s="37">
        <v>3131</v>
      </c>
      <c r="B151" s="38" t="s">
        <v>761</v>
      </c>
      <c r="C151" s="200">
        <v>9000</v>
      </c>
      <c r="D151" s="206">
        <v>6000</v>
      </c>
      <c r="E151" s="34">
        <v>6000</v>
      </c>
      <c r="F151" s="48">
        <f t="shared" si="28"/>
        <v>1</v>
      </c>
      <c r="G151" s="34">
        <v>870</v>
      </c>
      <c r="H151" s="48">
        <f t="shared" si="30"/>
        <v>0.14499999999999999</v>
      </c>
      <c r="I151" s="34">
        <v>870</v>
      </c>
      <c r="J151" s="153">
        <f t="shared" si="31"/>
        <v>0.14499999999999999</v>
      </c>
      <c r="K151" s="615">
        <v>0</v>
      </c>
      <c r="L151" s="48">
        <v>0</v>
      </c>
      <c r="M151" s="210" t="s">
        <v>129</v>
      </c>
      <c r="N151" s="615">
        <v>0</v>
      </c>
      <c r="O151" s="48">
        <v>0</v>
      </c>
      <c r="P151" s="210" t="s">
        <v>129</v>
      </c>
    </row>
    <row r="152" spans="1:19" ht="14.1" customHeight="1" x14ac:dyDescent="0.25">
      <c r="A152" s="39" t="s">
        <v>653</v>
      </c>
      <c r="B152" s="40" t="s">
        <v>654</v>
      </c>
      <c r="C152" s="200">
        <v>10674936.689999999</v>
      </c>
      <c r="D152" s="206">
        <v>10674936.689999999</v>
      </c>
      <c r="E152" s="34">
        <v>10674936.689999999</v>
      </c>
      <c r="F152" s="280">
        <f t="shared" si="28"/>
        <v>1</v>
      </c>
      <c r="G152" s="34">
        <v>10674936.689999999</v>
      </c>
      <c r="H152" s="280">
        <f t="shared" si="30"/>
        <v>1</v>
      </c>
      <c r="I152" s="34">
        <v>5100000</v>
      </c>
      <c r="J152" s="178">
        <f t="shared" si="31"/>
        <v>0.47775458984946917</v>
      </c>
      <c r="K152" s="616">
        <v>22965790.039999999</v>
      </c>
      <c r="L152" s="280">
        <v>0.99247962282546187</v>
      </c>
      <c r="M152" s="212">
        <f t="shared" si="29"/>
        <v>-0.53518095082262629</v>
      </c>
      <c r="N152" s="616">
        <v>3542705.06</v>
      </c>
      <c r="O152" s="280">
        <v>0.15310000551283692</v>
      </c>
      <c r="P152" s="210">
        <f t="shared" ref="P152:P171" si="32">+I152/N152-1</f>
        <v>0.43957792523659878</v>
      </c>
    </row>
    <row r="153" spans="1:19" ht="14.1" customHeight="1" x14ac:dyDescent="0.25">
      <c r="A153" s="253">
        <v>3232</v>
      </c>
      <c r="B153" s="40" t="s">
        <v>480</v>
      </c>
      <c r="C153" s="200">
        <v>40599839.609999999</v>
      </c>
      <c r="D153" s="206">
        <v>40599839.609999999</v>
      </c>
      <c r="E153" s="34">
        <v>40599839.609999999</v>
      </c>
      <c r="F153" s="280">
        <f t="shared" si="28"/>
        <v>1</v>
      </c>
      <c r="G153" s="34">
        <v>40599839.609999999</v>
      </c>
      <c r="H153" s="280">
        <f t="shared" si="30"/>
        <v>1</v>
      </c>
      <c r="I153" s="34">
        <v>34681050</v>
      </c>
      <c r="J153" s="178">
        <f t="shared" si="31"/>
        <v>0.85421642876288206</v>
      </c>
      <c r="K153" s="579">
        <v>37980210.549999997</v>
      </c>
      <c r="L153" s="610">
        <v>1</v>
      </c>
      <c r="M153" s="211">
        <f t="shared" si="29"/>
        <v>6.8973526530384133E-2</v>
      </c>
      <c r="N153" s="579">
        <v>31780000</v>
      </c>
      <c r="O153" s="610">
        <v>0.83675154876149049</v>
      </c>
      <c r="P153" s="210">
        <f t="shared" si="32"/>
        <v>9.1285399622404118E-2</v>
      </c>
    </row>
    <row r="154" spans="1:19" ht="14.1" customHeight="1" x14ac:dyDescent="0.25">
      <c r="A154" s="253" t="s">
        <v>655</v>
      </c>
      <c r="B154" s="40" t="s">
        <v>656</v>
      </c>
      <c r="C154" s="200">
        <v>1576943.5</v>
      </c>
      <c r="D154" s="206">
        <v>1576943.5</v>
      </c>
      <c r="E154" s="34">
        <v>1576943.5</v>
      </c>
      <c r="F154" s="280">
        <f t="shared" si="28"/>
        <v>1</v>
      </c>
      <c r="G154" s="34">
        <v>1576943.5</v>
      </c>
      <c r="H154" s="280">
        <f t="shared" si="30"/>
        <v>1</v>
      </c>
      <c r="I154" s="34">
        <v>0</v>
      </c>
      <c r="J154" s="178">
        <f t="shared" si="31"/>
        <v>0</v>
      </c>
      <c r="K154" s="579">
        <v>1326943.5</v>
      </c>
      <c r="L154" s="610">
        <v>1</v>
      </c>
      <c r="M154" s="211">
        <f t="shared" si="29"/>
        <v>0.18840289733511639</v>
      </c>
      <c r="N154" s="579">
        <v>0</v>
      </c>
      <c r="O154" s="610">
        <v>0</v>
      </c>
      <c r="P154" s="210" t="s">
        <v>129</v>
      </c>
    </row>
    <row r="155" spans="1:19" ht="14.1" customHeight="1" x14ac:dyDescent="0.25">
      <c r="A155" s="39" t="s">
        <v>657</v>
      </c>
      <c r="B155" s="40" t="s">
        <v>658</v>
      </c>
      <c r="C155" s="200">
        <v>8163831</v>
      </c>
      <c r="D155" s="206">
        <v>8163831</v>
      </c>
      <c r="E155" s="34">
        <v>7463831</v>
      </c>
      <c r="F155" s="280">
        <f t="shared" si="28"/>
        <v>0.91425594184886971</v>
      </c>
      <c r="G155" s="34">
        <v>7463831</v>
      </c>
      <c r="H155" s="280">
        <f t="shared" si="30"/>
        <v>0.91425594184886971</v>
      </c>
      <c r="I155" s="34">
        <v>0</v>
      </c>
      <c r="J155" s="178">
        <f t="shared" si="31"/>
        <v>0</v>
      </c>
      <c r="K155" s="579">
        <v>7493661</v>
      </c>
      <c r="L155" s="280">
        <v>1</v>
      </c>
      <c r="M155" s="211">
        <f t="shared" si="29"/>
        <v>-3.9806978191300191E-3</v>
      </c>
      <c r="N155" s="579">
        <v>29830</v>
      </c>
      <c r="O155" s="280">
        <v>3.9806978191300624E-3</v>
      </c>
      <c r="P155" s="210">
        <f t="shared" si="32"/>
        <v>-1</v>
      </c>
    </row>
    <row r="156" spans="1:19" ht="14.1" customHeight="1" x14ac:dyDescent="0.25">
      <c r="A156" s="39" t="s">
        <v>659</v>
      </c>
      <c r="B156" s="40" t="s">
        <v>114</v>
      </c>
      <c r="C156" s="200">
        <v>9096798.4100000001</v>
      </c>
      <c r="D156" s="206">
        <v>9189049.9900000002</v>
      </c>
      <c r="E156" s="34">
        <v>8605089.5399999991</v>
      </c>
      <c r="F156" s="280">
        <f t="shared" si="28"/>
        <v>0.93645040013543324</v>
      </c>
      <c r="G156" s="34">
        <v>8420993.9199999999</v>
      </c>
      <c r="H156" s="280">
        <f t="shared" si="30"/>
        <v>0.91641616153619376</v>
      </c>
      <c r="I156" s="34">
        <v>258868.24</v>
      </c>
      <c r="J156" s="178">
        <f t="shared" si="31"/>
        <v>2.8171382273653296E-2</v>
      </c>
      <c r="K156" s="579">
        <v>6457387.9299999997</v>
      </c>
      <c r="L156" s="280">
        <v>0.8994786791576509</v>
      </c>
      <c r="M156" s="211">
        <f t="shared" si="29"/>
        <v>0.30408673155245913</v>
      </c>
      <c r="N156" s="579">
        <v>218488.37</v>
      </c>
      <c r="O156" s="280">
        <v>3.0434230154561603E-2</v>
      </c>
      <c r="P156" s="210">
        <f t="shared" si="32"/>
        <v>0.18481473407486182</v>
      </c>
    </row>
    <row r="157" spans="1:19" ht="14.1" customHeight="1" x14ac:dyDescent="0.25">
      <c r="A157" s="39" t="s">
        <v>660</v>
      </c>
      <c r="B157" s="40" t="s">
        <v>661</v>
      </c>
      <c r="C157" s="200">
        <v>8827393.0999999996</v>
      </c>
      <c r="D157" s="206">
        <v>8827393.0999999996</v>
      </c>
      <c r="E157" s="34">
        <v>8744700.8900000006</v>
      </c>
      <c r="F157" s="280">
        <f t="shared" si="28"/>
        <v>0.99063231816423825</v>
      </c>
      <c r="G157" s="34">
        <v>8744700.8900000006</v>
      </c>
      <c r="H157" s="280">
        <f t="shared" si="30"/>
        <v>0.99063231816423825</v>
      </c>
      <c r="I157" s="34">
        <v>0</v>
      </c>
      <c r="J157" s="178">
        <f t="shared" si="31"/>
        <v>0</v>
      </c>
      <c r="K157" s="579">
        <v>8147393.0999999996</v>
      </c>
      <c r="L157" s="280">
        <v>0.83328889578961496</v>
      </c>
      <c r="M157" s="211">
        <f t="shared" si="29"/>
        <v>7.3312749571393665E-2</v>
      </c>
      <c r="N157" s="579">
        <v>679022</v>
      </c>
      <c r="O157" s="280">
        <v>6.9448164051008648E-2</v>
      </c>
      <c r="P157" s="210">
        <f t="shared" si="32"/>
        <v>-1</v>
      </c>
    </row>
    <row r="158" spans="1:19" ht="14.1" customHeight="1" x14ac:dyDescent="0.25">
      <c r="A158" s="39">
        <v>3281</v>
      </c>
      <c r="B158" s="40" t="s">
        <v>664</v>
      </c>
      <c r="C158" s="200">
        <v>5255775.0999999996</v>
      </c>
      <c r="D158" s="206">
        <v>5255775.0999999996</v>
      </c>
      <c r="E158" s="34">
        <v>5255775.0999999996</v>
      </c>
      <c r="F158" s="280">
        <f t="shared" si="28"/>
        <v>1</v>
      </c>
      <c r="G158" s="34">
        <v>5255775.0999999996</v>
      </c>
      <c r="H158" s="280">
        <f t="shared" si="30"/>
        <v>1</v>
      </c>
      <c r="I158" s="34">
        <v>0</v>
      </c>
      <c r="J158" s="178">
        <f t="shared" si="31"/>
        <v>0</v>
      </c>
      <c r="K158" s="579">
        <v>5155750.58</v>
      </c>
      <c r="L158" s="280">
        <v>1</v>
      </c>
      <c r="M158" s="211">
        <f t="shared" si="29"/>
        <v>1.9400573873377569E-2</v>
      </c>
      <c r="N158" s="579">
        <v>2800000</v>
      </c>
      <c r="O158" s="280">
        <v>0.54308290452638619</v>
      </c>
      <c r="P158" s="210">
        <f t="shared" si="32"/>
        <v>-1</v>
      </c>
    </row>
    <row r="159" spans="1:19" ht="14.1" customHeight="1" x14ac:dyDescent="0.25">
      <c r="A159" s="39" t="s">
        <v>662</v>
      </c>
      <c r="B159" s="40" t="s">
        <v>665</v>
      </c>
      <c r="C159" s="200">
        <v>2919606</v>
      </c>
      <c r="D159" s="206">
        <v>3019606</v>
      </c>
      <c r="E159" s="34">
        <v>2919606</v>
      </c>
      <c r="F159" s="280">
        <f t="shared" si="28"/>
        <v>0.96688309666890315</v>
      </c>
      <c r="G159" s="34">
        <v>2919606</v>
      </c>
      <c r="H159" s="280">
        <f t="shared" si="30"/>
        <v>0.96688309666890315</v>
      </c>
      <c r="I159" s="34">
        <v>0</v>
      </c>
      <c r="J159" s="178">
        <f t="shared" si="31"/>
        <v>0</v>
      </c>
      <c r="K159" s="579">
        <v>2919606</v>
      </c>
      <c r="L159" s="280">
        <v>1</v>
      </c>
      <c r="M159" s="211">
        <f t="shared" si="29"/>
        <v>0</v>
      </c>
      <c r="N159" s="579">
        <v>0</v>
      </c>
      <c r="O159" s="280">
        <v>0</v>
      </c>
      <c r="P159" s="210" t="s">
        <v>129</v>
      </c>
    </row>
    <row r="160" spans="1:19" ht="14.1" customHeight="1" x14ac:dyDescent="0.25">
      <c r="A160" s="39" t="s">
        <v>663</v>
      </c>
      <c r="B160" s="40" t="s">
        <v>666</v>
      </c>
      <c r="C160" s="200">
        <v>1326943.5</v>
      </c>
      <c r="D160" s="206">
        <v>1326943.5</v>
      </c>
      <c r="E160" s="34">
        <v>1326943.5</v>
      </c>
      <c r="F160" s="280">
        <f t="shared" si="28"/>
        <v>1</v>
      </c>
      <c r="G160" s="34">
        <v>1326943.5</v>
      </c>
      <c r="H160" s="280">
        <f t="shared" si="30"/>
        <v>1</v>
      </c>
      <c r="I160" s="34">
        <v>0</v>
      </c>
      <c r="J160" s="178">
        <f t="shared" si="31"/>
        <v>0</v>
      </c>
      <c r="K160" s="579">
        <v>1326943.5</v>
      </c>
      <c r="L160" s="280">
        <v>1</v>
      </c>
      <c r="M160" s="211">
        <f t="shared" si="29"/>
        <v>0</v>
      </c>
      <c r="N160" s="579">
        <v>0</v>
      </c>
      <c r="O160" s="280">
        <v>0</v>
      </c>
      <c r="P160" s="210" t="s">
        <v>129</v>
      </c>
    </row>
    <row r="161" spans="1:19" ht="14.1" customHeight="1" x14ac:dyDescent="0.25">
      <c r="A161" s="39">
        <v>3291</v>
      </c>
      <c r="B161" s="40" t="s">
        <v>495</v>
      </c>
      <c r="C161" s="200">
        <v>33376191.52</v>
      </c>
      <c r="D161" s="206">
        <v>33376191.52</v>
      </c>
      <c r="E161" s="34">
        <v>33376191.52</v>
      </c>
      <c r="F161" s="280">
        <f t="shared" si="28"/>
        <v>1</v>
      </c>
      <c r="G161" s="34">
        <v>33376191.52</v>
      </c>
      <c r="H161" s="280">
        <f t="shared" si="30"/>
        <v>1</v>
      </c>
      <c r="I161" s="34">
        <v>15900000</v>
      </c>
      <c r="J161" s="178">
        <f t="shared" si="31"/>
        <v>0.47638748688484278</v>
      </c>
      <c r="K161" s="579">
        <v>30377801.829999998</v>
      </c>
      <c r="L161" s="610">
        <v>1</v>
      </c>
      <c r="M161" s="211">
        <f t="shared" si="29"/>
        <v>9.8703313254183689E-2</v>
      </c>
      <c r="N161" s="579">
        <v>20500000</v>
      </c>
      <c r="O161" s="610">
        <v>0.67483487168432821</v>
      </c>
      <c r="P161" s="210">
        <f t="shared" si="32"/>
        <v>-0.224390243902439</v>
      </c>
    </row>
    <row r="162" spans="1:19" ht="14.1" customHeight="1" x14ac:dyDescent="0.25">
      <c r="A162" s="253" t="s">
        <v>667</v>
      </c>
      <c r="B162" s="40" t="s">
        <v>668</v>
      </c>
      <c r="C162" s="200">
        <v>28640778.239999998</v>
      </c>
      <c r="D162" s="206">
        <v>22684621.100000001</v>
      </c>
      <c r="E162" s="34">
        <v>14546561.58</v>
      </c>
      <c r="F162" s="280">
        <f t="shared" si="28"/>
        <v>0.64125212917927021</v>
      </c>
      <c r="G162" s="34">
        <v>14546561.58</v>
      </c>
      <c r="H162" s="280">
        <f t="shared" si="30"/>
        <v>0.64125212917927021</v>
      </c>
      <c r="I162" s="34">
        <v>3366705.54</v>
      </c>
      <c r="J162" s="178">
        <f t="shared" si="31"/>
        <v>0.14841356728678179</v>
      </c>
      <c r="K162" s="579">
        <v>15448230.970000001</v>
      </c>
      <c r="L162" s="280">
        <v>0.90686698762261009</v>
      </c>
      <c r="M162" s="211">
        <f t="shared" si="29"/>
        <v>-5.8367161376018717E-2</v>
      </c>
      <c r="N162" s="579">
        <v>3233323.13</v>
      </c>
      <c r="O162" s="280">
        <v>0.1898077529140936</v>
      </c>
      <c r="P162" s="210">
        <f t="shared" si="32"/>
        <v>4.1252421931611938E-2</v>
      </c>
    </row>
    <row r="163" spans="1:19" s="6" customFormat="1" ht="14.1" customHeight="1" x14ac:dyDescent="0.25">
      <c r="A163" s="39" t="s">
        <v>669</v>
      </c>
      <c r="B163" s="40" t="s">
        <v>670</v>
      </c>
      <c r="C163" s="200">
        <v>12623127.310000001</v>
      </c>
      <c r="D163" s="206">
        <v>12927747.279999999</v>
      </c>
      <c r="E163" s="34">
        <v>12606798.43</v>
      </c>
      <c r="F163" s="280">
        <f t="shared" si="28"/>
        <v>0.9751736444835577</v>
      </c>
      <c r="G163" s="34">
        <v>12528724.9</v>
      </c>
      <c r="H163" s="280">
        <f t="shared" si="30"/>
        <v>0.96913442293095331</v>
      </c>
      <c r="I163" s="34">
        <v>7048347.5700000003</v>
      </c>
      <c r="J163" s="178">
        <f t="shared" si="31"/>
        <v>0.54521081030909513</v>
      </c>
      <c r="K163" s="579">
        <v>12410129.98</v>
      </c>
      <c r="L163" s="280">
        <v>0.98610831873393168</v>
      </c>
      <c r="M163" s="211">
        <f t="shared" si="29"/>
        <v>9.5562995867992662E-3</v>
      </c>
      <c r="N163" s="579">
        <v>30310.03</v>
      </c>
      <c r="O163" s="280">
        <v>2.4084334952368508E-3</v>
      </c>
      <c r="P163" s="210">
        <f t="shared" si="32"/>
        <v>231.54175499001488</v>
      </c>
      <c r="R163" s="255"/>
    </row>
    <row r="164" spans="1:19" s="272" customFormat="1" ht="14.1" customHeight="1" x14ac:dyDescent="0.25">
      <c r="A164" s="39" t="s">
        <v>671</v>
      </c>
      <c r="B164" s="40" t="s">
        <v>672</v>
      </c>
      <c r="C164" s="200">
        <v>48067327.659999996</v>
      </c>
      <c r="D164" s="206">
        <v>51817327.659999996</v>
      </c>
      <c r="E164" s="34">
        <v>48067327.659999996</v>
      </c>
      <c r="F164" s="280">
        <f t="shared" si="28"/>
        <v>0.9276303860244266</v>
      </c>
      <c r="G164" s="34">
        <v>48067327.659999996</v>
      </c>
      <c r="H164" s="280">
        <f t="shared" si="30"/>
        <v>0.9276303860244266</v>
      </c>
      <c r="I164" s="34">
        <v>40000000</v>
      </c>
      <c r="J164" s="178">
        <f t="shared" si="31"/>
        <v>0.77194254907278259</v>
      </c>
      <c r="K164" s="579">
        <v>48812503.659999996</v>
      </c>
      <c r="L164" s="280">
        <v>1</v>
      </c>
      <c r="M164" s="211">
        <f t="shared" si="29"/>
        <v>-1.5266088484017781E-2</v>
      </c>
      <c r="N164" s="579">
        <v>47277327.799999997</v>
      </c>
      <c r="O164" s="280">
        <v>0.96854953659633691</v>
      </c>
      <c r="P164" s="210">
        <f t="shared" si="32"/>
        <v>-0.15392849254902252</v>
      </c>
      <c r="R164" s="273"/>
      <c r="S164" s="274"/>
    </row>
    <row r="165" spans="1:19" x14ac:dyDescent="0.25">
      <c r="A165" s="39" t="s">
        <v>673</v>
      </c>
      <c r="B165" s="40" t="s">
        <v>674</v>
      </c>
      <c r="C165" s="200">
        <v>17219551.329999998</v>
      </c>
      <c r="D165" s="206">
        <v>18169551.329999998</v>
      </c>
      <c r="E165" s="34">
        <v>17219551.329999998</v>
      </c>
      <c r="F165" s="280">
        <f t="shared" si="28"/>
        <v>0.94771472433491288</v>
      </c>
      <c r="G165" s="34">
        <v>17219551.329999998</v>
      </c>
      <c r="H165" s="280">
        <f t="shared" si="30"/>
        <v>0.94771472433491288</v>
      </c>
      <c r="I165" s="34">
        <v>6000000</v>
      </c>
      <c r="J165" s="178">
        <f t="shared" si="31"/>
        <v>0.33022279367423435</v>
      </c>
      <c r="K165" s="579">
        <v>17219551.329999998</v>
      </c>
      <c r="L165" s="280">
        <v>1</v>
      </c>
      <c r="M165" s="211">
        <f t="shared" si="29"/>
        <v>0</v>
      </c>
      <c r="N165" s="579">
        <v>11200000</v>
      </c>
      <c r="O165" s="280">
        <v>0.65042345095759246</v>
      </c>
      <c r="P165" s="210">
        <f t="shared" si="32"/>
        <v>-0.4642857142857143</v>
      </c>
    </row>
    <row r="166" spans="1:19" x14ac:dyDescent="0.25">
      <c r="A166" s="39" t="s">
        <v>675</v>
      </c>
      <c r="B166" s="40" t="s">
        <v>102</v>
      </c>
      <c r="C166" s="200">
        <v>17748245.370000001</v>
      </c>
      <c r="D166" s="206">
        <v>20618290.68</v>
      </c>
      <c r="E166" s="34">
        <v>17065053.18</v>
      </c>
      <c r="F166" s="280">
        <f t="shared" si="28"/>
        <v>0.82766575779016027</v>
      </c>
      <c r="G166" s="34">
        <v>16794899.18</v>
      </c>
      <c r="H166" s="280">
        <f t="shared" si="30"/>
        <v>0.81456311973966211</v>
      </c>
      <c r="I166" s="34">
        <v>1613252.66</v>
      </c>
      <c r="J166" s="178">
        <f t="shared" si="31"/>
        <v>7.8243763512601705E-2</v>
      </c>
      <c r="K166" s="579">
        <v>15652521.07</v>
      </c>
      <c r="L166" s="610">
        <v>0.94883103019653703</v>
      </c>
      <c r="M166" s="211">
        <f t="shared" si="29"/>
        <v>7.298364940006441E-2</v>
      </c>
      <c r="N166" s="579">
        <v>1153447.99</v>
      </c>
      <c r="O166" s="610">
        <v>6.9920189836219462E-2</v>
      </c>
      <c r="P166" s="210">
        <f t="shared" si="32"/>
        <v>0.39863493975137954</v>
      </c>
    </row>
    <row r="167" spans="1:19" x14ac:dyDescent="0.25">
      <c r="A167" s="253">
        <v>3361</v>
      </c>
      <c r="B167" s="40" t="s">
        <v>676</v>
      </c>
      <c r="C167" s="200">
        <v>211322.62</v>
      </c>
      <c r="D167" s="206">
        <v>211322.62</v>
      </c>
      <c r="E167" s="34">
        <v>211322.62</v>
      </c>
      <c r="F167" s="280">
        <f t="shared" si="28"/>
        <v>1</v>
      </c>
      <c r="G167" s="34">
        <v>211322.62</v>
      </c>
      <c r="H167" s="280">
        <f t="shared" si="30"/>
        <v>1</v>
      </c>
      <c r="I167" s="34">
        <v>0</v>
      </c>
      <c r="J167" s="178">
        <f t="shared" si="31"/>
        <v>0</v>
      </c>
      <c r="K167" s="579">
        <v>211322.62</v>
      </c>
      <c r="L167" s="280">
        <v>1</v>
      </c>
      <c r="M167" s="212">
        <f t="shared" si="29"/>
        <v>0</v>
      </c>
      <c r="N167" s="579">
        <v>0</v>
      </c>
      <c r="O167" s="280">
        <v>0</v>
      </c>
      <c r="P167" s="210" t="s">
        <v>129</v>
      </c>
    </row>
    <row r="168" spans="1:19" x14ac:dyDescent="0.25">
      <c r="A168" s="253">
        <v>3371</v>
      </c>
      <c r="B168" s="40" t="s">
        <v>677</v>
      </c>
      <c r="C168" s="200">
        <v>15245118.1</v>
      </c>
      <c r="D168" s="206">
        <v>15941014.48</v>
      </c>
      <c r="E168" s="34">
        <v>14011176.210000001</v>
      </c>
      <c r="F168" s="280">
        <f t="shared" si="28"/>
        <v>0.87893880452707551</v>
      </c>
      <c r="G168" s="34">
        <v>13447505.550000001</v>
      </c>
      <c r="H168" s="280">
        <f t="shared" si="30"/>
        <v>0.84357903111320687</v>
      </c>
      <c r="I168" s="34">
        <v>6810047.0199999996</v>
      </c>
      <c r="J168" s="178">
        <f t="shared" si="31"/>
        <v>0.42720286268756963</v>
      </c>
      <c r="K168" s="579">
        <v>12108223.390000001</v>
      </c>
      <c r="L168" s="280">
        <v>0.8151168758489189</v>
      </c>
      <c r="M168" s="211">
        <f t="shared" si="29"/>
        <v>0.11060930384767209</v>
      </c>
      <c r="N168" s="579">
        <v>5995941.1099999985</v>
      </c>
      <c r="O168" s="280">
        <v>0.40364243604835714</v>
      </c>
      <c r="P168" s="210">
        <f t="shared" si="32"/>
        <v>0.13577616842204132</v>
      </c>
    </row>
    <row r="169" spans="1:19" x14ac:dyDescent="0.25">
      <c r="A169" s="253">
        <v>3381</v>
      </c>
      <c r="B169" s="40" t="s">
        <v>678</v>
      </c>
      <c r="C169" s="200">
        <v>8127724.7699999996</v>
      </c>
      <c r="D169" s="206">
        <v>8346600.8700000001</v>
      </c>
      <c r="E169" s="34">
        <v>7478732.4400000004</v>
      </c>
      <c r="F169" s="280">
        <f t="shared" si="28"/>
        <v>0.89602133329277078</v>
      </c>
      <c r="G169" s="34">
        <v>7197352.6699999999</v>
      </c>
      <c r="H169" s="280">
        <f t="shared" si="30"/>
        <v>0.86230943375635494</v>
      </c>
      <c r="I169" s="34">
        <v>1232502.96</v>
      </c>
      <c r="J169" s="178">
        <f t="shared" si="31"/>
        <v>0.14766525669508862</v>
      </c>
      <c r="K169" s="579">
        <v>5355796.2500000009</v>
      </c>
      <c r="L169" s="280">
        <v>0.7732766427222898</v>
      </c>
      <c r="M169" s="211">
        <f t="shared" si="29"/>
        <v>0.34384362922693312</v>
      </c>
      <c r="N169" s="579">
        <v>695072.89</v>
      </c>
      <c r="O169" s="280">
        <v>0.10035550378274366</v>
      </c>
      <c r="P169" s="210">
        <f t="shared" si="32"/>
        <v>0.77319958486655982</v>
      </c>
      <c r="R169"/>
    </row>
    <row r="170" spans="1:19" x14ac:dyDescent="0.25">
      <c r="A170" s="253" t="s">
        <v>679</v>
      </c>
      <c r="B170" s="40" t="s">
        <v>680</v>
      </c>
      <c r="C170" s="200">
        <v>14042820.529999999</v>
      </c>
      <c r="D170" s="206">
        <v>13075938.869999999</v>
      </c>
      <c r="E170" s="34">
        <v>12263893.51</v>
      </c>
      <c r="F170" s="390">
        <f t="shared" si="28"/>
        <v>0.93789773965194445</v>
      </c>
      <c r="G170" s="34">
        <v>12157076.130000001</v>
      </c>
      <c r="H170" s="390">
        <f t="shared" si="30"/>
        <v>0.92972873694690206</v>
      </c>
      <c r="I170" s="34">
        <v>4075941.84</v>
      </c>
      <c r="J170" s="392">
        <f t="shared" si="31"/>
        <v>0.31171313054631922</v>
      </c>
      <c r="K170" s="579">
        <v>12302043.839999998</v>
      </c>
      <c r="L170" s="390">
        <v>0.97341325734029205</v>
      </c>
      <c r="M170" s="211">
        <f t="shared" si="29"/>
        <v>-1.1784034578761315E-2</v>
      </c>
      <c r="N170" s="579">
        <v>5123764.91</v>
      </c>
      <c r="O170" s="390">
        <v>0.4054237454976416</v>
      </c>
      <c r="P170" s="210">
        <f t="shared" si="32"/>
        <v>-0.20450256567294389</v>
      </c>
    </row>
    <row r="171" spans="1:19" x14ac:dyDescent="0.25">
      <c r="A171" s="253">
        <v>3421</v>
      </c>
      <c r="B171" s="40" t="s">
        <v>484</v>
      </c>
      <c r="C171" s="200">
        <v>5455050.5800000001</v>
      </c>
      <c r="D171" s="206">
        <v>6466117.6299999999</v>
      </c>
      <c r="E171" s="34">
        <v>6411530.8799999999</v>
      </c>
      <c r="F171" s="390">
        <f t="shared" si="28"/>
        <v>0.9915580332552657</v>
      </c>
      <c r="G171" s="34">
        <v>6411530.8799999999</v>
      </c>
      <c r="H171" s="390">
        <f t="shared" si="30"/>
        <v>0.9915580332552657</v>
      </c>
      <c r="I171" s="34">
        <v>1333714.18</v>
      </c>
      <c r="J171" s="392">
        <f t="shared" si="31"/>
        <v>0.20626197299785282</v>
      </c>
      <c r="K171" s="579">
        <v>6317104.3899999997</v>
      </c>
      <c r="L171" s="390">
        <v>0.99181905207445498</v>
      </c>
      <c r="M171" s="211">
        <f t="shared" si="29"/>
        <v>1.4947748868845201E-2</v>
      </c>
      <c r="N171" s="579">
        <v>77030.48</v>
      </c>
      <c r="O171" s="390">
        <v>1.2094195843174955E-2</v>
      </c>
      <c r="P171" s="210">
        <f t="shared" si="32"/>
        <v>16.314109687489939</v>
      </c>
      <c r="R171"/>
    </row>
    <row r="172" spans="1:19" x14ac:dyDescent="0.25">
      <c r="A172" s="669">
        <v>3431</v>
      </c>
      <c r="B172" s="668" t="s">
        <v>435</v>
      </c>
      <c r="C172" s="661">
        <v>6518951.2199999997</v>
      </c>
      <c r="D172" s="397">
        <v>6518951.2199999997</v>
      </c>
      <c r="E172" s="398">
        <v>6518951.2199999997</v>
      </c>
      <c r="F172" s="412">
        <f t="shared" si="28"/>
        <v>1</v>
      </c>
      <c r="G172" s="398">
        <v>6518951.2199999997</v>
      </c>
      <c r="H172" s="412">
        <f t="shared" si="30"/>
        <v>1</v>
      </c>
      <c r="I172" s="398">
        <v>0</v>
      </c>
      <c r="J172" s="427">
        <f t="shared" si="31"/>
        <v>0</v>
      </c>
      <c r="K172" s="635">
        <v>7608676.7199999997</v>
      </c>
      <c r="L172" s="412">
        <v>1</v>
      </c>
      <c r="M172" s="665">
        <f t="shared" si="29"/>
        <v>-0.14322142208192024</v>
      </c>
      <c r="N172" s="635">
        <v>0</v>
      </c>
      <c r="O172" s="412">
        <v>0</v>
      </c>
      <c r="P172" s="210" t="s">
        <v>129</v>
      </c>
    </row>
    <row r="173" spans="1:19" x14ac:dyDescent="0.25">
      <c r="A173" s="532">
        <v>3</v>
      </c>
      <c r="B173" s="2" t="s">
        <v>124</v>
      </c>
      <c r="C173" s="201">
        <f>SUBTOTAL(9,C149:C172)</f>
        <v>317974199.00999999</v>
      </c>
      <c r="D173" s="207">
        <f>SUBTOTAL(9,D149:D172)</f>
        <v>321025916.60000002</v>
      </c>
      <c r="E173" s="203">
        <f>SUBTOTAL(9,E149:E172)</f>
        <v>297352852.83000004</v>
      </c>
      <c r="F173" s="90">
        <f t="shared" si="28"/>
        <v>0.92625809149391281</v>
      </c>
      <c r="G173" s="203">
        <f>SUBTOTAL(9,G149:G172)</f>
        <v>295558041.0800001</v>
      </c>
      <c r="H173" s="90">
        <f t="shared" si="30"/>
        <v>0.92066722902084874</v>
      </c>
      <c r="I173" s="203">
        <f>SUBTOTAL(9,I149:I172)</f>
        <v>136189745.88999999</v>
      </c>
      <c r="J173" s="170">
        <f t="shared" si="31"/>
        <v>0.42423286983303943</v>
      </c>
      <c r="K173" s="568">
        <f>SUM(K149:K172)</f>
        <v>296039939.47999996</v>
      </c>
      <c r="L173" s="90">
        <v>0.95575284936265503</v>
      </c>
      <c r="M173" s="213">
        <f t="shared" ref="M173:M179" si="33">+G173/K173-1</f>
        <v>-1.6278154928903721E-3</v>
      </c>
      <c r="N173" s="568">
        <f>SUBTOTAL(9,N149:N172)</f>
        <v>144980069.86999995</v>
      </c>
      <c r="O173" s="90">
        <v>0.46806223215165382</v>
      </c>
      <c r="P173" s="213">
        <f t="shared" ref="P173:P179" si="34">+I173/N173-1</f>
        <v>-6.0631257716195264E-2</v>
      </c>
    </row>
    <row r="174" spans="1:19" x14ac:dyDescent="0.25">
      <c r="A174" s="37">
        <v>4301</v>
      </c>
      <c r="B174" s="534" t="s">
        <v>681</v>
      </c>
      <c r="C174" s="198">
        <v>4583248.97</v>
      </c>
      <c r="D174" s="516">
        <v>5239143.75</v>
      </c>
      <c r="E174" s="180">
        <v>1900051.37</v>
      </c>
      <c r="F174" s="78">
        <f t="shared" si="28"/>
        <v>0.36266448501246029</v>
      </c>
      <c r="G174" s="180">
        <v>1801197.28</v>
      </c>
      <c r="H174" s="78">
        <f t="shared" si="30"/>
        <v>0.34379611744762684</v>
      </c>
      <c r="I174" s="180">
        <v>1773785.03</v>
      </c>
      <c r="J174" s="153">
        <f t="shared" si="31"/>
        <v>0.3385639170522855</v>
      </c>
      <c r="K174" s="615">
        <v>2250984.67</v>
      </c>
      <c r="L174" s="48">
        <v>0.47226785457814063</v>
      </c>
      <c r="M174" s="210">
        <f t="shared" si="33"/>
        <v>-0.19981806006701941</v>
      </c>
      <c r="N174" s="615">
        <v>2097383.2199999997</v>
      </c>
      <c r="O174" s="48">
        <v>0.44004150127668007</v>
      </c>
      <c r="P174" s="210">
        <f t="shared" si="34"/>
        <v>-0.1542866305567181</v>
      </c>
    </row>
    <row r="175" spans="1:19" x14ac:dyDescent="0.25">
      <c r="A175" s="37" t="s">
        <v>682</v>
      </c>
      <c r="B175" s="38" t="s">
        <v>684</v>
      </c>
      <c r="C175" s="200">
        <v>30096574.920000002</v>
      </c>
      <c r="D175" s="206">
        <v>25885012.039999999</v>
      </c>
      <c r="E175" s="34">
        <v>25885012.039999999</v>
      </c>
      <c r="F175" s="48">
        <f t="shared" ref="F175:F198" si="35">+E175/D175</f>
        <v>1</v>
      </c>
      <c r="G175" s="34">
        <v>25885012.039999999</v>
      </c>
      <c r="H175" s="48">
        <f t="shared" si="30"/>
        <v>1</v>
      </c>
      <c r="I175" s="34">
        <v>4345167.97</v>
      </c>
      <c r="J175" s="153">
        <f t="shared" si="31"/>
        <v>0.16786424372858819</v>
      </c>
      <c r="K175" s="615">
        <v>11479709.35</v>
      </c>
      <c r="L175" s="48">
        <v>0.90800376025899676</v>
      </c>
      <c r="M175" s="210">
        <f t="shared" si="33"/>
        <v>1.2548490776902814</v>
      </c>
      <c r="N175" s="615">
        <v>776200</v>
      </c>
      <c r="O175" s="48">
        <v>6.1394630928790307E-2</v>
      </c>
      <c r="P175" s="210">
        <f t="shared" si="34"/>
        <v>4.5980004766812677</v>
      </c>
    </row>
    <row r="176" spans="1:19" x14ac:dyDescent="0.25">
      <c r="A176" s="37" t="s">
        <v>683</v>
      </c>
      <c r="B176" s="38" t="s">
        <v>685</v>
      </c>
      <c r="C176" s="200">
        <v>7512544.6100000003</v>
      </c>
      <c r="D176" s="206">
        <v>7359586.75</v>
      </c>
      <c r="E176" s="34">
        <v>3233141.56</v>
      </c>
      <c r="F176" s="48">
        <f t="shared" si="35"/>
        <v>0.4393102044758152</v>
      </c>
      <c r="G176" s="34">
        <v>1001633.82</v>
      </c>
      <c r="H176" s="48">
        <f t="shared" si="30"/>
        <v>0.13609919334125656</v>
      </c>
      <c r="I176" s="34">
        <v>621080.81000000006</v>
      </c>
      <c r="J176" s="153">
        <f t="shared" si="31"/>
        <v>8.4390717997854983E-2</v>
      </c>
      <c r="K176" s="615">
        <v>848619.33000000007</v>
      </c>
      <c r="L176" s="48">
        <v>0.1083953567864112</v>
      </c>
      <c r="M176" s="210">
        <f t="shared" si="33"/>
        <v>0.18030992765625542</v>
      </c>
      <c r="N176" s="615">
        <v>612355.23</v>
      </c>
      <c r="O176" s="48">
        <v>7.8217006482606141E-2</v>
      </c>
      <c r="P176" s="210">
        <f t="shared" si="34"/>
        <v>1.4249212830271807E-2</v>
      </c>
    </row>
    <row r="177" spans="1:16" x14ac:dyDescent="0.25">
      <c r="A177" s="39" t="s">
        <v>686</v>
      </c>
      <c r="B177" s="40" t="s">
        <v>687</v>
      </c>
      <c r="C177" s="200">
        <v>2743104</v>
      </c>
      <c r="D177" s="206">
        <v>8658123.4000000004</v>
      </c>
      <c r="E177" s="34">
        <v>3167881.33</v>
      </c>
      <c r="F177" s="280">
        <f t="shared" si="35"/>
        <v>0.36588544464496775</v>
      </c>
      <c r="G177" s="34">
        <v>2985180.21</v>
      </c>
      <c r="H177" s="280">
        <f t="shared" si="30"/>
        <v>0.3447837449394634</v>
      </c>
      <c r="I177" s="34">
        <v>1926858.57</v>
      </c>
      <c r="J177" s="178">
        <f t="shared" si="31"/>
        <v>0.22254921545701231</v>
      </c>
      <c r="K177" s="616">
        <v>3569073.82</v>
      </c>
      <c r="L177" s="280">
        <v>0.5626379743944796</v>
      </c>
      <c r="M177" s="211">
        <f t="shared" si="33"/>
        <v>-0.1635980759848783</v>
      </c>
      <c r="N177" s="616">
        <v>2989269.04</v>
      </c>
      <c r="O177" s="280">
        <v>0.47123605798260876</v>
      </c>
      <c r="P177" s="211">
        <f t="shared" si="34"/>
        <v>-0.35540811341624834</v>
      </c>
    </row>
    <row r="178" spans="1:16" x14ac:dyDescent="0.25">
      <c r="A178" s="39" t="s">
        <v>688</v>
      </c>
      <c r="B178" s="40" t="s">
        <v>689</v>
      </c>
      <c r="C178" s="200">
        <v>36360768.060000002</v>
      </c>
      <c r="D178" s="206">
        <v>40208130.359999999</v>
      </c>
      <c r="E178" s="34">
        <v>13010291.460000001</v>
      </c>
      <c r="F178" s="280">
        <f t="shared" si="35"/>
        <v>0.32357364899868479</v>
      </c>
      <c r="G178" s="34">
        <v>9039110</v>
      </c>
      <c r="H178" s="280">
        <f t="shared" si="30"/>
        <v>0.22480801566919711</v>
      </c>
      <c r="I178" s="34">
        <v>8329110</v>
      </c>
      <c r="J178" s="178">
        <f t="shared" si="31"/>
        <v>0.20714989544219137</v>
      </c>
      <c r="K178" s="616">
        <v>10541738.760000002</v>
      </c>
      <c r="L178" s="280">
        <v>0.25264787926037979</v>
      </c>
      <c r="M178" s="211">
        <f t="shared" si="33"/>
        <v>-0.14254088383423391</v>
      </c>
      <c r="N178" s="616">
        <v>9681738.7600000016</v>
      </c>
      <c r="O178" s="280">
        <v>0.23203674658951798</v>
      </c>
      <c r="P178" s="211">
        <f t="shared" si="34"/>
        <v>-0.13970928089780454</v>
      </c>
    </row>
    <row r="179" spans="1:16" x14ac:dyDescent="0.25">
      <c r="A179" s="666" t="s">
        <v>690</v>
      </c>
      <c r="B179" s="662" t="s">
        <v>691</v>
      </c>
      <c r="C179" s="661">
        <v>1922280</v>
      </c>
      <c r="D179" s="397">
        <v>1922280</v>
      </c>
      <c r="E179" s="398">
        <v>1206411.47</v>
      </c>
      <c r="F179" s="412">
        <f t="shared" si="35"/>
        <v>0.62759403936991487</v>
      </c>
      <c r="G179" s="398">
        <v>1206411.47</v>
      </c>
      <c r="H179" s="412">
        <f t="shared" si="30"/>
        <v>0.62759403936991487</v>
      </c>
      <c r="I179" s="398">
        <v>112500</v>
      </c>
      <c r="J179" s="427">
        <f t="shared" si="31"/>
        <v>5.8524252450215371E-2</v>
      </c>
      <c r="K179" s="664">
        <v>112500</v>
      </c>
      <c r="L179" s="412">
        <v>0.1275105408713787</v>
      </c>
      <c r="M179" s="211">
        <f t="shared" si="33"/>
        <v>9.7236575111111101</v>
      </c>
      <c r="N179" s="664">
        <v>112500</v>
      </c>
      <c r="O179" s="412">
        <v>0.1275105408713787</v>
      </c>
      <c r="P179" s="211">
        <f t="shared" si="34"/>
        <v>0</v>
      </c>
    </row>
    <row r="180" spans="1:16" ht="14.4" thickBot="1" x14ac:dyDescent="0.3">
      <c r="A180" s="7" t="s">
        <v>19</v>
      </c>
      <c r="N180" s="97"/>
    </row>
    <row r="181" spans="1:16" ht="12.75" customHeight="1" x14ac:dyDescent="0.25">
      <c r="A181" s="8" t="s">
        <v>757</v>
      </c>
      <c r="C181" s="164" t="s">
        <v>765</v>
      </c>
      <c r="D181" s="746" t="s">
        <v>780</v>
      </c>
      <c r="E181" s="744"/>
      <c r="F181" s="744"/>
      <c r="G181" s="744"/>
      <c r="H181" s="744"/>
      <c r="I181" s="744"/>
      <c r="J181" s="745"/>
      <c r="K181" s="755" t="s">
        <v>781</v>
      </c>
      <c r="L181" s="753"/>
      <c r="M181" s="753"/>
      <c r="N181" s="753"/>
      <c r="O181" s="753"/>
      <c r="P181" s="756"/>
    </row>
    <row r="182" spans="1:16" ht="12.75" customHeight="1" x14ac:dyDescent="0.25">
      <c r="A182" s="8" t="s">
        <v>148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543</v>
      </c>
      <c r="L182" s="88" t="s">
        <v>544</v>
      </c>
      <c r="M182" s="88" t="s">
        <v>545</v>
      </c>
      <c r="N182" s="87" t="s">
        <v>39</v>
      </c>
      <c r="O182" s="88" t="s">
        <v>40</v>
      </c>
      <c r="P182" s="611" t="s">
        <v>362</v>
      </c>
    </row>
    <row r="183" spans="1:16" ht="14.1" customHeight="1" x14ac:dyDescent="0.25">
      <c r="A183" s="680"/>
      <c r="B183" s="2" t="s">
        <v>425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13" t="s">
        <v>764</v>
      </c>
      <c r="N183" s="564" t="s">
        <v>17</v>
      </c>
      <c r="O183" s="89" t="s">
        <v>18</v>
      </c>
      <c r="P183" s="612" t="s">
        <v>764</v>
      </c>
    </row>
    <row r="184" spans="1:16" x14ac:dyDescent="0.25">
      <c r="A184" s="37" t="s">
        <v>692</v>
      </c>
      <c r="B184" s="40" t="s">
        <v>693</v>
      </c>
      <c r="C184" s="530">
        <v>10510570.890000001</v>
      </c>
      <c r="D184" s="516">
        <v>11859770.890000001</v>
      </c>
      <c r="E184" s="180">
        <v>5860513.5499999998</v>
      </c>
      <c r="F184" s="48">
        <f t="shared" si="35"/>
        <v>0.4941506547096543</v>
      </c>
      <c r="G184" s="180">
        <v>5860513.5499999998</v>
      </c>
      <c r="H184" s="48">
        <f t="shared" si="30"/>
        <v>0.4941506547096543</v>
      </c>
      <c r="I184" s="180">
        <v>5342093.37</v>
      </c>
      <c r="J184" s="153">
        <f t="shared" si="31"/>
        <v>0.45043815934963644</v>
      </c>
      <c r="K184" s="615">
        <v>9439313.5500000007</v>
      </c>
      <c r="L184" s="48">
        <v>0.77209593195528903</v>
      </c>
      <c r="M184" s="210">
        <f>+G184/K184-1</f>
        <v>-0.37913773931156258</v>
      </c>
      <c r="N184" s="615">
        <v>6903093.3700000001</v>
      </c>
      <c r="O184" s="48">
        <v>0.56464384625559194</v>
      </c>
      <c r="P184" s="210">
        <f>+I184/N184-1</f>
        <v>-0.22613050647466471</v>
      </c>
    </row>
    <row r="185" spans="1:16" x14ac:dyDescent="0.25">
      <c r="A185" s="39" t="s">
        <v>694</v>
      </c>
      <c r="B185" s="40" t="s">
        <v>695</v>
      </c>
      <c r="C185" s="200">
        <v>1031566.99</v>
      </c>
      <c r="D185" s="206">
        <v>1243546.99</v>
      </c>
      <c r="E185" s="34">
        <v>556479.89</v>
      </c>
      <c r="F185" s="280">
        <f t="shared" si="35"/>
        <v>0.44749405890966776</v>
      </c>
      <c r="G185" s="34">
        <v>302931.53999999998</v>
      </c>
      <c r="H185" s="280">
        <f t="shared" si="30"/>
        <v>0.24360280909047111</v>
      </c>
      <c r="I185" s="34">
        <v>124545.97</v>
      </c>
      <c r="J185" s="178">
        <f t="shared" si="31"/>
        <v>0.10015381083428138</v>
      </c>
      <c r="K185" s="616">
        <v>128359.8</v>
      </c>
      <c r="L185" s="280">
        <v>0.15151285693529642</v>
      </c>
      <c r="M185" s="211">
        <f>+G185/K185-1</f>
        <v>1.3600187909298702</v>
      </c>
      <c r="N185" s="616">
        <v>56314.859999999993</v>
      </c>
      <c r="O185" s="280">
        <v>6.6472722195821787E-2</v>
      </c>
      <c r="P185" s="211">
        <f t="shared" ref="P185:P191" si="36">+I185/N185-1</f>
        <v>1.2116004550131176</v>
      </c>
    </row>
    <row r="186" spans="1:16" x14ac:dyDescent="0.25">
      <c r="A186" s="39" t="s">
        <v>696</v>
      </c>
      <c r="B186" s="40" t="s">
        <v>697</v>
      </c>
      <c r="C186" s="200">
        <v>4649794.68</v>
      </c>
      <c r="D186" s="206">
        <v>4705707.68</v>
      </c>
      <c r="E186" s="34">
        <v>1913275.97</v>
      </c>
      <c r="F186" s="280">
        <f t="shared" si="35"/>
        <v>0.40658623529288163</v>
      </c>
      <c r="G186" s="34">
        <v>815757.45</v>
      </c>
      <c r="H186" s="280">
        <f t="shared" si="30"/>
        <v>0.17335489271190768</v>
      </c>
      <c r="I186" s="34">
        <v>339657.61</v>
      </c>
      <c r="J186" s="178">
        <f t="shared" si="31"/>
        <v>7.2179921299318786E-2</v>
      </c>
      <c r="K186" s="691">
        <v>375350</v>
      </c>
      <c r="L186" s="418">
        <v>9.3837500000000004E-2</v>
      </c>
      <c r="M186" s="211">
        <f>+G186/K186-1</f>
        <v>1.173324763554016</v>
      </c>
      <c r="N186" s="691">
        <v>180059.27</v>
      </c>
      <c r="O186" s="280">
        <v>4.5014817499999998E-2</v>
      </c>
      <c r="P186" s="211">
        <f t="shared" si="36"/>
        <v>0.88636558395466114</v>
      </c>
    </row>
    <row r="187" spans="1:16" x14ac:dyDescent="0.25">
      <c r="A187" s="39" t="s">
        <v>698</v>
      </c>
      <c r="B187" s="40" t="s">
        <v>700</v>
      </c>
      <c r="C187" s="200">
        <v>145653002</v>
      </c>
      <c r="D187" s="206">
        <v>144261424.41</v>
      </c>
      <c r="E187" s="34">
        <v>114575194.55</v>
      </c>
      <c r="F187" s="280">
        <f t="shared" si="35"/>
        <v>0.79421921014983277</v>
      </c>
      <c r="G187" s="34">
        <v>112382252.56999999</v>
      </c>
      <c r="H187" s="280">
        <f t="shared" si="30"/>
        <v>0.77901804331698954</v>
      </c>
      <c r="I187" s="34">
        <v>54448027.630000003</v>
      </c>
      <c r="J187" s="178">
        <f t="shared" si="31"/>
        <v>0.37742610578456026</v>
      </c>
      <c r="K187" s="691">
        <v>110924325</v>
      </c>
      <c r="L187" s="418">
        <v>0.75384541844215103</v>
      </c>
      <c r="M187" s="211">
        <f t="shared" ref="M187:M191" si="37">+G187/K187-1</f>
        <v>1.3143443243851083E-2</v>
      </c>
      <c r="N187" s="691">
        <v>64471164.079999998</v>
      </c>
      <c r="O187" s="280">
        <v>0.43814818493004282</v>
      </c>
      <c r="P187" s="211">
        <f t="shared" si="36"/>
        <v>-0.15546696872981292</v>
      </c>
    </row>
    <row r="188" spans="1:16" x14ac:dyDescent="0.25">
      <c r="A188" s="39" t="s">
        <v>699</v>
      </c>
      <c r="B188" s="40" t="s">
        <v>701</v>
      </c>
      <c r="C188" s="200">
        <v>16809054</v>
      </c>
      <c r="D188" s="206">
        <v>15734854</v>
      </c>
      <c r="E188" s="34">
        <v>14327012</v>
      </c>
      <c r="F188" s="280">
        <f t="shared" si="35"/>
        <v>0.91052716472615502</v>
      </c>
      <c r="G188" s="34">
        <v>14327012</v>
      </c>
      <c r="H188" s="280">
        <f t="shared" si="30"/>
        <v>0.91052716472615502</v>
      </c>
      <c r="I188" s="34">
        <v>4932615.28</v>
      </c>
      <c r="J188" s="178">
        <f t="shared" si="31"/>
        <v>0.31348338408478404</v>
      </c>
      <c r="K188" s="616">
        <v>16692043</v>
      </c>
      <c r="L188" s="280">
        <v>0.99303881110739489</v>
      </c>
      <c r="M188" s="211">
        <f t="shared" si="37"/>
        <v>-0.14168613152985532</v>
      </c>
      <c r="N188" s="616">
        <v>5360064.5999999996</v>
      </c>
      <c r="O188" s="280">
        <v>0.31887961095252593</v>
      </c>
      <c r="P188" s="211">
        <f t="shared" si="36"/>
        <v>-7.9747046332239946E-2</v>
      </c>
    </row>
    <row r="189" spans="1:16" x14ac:dyDescent="0.25">
      <c r="A189" s="39">
        <v>4591</v>
      </c>
      <c r="B189" s="40" t="s">
        <v>760</v>
      </c>
      <c r="C189" s="200">
        <v>0</v>
      </c>
      <c r="D189" s="649">
        <v>0</v>
      </c>
      <c r="E189" s="725">
        <v>0</v>
      </c>
      <c r="F189" s="280" t="s">
        <v>129</v>
      </c>
      <c r="G189" s="725">
        <v>0</v>
      </c>
      <c r="H189" s="280" t="s">
        <v>129</v>
      </c>
      <c r="I189" s="725">
        <v>0</v>
      </c>
      <c r="J189" s="178" t="s">
        <v>129</v>
      </c>
      <c r="K189" s="616">
        <v>0</v>
      </c>
      <c r="L189" s="280">
        <v>0</v>
      </c>
      <c r="M189" s="211" t="s">
        <v>129</v>
      </c>
      <c r="N189" s="616">
        <v>0</v>
      </c>
      <c r="O189" s="280">
        <v>0</v>
      </c>
      <c r="P189" s="211" t="s">
        <v>129</v>
      </c>
    </row>
    <row r="190" spans="1:16" x14ac:dyDescent="0.25">
      <c r="A190" s="39">
        <v>4911</v>
      </c>
      <c r="B190" s="40" t="s">
        <v>702</v>
      </c>
      <c r="C190" s="200">
        <v>34765352.369999997</v>
      </c>
      <c r="D190" s="206">
        <v>38294457.909999996</v>
      </c>
      <c r="E190" s="34">
        <v>36647054.609999999</v>
      </c>
      <c r="F190" s="280">
        <f t="shared" si="35"/>
        <v>0.95698063401571731</v>
      </c>
      <c r="G190" s="34">
        <v>36578865.229999997</v>
      </c>
      <c r="H190" s="280">
        <f t="shared" si="30"/>
        <v>0.95519997478402741</v>
      </c>
      <c r="I190" s="34">
        <v>6938233.5800000001</v>
      </c>
      <c r="J190" s="178">
        <f t="shared" si="31"/>
        <v>0.18118114104934724</v>
      </c>
      <c r="K190" s="616">
        <v>15669752</v>
      </c>
      <c r="L190" s="280">
        <v>1</v>
      </c>
      <c r="M190" s="211">
        <f t="shared" si="37"/>
        <v>1.3343614646868693</v>
      </c>
      <c r="N190" s="616">
        <v>5400000</v>
      </c>
      <c r="O190" s="280">
        <v>0.34461298430249565</v>
      </c>
      <c r="P190" s="211">
        <f t="shared" si="36"/>
        <v>0.28485807037037048</v>
      </c>
    </row>
    <row r="191" spans="1:16" x14ac:dyDescent="0.25">
      <c r="A191" s="666" t="s">
        <v>703</v>
      </c>
      <c r="B191" s="662" t="s">
        <v>704</v>
      </c>
      <c r="C191" s="661">
        <v>1548192.01</v>
      </c>
      <c r="D191" s="397">
        <v>1470667.36</v>
      </c>
      <c r="E191" s="398">
        <v>788398.12</v>
      </c>
      <c r="F191" s="412">
        <f t="shared" si="35"/>
        <v>0.53608187782178018</v>
      </c>
      <c r="G191" s="398">
        <v>385482.84</v>
      </c>
      <c r="H191" s="412">
        <f t="shared" si="30"/>
        <v>0.26211422819637475</v>
      </c>
      <c r="I191" s="398">
        <v>333855.51</v>
      </c>
      <c r="J191" s="427">
        <f t="shared" si="31"/>
        <v>0.22700953259750048</v>
      </c>
      <c r="K191" s="616">
        <v>601354.5</v>
      </c>
      <c r="L191" s="280">
        <v>0.34761744893235275</v>
      </c>
      <c r="M191" s="211">
        <f t="shared" si="37"/>
        <v>-0.35897571232941627</v>
      </c>
      <c r="N191" s="616">
        <v>544747.57000000007</v>
      </c>
      <c r="O191" s="412">
        <v>0.3148953913132741</v>
      </c>
      <c r="P191" s="211">
        <f t="shared" si="36"/>
        <v>-0.38713722027250164</v>
      </c>
    </row>
    <row r="192" spans="1:16" x14ac:dyDescent="0.25">
      <c r="A192" s="18">
        <v>4</v>
      </c>
      <c r="B192" s="518" t="s">
        <v>123</v>
      </c>
      <c r="C192" s="201">
        <f>SUM(C174:C179,C184:C191)</f>
        <v>298186053.5</v>
      </c>
      <c r="D192" s="207">
        <f>SUM(D174:D179,D184:D191)</f>
        <v>306842705.53999996</v>
      </c>
      <c r="E192" s="203">
        <f>SUM(E174:E179,E184:E191)</f>
        <v>223070717.92000002</v>
      </c>
      <c r="F192" s="90">
        <f t="shared" si="35"/>
        <v>0.72698719536912881</v>
      </c>
      <c r="G192" s="203">
        <f>SUM(G174:G179,G184:G191)</f>
        <v>212571360</v>
      </c>
      <c r="H192" s="90">
        <f t="shared" si="30"/>
        <v>0.69276980081994888</v>
      </c>
      <c r="I192" s="203">
        <f>SUM(I174:I179,I184:I191)</f>
        <v>89567531.330000013</v>
      </c>
      <c r="J192" s="170">
        <f t="shared" si="31"/>
        <v>0.29190047445440742</v>
      </c>
      <c r="K192" s="568">
        <f>SUM(K174:K191)</f>
        <v>182633123.78</v>
      </c>
      <c r="L192" s="90">
        <v>0.66969509624609525</v>
      </c>
      <c r="M192" s="213">
        <f t="shared" ref="M192:M198" si="38">+G192/K192-1</f>
        <v>0.16392555523533403</v>
      </c>
      <c r="N192" s="568">
        <f>SUBTOTAL(9,N174:N191)</f>
        <v>99184889.999999985</v>
      </c>
      <c r="O192" s="90">
        <v>0.36369982114921456</v>
      </c>
      <c r="P192" s="213">
        <f t="shared" ref="P192:P198" si="39">+I192/N192-1</f>
        <v>-9.6963949549169981E-2</v>
      </c>
    </row>
    <row r="193" spans="1:16" x14ac:dyDescent="0.25">
      <c r="A193" s="37" t="s">
        <v>705</v>
      </c>
      <c r="B193" s="38" t="s">
        <v>113</v>
      </c>
      <c r="C193" s="198">
        <v>22797084.350000001</v>
      </c>
      <c r="D193" s="516">
        <v>23207316.52</v>
      </c>
      <c r="E193" s="180">
        <v>10982247.48</v>
      </c>
      <c r="F193" s="48">
        <f t="shared" si="35"/>
        <v>0.47322349701808614</v>
      </c>
      <c r="G193" s="472">
        <v>10234247.48</v>
      </c>
      <c r="H193" s="48">
        <f t="shared" si="30"/>
        <v>0.44099228237698895</v>
      </c>
      <c r="I193" s="30">
        <v>8280306.1200000001</v>
      </c>
      <c r="J193" s="153">
        <f t="shared" si="31"/>
        <v>0.35679722439533479</v>
      </c>
      <c r="K193" s="615">
        <v>10938258.43</v>
      </c>
      <c r="L193" s="48">
        <v>0.47994961581822954</v>
      </c>
      <c r="M193" s="210">
        <f t="shared" si="38"/>
        <v>-6.4362252410231191E-2</v>
      </c>
      <c r="N193" s="615">
        <v>9548061.6600000001</v>
      </c>
      <c r="O193" s="48">
        <v>0.4189504713983766</v>
      </c>
      <c r="P193" s="210">
        <f t="shared" si="39"/>
        <v>-0.13277622046692983</v>
      </c>
    </row>
    <row r="194" spans="1:16" x14ac:dyDescent="0.25">
      <c r="A194" s="37" t="s">
        <v>706</v>
      </c>
      <c r="B194" s="38" t="s">
        <v>707</v>
      </c>
      <c r="C194" s="530">
        <v>7386447.1399999997</v>
      </c>
      <c r="D194" s="696">
        <v>6996896.0199999996</v>
      </c>
      <c r="E194" s="697">
        <v>2837559.19</v>
      </c>
      <c r="F194" s="48">
        <f t="shared" si="35"/>
        <v>0.40554542784244491</v>
      </c>
      <c r="G194" s="180">
        <v>2184259.85</v>
      </c>
      <c r="H194" s="48">
        <f t="shared" si="30"/>
        <v>0.31217554809396758</v>
      </c>
      <c r="I194" s="180">
        <v>2115810.4500000002</v>
      </c>
      <c r="J194" s="153">
        <f t="shared" si="31"/>
        <v>0.30239272442410831</v>
      </c>
      <c r="K194" s="615">
        <v>4227818.38</v>
      </c>
      <c r="L194" s="48">
        <v>0.53878951601466174</v>
      </c>
      <c r="M194" s="210">
        <f>+G194/K194-1</f>
        <v>-0.48336005625672118</v>
      </c>
      <c r="N194" s="615">
        <v>3934891.3800000004</v>
      </c>
      <c r="O194" s="48">
        <v>0.50145915260448448</v>
      </c>
      <c r="P194" s="210">
        <f t="shared" si="39"/>
        <v>-0.46229508119230478</v>
      </c>
    </row>
    <row r="195" spans="1:16" x14ac:dyDescent="0.25">
      <c r="A195" s="39" t="s">
        <v>708</v>
      </c>
      <c r="B195" s="40" t="s">
        <v>709</v>
      </c>
      <c r="C195" s="200">
        <v>53388679.920000002</v>
      </c>
      <c r="D195" s="206">
        <v>55476411</v>
      </c>
      <c r="E195" s="34">
        <v>25911109.399999999</v>
      </c>
      <c r="F195" s="48">
        <f t="shared" si="35"/>
        <v>0.46706535143378325</v>
      </c>
      <c r="G195" s="34">
        <v>22362863.27</v>
      </c>
      <c r="H195" s="48">
        <f t="shared" si="30"/>
        <v>0.40310580419486763</v>
      </c>
      <c r="I195" s="34">
        <v>15817420.939999999</v>
      </c>
      <c r="J195" s="153">
        <f t="shared" si="31"/>
        <v>0.28511975909905202</v>
      </c>
      <c r="K195" s="616">
        <v>25166092.169999991</v>
      </c>
      <c r="L195" s="280">
        <v>0.44714234922662544</v>
      </c>
      <c r="M195" s="211">
        <f t="shared" si="38"/>
        <v>-0.1113891215634053</v>
      </c>
      <c r="N195" s="616">
        <v>19126451.069999978</v>
      </c>
      <c r="O195" s="280">
        <v>0.33983211243273043</v>
      </c>
      <c r="P195" s="211">
        <f t="shared" si="39"/>
        <v>-0.17300805663786856</v>
      </c>
    </row>
    <row r="196" spans="1:16" x14ac:dyDescent="0.25">
      <c r="A196" s="39" t="s">
        <v>710</v>
      </c>
      <c r="B196" s="40" t="s">
        <v>711</v>
      </c>
      <c r="C196" s="200">
        <v>877692.04</v>
      </c>
      <c r="D196" s="206">
        <v>884664.91</v>
      </c>
      <c r="E196" s="34">
        <v>375495.83</v>
      </c>
      <c r="F196" s="48">
        <f t="shared" si="35"/>
        <v>0.42444978404309042</v>
      </c>
      <c r="G196" s="34">
        <v>370885.94</v>
      </c>
      <c r="H196" s="48">
        <f t="shared" si="30"/>
        <v>0.41923889577580281</v>
      </c>
      <c r="I196" s="34">
        <v>345530.88</v>
      </c>
      <c r="J196" s="153">
        <f t="shared" si="31"/>
        <v>0.39057825860867479</v>
      </c>
      <c r="K196" s="616">
        <v>449583.1</v>
      </c>
      <c r="L196" s="280">
        <v>0.47741252647583465</v>
      </c>
      <c r="M196" s="211">
        <f t="shared" si="38"/>
        <v>-0.17504474701117545</v>
      </c>
      <c r="N196" s="616">
        <v>411951.18999999994</v>
      </c>
      <c r="O196" s="280">
        <v>0.4374511817784667</v>
      </c>
      <c r="P196" s="211">
        <f t="shared" si="39"/>
        <v>-0.16123344612744039</v>
      </c>
    </row>
    <row r="197" spans="1:16" x14ac:dyDescent="0.25">
      <c r="A197" s="39" t="s">
        <v>712</v>
      </c>
      <c r="B197" s="40" t="s">
        <v>713</v>
      </c>
      <c r="C197" s="200">
        <v>4144550.55</v>
      </c>
      <c r="D197" s="206">
        <v>4298562.24</v>
      </c>
      <c r="E197" s="34">
        <v>2157832.75</v>
      </c>
      <c r="F197" s="48">
        <f t="shared" si="35"/>
        <v>0.50198941634959315</v>
      </c>
      <c r="G197" s="34">
        <v>1829647.75</v>
      </c>
      <c r="H197" s="48">
        <f t="shared" si="30"/>
        <v>0.42564179552277459</v>
      </c>
      <c r="I197" s="34">
        <v>1557334.16</v>
      </c>
      <c r="J197" s="153">
        <f t="shared" si="31"/>
        <v>0.3622918718050247</v>
      </c>
      <c r="K197" s="616">
        <v>2170483.6599999997</v>
      </c>
      <c r="L197" s="280">
        <v>0.47423533237575882</v>
      </c>
      <c r="M197" s="211">
        <f t="shared" si="38"/>
        <v>-0.15703223953319223</v>
      </c>
      <c r="N197" s="616">
        <v>1836483.69</v>
      </c>
      <c r="O197" s="280">
        <v>0.40125870062058433</v>
      </c>
      <c r="P197" s="211">
        <f t="shared" si="39"/>
        <v>-0.15200218304144053</v>
      </c>
    </row>
    <row r="198" spans="1:16" x14ac:dyDescent="0.25">
      <c r="A198" s="39" t="s">
        <v>714</v>
      </c>
      <c r="B198" s="40" t="s">
        <v>715</v>
      </c>
      <c r="C198" s="200">
        <v>7218581.6100000003</v>
      </c>
      <c r="D198" s="206">
        <v>7260705.21</v>
      </c>
      <c r="E198" s="34">
        <v>3853625.98</v>
      </c>
      <c r="F198" s="48">
        <f t="shared" si="35"/>
        <v>0.53075092136952351</v>
      </c>
      <c r="G198" s="34">
        <v>3393830.15</v>
      </c>
      <c r="H198" s="48">
        <f t="shared" si="30"/>
        <v>0.46742431373274274</v>
      </c>
      <c r="I198" s="34">
        <v>2816229.6</v>
      </c>
      <c r="J198" s="153">
        <f t="shared" si="31"/>
        <v>0.38787273667594613</v>
      </c>
      <c r="K198" s="616">
        <v>2786119.919999999</v>
      </c>
      <c r="L198" s="280">
        <v>0.37146032083382868</v>
      </c>
      <c r="M198" s="211">
        <f t="shared" si="38"/>
        <v>0.21812062920823627</v>
      </c>
      <c r="N198" s="616">
        <v>2664261.7699999986</v>
      </c>
      <c r="O198" s="280">
        <v>0.35521354438666952</v>
      </c>
      <c r="P198" s="211">
        <f t="shared" si="39"/>
        <v>5.7039376427340249E-2</v>
      </c>
    </row>
    <row r="199" spans="1:16" x14ac:dyDescent="0.25">
      <c r="A199" s="39" t="s">
        <v>716</v>
      </c>
      <c r="B199" s="40" t="s">
        <v>717</v>
      </c>
      <c r="C199" s="200">
        <v>1128377.3799999999</v>
      </c>
      <c r="D199" s="206">
        <v>0</v>
      </c>
      <c r="E199" s="34">
        <v>0</v>
      </c>
      <c r="F199" s="48" t="s">
        <v>129</v>
      </c>
      <c r="G199" s="34">
        <v>0</v>
      </c>
      <c r="H199" s="48" t="s">
        <v>129</v>
      </c>
      <c r="I199" s="34">
        <v>0</v>
      </c>
      <c r="J199" s="153" t="s">
        <v>129</v>
      </c>
      <c r="K199" s="616">
        <v>0</v>
      </c>
      <c r="L199" s="418" t="s">
        <v>129</v>
      </c>
      <c r="M199" s="212" t="s">
        <v>129</v>
      </c>
      <c r="N199" s="616">
        <v>0</v>
      </c>
      <c r="O199" s="418" t="s">
        <v>129</v>
      </c>
      <c r="P199" s="211" t="s">
        <v>129</v>
      </c>
    </row>
    <row r="200" spans="1:16" x14ac:dyDescent="0.25">
      <c r="A200" s="39" t="s">
        <v>718</v>
      </c>
      <c r="B200" s="40" t="s">
        <v>719</v>
      </c>
      <c r="C200" s="200">
        <v>2204546.69</v>
      </c>
      <c r="D200" s="206">
        <v>2321787.4900000002</v>
      </c>
      <c r="E200" s="34">
        <v>1222885.94</v>
      </c>
      <c r="F200" s="48">
        <f t="shared" ref="F200:F214" si="40">+E200/D200</f>
        <v>0.52670020200685974</v>
      </c>
      <c r="G200" s="34">
        <v>1118017.67</v>
      </c>
      <c r="H200" s="48">
        <f t="shared" ref="H200:H214" si="41">+G200/D200</f>
        <v>0.48153316133165996</v>
      </c>
      <c r="I200" s="34">
        <v>843431.21</v>
      </c>
      <c r="J200" s="153">
        <f t="shared" ref="J200:J214" si="42">+I200/D200</f>
        <v>0.36326804827430603</v>
      </c>
      <c r="K200" s="616">
        <v>1208662.8500000001</v>
      </c>
      <c r="L200" s="280">
        <v>0.50950024376839342</v>
      </c>
      <c r="M200" s="211">
        <f>+G200/K200-1</f>
        <v>-7.4996248953957845E-2</v>
      </c>
      <c r="N200" s="616">
        <v>942321.18000000017</v>
      </c>
      <c r="O200" s="280">
        <v>0.39722646469867107</v>
      </c>
      <c r="P200" s="211">
        <f>+I200/N200-1</f>
        <v>-0.10494295586139768</v>
      </c>
    </row>
    <row r="201" spans="1:16" x14ac:dyDescent="0.25">
      <c r="A201" s="39" t="s">
        <v>720</v>
      </c>
      <c r="B201" s="40" t="s">
        <v>721</v>
      </c>
      <c r="C201" s="200">
        <v>14812972.529999999</v>
      </c>
      <c r="D201" s="206">
        <v>15173048.439999999</v>
      </c>
      <c r="E201" s="34">
        <v>9964951.5700000003</v>
      </c>
      <c r="F201" s="48">
        <f t="shared" si="40"/>
        <v>0.6567534275926955</v>
      </c>
      <c r="G201" s="34">
        <v>4904657.07</v>
      </c>
      <c r="H201" s="48">
        <f t="shared" si="41"/>
        <v>0.32324796756531021</v>
      </c>
      <c r="I201" s="34">
        <v>2679554.2000000002</v>
      </c>
      <c r="J201" s="153">
        <f t="shared" si="42"/>
        <v>0.17659959437920308</v>
      </c>
      <c r="K201" s="616">
        <v>4009038.8800000004</v>
      </c>
      <c r="L201" s="280">
        <v>0.30095464884059936</v>
      </c>
      <c r="M201" s="211">
        <f>+G201/K201-1</f>
        <v>0.22339972666965013</v>
      </c>
      <c r="N201" s="616">
        <v>2494410.13</v>
      </c>
      <c r="O201" s="280">
        <v>0.18725294196662509</v>
      </c>
      <c r="P201" s="211">
        <f>+I201/N201-1</f>
        <v>7.4223588083327963E-2</v>
      </c>
    </row>
    <row r="202" spans="1:16" x14ac:dyDescent="0.25">
      <c r="A202" s="39" t="s">
        <v>722</v>
      </c>
      <c r="B202" s="40" t="s">
        <v>723</v>
      </c>
      <c r="C202" s="200">
        <v>871764.12</v>
      </c>
      <c r="D202" s="206">
        <v>914442.64</v>
      </c>
      <c r="E202" s="34">
        <v>58798.37</v>
      </c>
      <c r="F202" s="48">
        <f t="shared" si="40"/>
        <v>6.4299680951010768E-2</v>
      </c>
      <c r="G202" s="34">
        <v>25388.99</v>
      </c>
      <c r="H202" s="48">
        <f t="shared" si="41"/>
        <v>2.7764442393018771E-2</v>
      </c>
      <c r="I202" s="34">
        <v>25388.99</v>
      </c>
      <c r="J202" s="153">
        <f t="shared" si="42"/>
        <v>2.7764442393018771E-2</v>
      </c>
      <c r="K202" s="691">
        <v>0</v>
      </c>
      <c r="L202" s="418">
        <v>0</v>
      </c>
      <c r="M202" s="211" t="s">
        <v>129</v>
      </c>
      <c r="N202" s="691">
        <v>0</v>
      </c>
      <c r="O202" s="418">
        <v>0</v>
      </c>
      <c r="P202" s="211" t="s">
        <v>129</v>
      </c>
    </row>
    <row r="203" spans="1:16" x14ac:dyDescent="0.25">
      <c r="A203" s="39" t="s">
        <v>724</v>
      </c>
      <c r="B203" s="40" t="s">
        <v>725</v>
      </c>
      <c r="C203" s="200">
        <v>16719312.35</v>
      </c>
      <c r="D203" s="206">
        <v>16859806.600000001</v>
      </c>
      <c r="E203" s="34">
        <v>10982175.460000001</v>
      </c>
      <c r="F203" s="48">
        <f t="shared" si="40"/>
        <v>0.65138205440624686</v>
      </c>
      <c r="G203" s="34">
        <v>10932519.050000001</v>
      </c>
      <c r="H203" s="48">
        <f t="shared" si="41"/>
        <v>0.64843680057397568</v>
      </c>
      <c r="I203" s="34">
        <v>5595008.2599999998</v>
      </c>
      <c r="J203" s="153">
        <f t="shared" si="42"/>
        <v>0.33185483041068808</v>
      </c>
      <c r="K203" s="691">
        <v>10290401.610000001</v>
      </c>
      <c r="L203" s="280">
        <v>0.62171145960974061</v>
      </c>
      <c r="M203" s="211">
        <f t="shared" ref="M203:M212" si="43">+G203/K203-1</f>
        <v>6.2399648170777144E-2</v>
      </c>
      <c r="N203" s="616">
        <v>5761109.330000001</v>
      </c>
      <c r="O203" s="280">
        <v>0.34806685164210949</v>
      </c>
      <c r="P203" s="211">
        <f>+I203/N203-1</f>
        <v>-2.8831438614618565E-2</v>
      </c>
    </row>
    <row r="204" spans="1:16" x14ac:dyDescent="0.25">
      <c r="A204" s="39" t="s">
        <v>726</v>
      </c>
      <c r="B204" s="40" t="s">
        <v>727</v>
      </c>
      <c r="C204" s="200">
        <v>22448323.75</v>
      </c>
      <c r="D204" s="206">
        <v>22708645.57</v>
      </c>
      <c r="E204" s="34">
        <v>17970770.719999999</v>
      </c>
      <c r="F204" s="48">
        <f t="shared" si="40"/>
        <v>0.79136250837173983</v>
      </c>
      <c r="G204" s="34">
        <v>12533245.130000001</v>
      </c>
      <c r="H204" s="48">
        <f t="shared" si="41"/>
        <v>0.55191513255891644</v>
      </c>
      <c r="I204" s="34">
        <v>4949505.49</v>
      </c>
      <c r="J204" s="153">
        <f t="shared" si="42"/>
        <v>0.21795687790991403</v>
      </c>
      <c r="K204" s="616">
        <v>7445691.6300000008</v>
      </c>
      <c r="L204" s="280">
        <v>0.32901150399470969</v>
      </c>
      <c r="M204" s="211">
        <f t="shared" si="43"/>
        <v>0.68328823604530609</v>
      </c>
      <c r="N204" s="616">
        <v>3953161.4099999997</v>
      </c>
      <c r="O204" s="280">
        <v>0.17468297717265885</v>
      </c>
      <c r="P204" s="211">
        <f>+I204/N204-1</f>
        <v>0.25203728779695855</v>
      </c>
    </row>
    <row r="205" spans="1:16" x14ac:dyDescent="0.25">
      <c r="A205" s="39" t="s">
        <v>728</v>
      </c>
      <c r="B205" s="40" t="s">
        <v>729</v>
      </c>
      <c r="C205" s="200">
        <v>49281328.299999997</v>
      </c>
      <c r="D205" s="206">
        <v>50310609.210000001</v>
      </c>
      <c r="E205" s="34">
        <v>44340253.490000002</v>
      </c>
      <c r="F205" s="48">
        <f t="shared" si="40"/>
        <v>0.8813300849711575</v>
      </c>
      <c r="G205" s="34">
        <v>44025808.369999997</v>
      </c>
      <c r="H205" s="48">
        <f t="shared" si="41"/>
        <v>0.87508000919315432</v>
      </c>
      <c r="I205" s="34">
        <v>22783428.129999999</v>
      </c>
      <c r="J205" s="153">
        <f t="shared" si="42"/>
        <v>0.45285534180077958</v>
      </c>
      <c r="K205" s="616">
        <v>45391541.879999995</v>
      </c>
      <c r="L205" s="280">
        <v>0.77405373839881952</v>
      </c>
      <c r="M205" s="211">
        <f t="shared" si="43"/>
        <v>-3.0087841334196952E-2</v>
      </c>
      <c r="N205" s="616">
        <v>15402540.120000001</v>
      </c>
      <c r="O205" s="280">
        <v>0.26265672561294812</v>
      </c>
      <c r="P205" s="211">
        <f t="shared" ref="P205" si="44">+I205/N205-1</f>
        <v>0.47919940168933617</v>
      </c>
    </row>
    <row r="206" spans="1:16" x14ac:dyDescent="0.25">
      <c r="A206" s="39" t="s">
        <v>730</v>
      </c>
      <c r="B206" s="40" t="s">
        <v>731</v>
      </c>
      <c r="C206" s="200">
        <v>13647818.9</v>
      </c>
      <c r="D206" s="206">
        <v>9094613.3699999992</v>
      </c>
      <c r="E206" s="34">
        <v>0</v>
      </c>
      <c r="F206" s="48">
        <f t="shared" si="40"/>
        <v>0</v>
      </c>
      <c r="G206" s="34">
        <v>0</v>
      </c>
      <c r="H206" s="48">
        <f t="shared" si="41"/>
        <v>0</v>
      </c>
      <c r="I206" s="34">
        <v>0</v>
      </c>
      <c r="J206" s="153">
        <f t="shared" si="42"/>
        <v>0</v>
      </c>
      <c r="K206" s="616">
        <v>0</v>
      </c>
      <c r="L206" s="280">
        <v>0</v>
      </c>
      <c r="M206" s="212" t="s">
        <v>129</v>
      </c>
      <c r="N206" s="616">
        <v>0</v>
      </c>
      <c r="O206" s="280">
        <v>0</v>
      </c>
      <c r="P206" s="211" t="s">
        <v>129</v>
      </c>
    </row>
    <row r="207" spans="1:16" x14ac:dyDescent="0.25">
      <c r="A207" s="39" t="s">
        <v>732</v>
      </c>
      <c r="B207" s="40" t="s">
        <v>733</v>
      </c>
      <c r="C207" s="200">
        <v>30916505.399999999</v>
      </c>
      <c r="D207" s="206">
        <v>13361737.630000001</v>
      </c>
      <c r="E207" s="34">
        <v>2913.68</v>
      </c>
      <c r="F207" s="48">
        <f t="shared" si="40"/>
        <v>2.1806145882240314E-4</v>
      </c>
      <c r="G207" s="34">
        <v>2913.68</v>
      </c>
      <c r="H207" s="48">
        <f t="shared" si="41"/>
        <v>2.1806145882240314E-4</v>
      </c>
      <c r="I207" s="34">
        <v>2913.68</v>
      </c>
      <c r="J207" s="153">
        <f t="shared" si="42"/>
        <v>2.1806145882240314E-4</v>
      </c>
      <c r="K207" s="616">
        <v>9397979.9100000039</v>
      </c>
      <c r="L207" s="280">
        <v>0.16687213530298792</v>
      </c>
      <c r="M207" s="211">
        <f t="shared" si="43"/>
        <v>-0.99968996741556138</v>
      </c>
      <c r="N207" s="616">
        <v>9397979.9100000039</v>
      </c>
      <c r="O207" s="280">
        <v>0.16687213530298792</v>
      </c>
      <c r="P207" s="211">
        <f t="shared" ref="P207:P212" si="45">+I207/N207-1</f>
        <v>-0.99968996741556138</v>
      </c>
    </row>
    <row r="208" spans="1:16" x14ac:dyDescent="0.25">
      <c r="A208" s="253">
        <v>9311</v>
      </c>
      <c r="B208" s="40" t="s">
        <v>734</v>
      </c>
      <c r="C208" s="200">
        <v>5805408.6299999999</v>
      </c>
      <c r="D208" s="206">
        <v>5139664.4800000004</v>
      </c>
      <c r="E208" s="34">
        <v>2331677.4500000002</v>
      </c>
      <c r="F208" s="280">
        <f t="shared" si="40"/>
        <v>0.45366335858561724</v>
      </c>
      <c r="G208" s="34">
        <v>2253247.09</v>
      </c>
      <c r="H208" s="280">
        <f t="shared" si="41"/>
        <v>0.43840353757877976</v>
      </c>
      <c r="I208" s="34">
        <v>1864578.82</v>
      </c>
      <c r="J208" s="178">
        <f t="shared" si="42"/>
        <v>0.36278220635912012</v>
      </c>
      <c r="K208" s="616">
        <v>2384863.3199999994</v>
      </c>
      <c r="L208" s="280">
        <v>0.49220361343314933</v>
      </c>
      <c r="M208" s="211">
        <f t="shared" si="43"/>
        <v>-5.5188164829504616E-2</v>
      </c>
      <c r="N208" s="616">
        <v>2054537.88</v>
      </c>
      <c r="O208" s="280">
        <v>0.42402889926257176</v>
      </c>
      <c r="P208" s="211">
        <f t="shared" si="45"/>
        <v>-9.2458290425874168E-2</v>
      </c>
    </row>
    <row r="209" spans="1:16" x14ac:dyDescent="0.25">
      <c r="A209" s="39" t="s">
        <v>735</v>
      </c>
      <c r="B209" s="40" t="s">
        <v>736</v>
      </c>
      <c r="C209" s="200">
        <v>30138334.93</v>
      </c>
      <c r="D209" s="206">
        <v>30139104.140000001</v>
      </c>
      <c r="E209" s="34">
        <v>27698082.52</v>
      </c>
      <c r="F209" s="280">
        <f t="shared" si="40"/>
        <v>0.91900815602676367</v>
      </c>
      <c r="G209" s="34">
        <v>27562148.010000002</v>
      </c>
      <c r="H209" s="280">
        <f t="shared" si="41"/>
        <v>0.91449791878253228</v>
      </c>
      <c r="I209" s="34">
        <v>9966749.3900000006</v>
      </c>
      <c r="J209" s="178">
        <f t="shared" si="42"/>
        <v>0.33069162718650075</v>
      </c>
      <c r="K209" s="616">
        <v>28208356.349999998</v>
      </c>
      <c r="L209" s="280">
        <v>0.94093151320561641</v>
      </c>
      <c r="M209" s="211">
        <f t="shared" si="43"/>
        <v>-2.2908401041948578E-2</v>
      </c>
      <c r="N209" s="616">
        <v>13919906.66</v>
      </c>
      <c r="O209" s="280">
        <v>0.4643191072447842</v>
      </c>
      <c r="P209" s="211">
        <f t="shared" si="45"/>
        <v>-0.2839930874938783</v>
      </c>
    </row>
    <row r="210" spans="1:16" x14ac:dyDescent="0.25">
      <c r="A210" s="39" t="s">
        <v>737</v>
      </c>
      <c r="B210" s="40" t="s">
        <v>738</v>
      </c>
      <c r="C210" s="200">
        <v>113561295.48999999</v>
      </c>
      <c r="D210" s="206">
        <v>113683264.01000001</v>
      </c>
      <c r="E210" s="34">
        <v>91692617.340000004</v>
      </c>
      <c r="F210" s="280">
        <f t="shared" si="40"/>
        <v>0.80656214561128692</v>
      </c>
      <c r="G210" s="34">
        <v>89689305.349999994</v>
      </c>
      <c r="H210" s="280">
        <f t="shared" si="41"/>
        <v>0.78894027305646841</v>
      </c>
      <c r="I210" s="34">
        <v>35373449.390000001</v>
      </c>
      <c r="J210" s="178">
        <f t="shared" si="42"/>
        <v>0.31115793250700841</v>
      </c>
      <c r="K210" s="616">
        <v>79940795.209999964</v>
      </c>
      <c r="L210" s="280">
        <v>0.78541267052891239</v>
      </c>
      <c r="M210" s="211">
        <f t="shared" si="43"/>
        <v>0.1219466245537244</v>
      </c>
      <c r="N210" s="616">
        <v>32670999.210000001</v>
      </c>
      <c r="O210" s="280">
        <v>0.32099026124228741</v>
      </c>
      <c r="P210" s="211">
        <f t="shared" si="45"/>
        <v>8.2717096059089279E-2</v>
      </c>
    </row>
    <row r="211" spans="1:16" x14ac:dyDescent="0.25">
      <c r="A211" s="39" t="s">
        <v>739</v>
      </c>
      <c r="B211" s="40" t="s">
        <v>117</v>
      </c>
      <c r="C211" s="200">
        <v>799840.54</v>
      </c>
      <c r="D211" s="206">
        <v>801333.05</v>
      </c>
      <c r="E211" s="34">
        <v>315983.57</v>
      </c>
      <c r="F211" s="280">
        <f t="shared" si="40"/>
        <v>0.39432239815891779</v>
      </c>
      <c r="G211" s="34">
        <v>315983.57</v>
      </c>
      <c r="H211" s="280">
        <f t="shared" si="41"/>
        <v>0.39432239815891779</v>
      </c>
      <c r="I211" s="34">
        <v>315983.57</v>
      </c>
      <c r="J211" s="178">
        <f t="shared" si="42"/>
        <v>0.39432239815891779</v>
      </c>
      <c r="K211" s="616">
        <v>399729.99</v>
      </c>
      <c r="L211" s="280">
        <v>0.4773922409075157</v>
      </c>
      <c r="M211" s="211">
        <f t="shared" si="43"/>
        <v>-0.20950747278181447</v>
      </c>
      <c r="N211" s="616">
        <v>399729.99</v>
      </c>
      <c r="O211" s="280">
        <v>0.4773922409075157</v>
      </c>
      <c r="P211" s="211">
        <f t="shared" si="45"/>
        <v>-0.20950747278181447</v>
      </c>
    </row>
    <row r="212" spans="1:16" x14ac:dyDescent="0.25">
      <c r="A212" s="666">
        <v>9431</v>
      </c>
      <c r="B212" s="662" t="s">
        <v>740</v>
      </c>
      <c r="C212" s="661">
        <v>98287346.239999995</v>
      </c>
      <c r="D212" s="397">
        <v>98287346.239999995</v>
      </c>
      <c r="E212" s="398">
        <v>97687346.230000004</v>
      </c>
      <c r="F212" s="412">
        <f t="shared" si="40"/>
        <v>0.99389545009654756</v>
      </c>
      <c r="G212" s="398">
        <v>97687346.230000004</v>
      </c>
      <c r="H212" s="412">
        <f t="shared" si="41"/>
        <v>0.99389545009654756</v>
      </c>
      <c r="I212" s="398">
        <v>36706994.700000003</v>
      </c>
      <c r="J212" s="427">
        <f t="shared" si="42"/>
        <v>0.37346612869542872</v>
      </c>
      <c r="K212" s="616">
        <v>84274401.209999993</v>
      </c>
      <c r="L212" s="412">
        <v>0.7444128037021408</v>
      </c>
      <c r="M212" s="211">
        <f t="shared" si="43"/>
        <v>0.15915799848374879</v>
      </c>
      <c r="N212" s="664">
        <v>30467255.039999999</v>
      </c>
      <c r="O212" s="412">
        <v>0.26912341612393853</v>
      </c>
      <c r="P212" s="443">
        <f t="shared" si="45"/>
        <v>0.20480150416596254</v>
      </c>
    </row>
    <row r="213" spans="1:16" ht="13.8" thickBot="1" x14ac:dyDescent="0.3">
      <c r="A213" s="18">
        <v>9</v>
      </c>
      <c r="B213" s="2" t="s">
        <v>534</v>
      </c>
      <c r="C213" s="201">
        <f>SUBTOTAL(9,DTProg!C66:C78)</f>
        <v>496436210.86000007</v>
      </c>
      <c r="D213" s="207">
        <f>SUBTOTAL(9,DTProg!D66:D78)</f>
        <v>476919958.76999998</v>
      </c>
      <c r="E213" s="203">
        <f>SUBTOTAL(9,DTProg!E66:E78)</f>
        <v>350386326.97000003</v>
      </c>
      <c r="F213" s="535">
        <f t="shared" si="40"/>
        <v>0.73468581158495361</v>
      </c>
      <c r="G213" s="203">
        <f>SUBTOTAL(9,DTProg!G66:G78)</f>
        <v>331426314.64999998</v>
      </c>
      <c r="H213" s="535">
        <f t="shared" si="41"/>
        <v>0.69493068712151351</v>
      </c>
      <c r="I213" s="203">
        <f>SUBTOTAL(9,DTProg!I66:I78)</f>
        <v>152039617.98000002</v>
      </c>
      <c r="J213" s="536">
        <f t="shared" si="42"/>
        <v>0.31879483167808215</v>
      </c>
      <c r="K213" s="568">
        <f>SUM(K193:K212)</f>
        <v>318689818.49999994</v>
      </c>
      <c r="L213" s="90">
        <v>0.59944652431546563</v>
      </c>
      <c r="M213" s="647">
        <f>+G213/K213-1</f>
        <v>3.9965180594560001E-2</v>
      </c>
      <c r="N213" s="568">
        <f>SUM(N193:N212)</f>
        <v>154986051.61999997</v>
      </c>
      <c r="O213" s="90">
        <v>0.2915243743847008</v>
      </c>
      <c r="P213" s="647">
        <f>+I213/N213-1</f>
        <v>-1.9010960078034156E-2</v>
      </c>
    </row>
    <row r="214" spans="1:16" ht="13.8" thickBot="1" x14ac:dyDescent="0.3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2753060537.8399987</v>
      </c>
      <c r="E214" s="209">
        <f>SUM(E85,E87:E120,E122:E130,E135:E147,E149:E172,E174:E179,E184:E191,E193:E212)</f>
        <v>1882371861.8899999</v>
      </c>
      <c r="F214" s="181">
        <f t="shared" si="40"/>
        <v>0.68373791132354633</v>
      </c>
      <c r="G214" s="209">
        <f>SUM(G85,G87:G120,G122:G130,G135:G147,G149:G172,G174:G179,G184:G191,G193:G212)</f>
        <v>1812687717.7199998</v>
      </c>
      <c r="H214" s="181">
        <f t="shared" si="41"/>
        <v>0.65842639230236533</v>
      </c>
      <c r="I214" s="209">
        <f>SUM(I85,I87:I120,I122:I130,I135:I147,I149:I172,I174:I179,I184:I191,I193:I212)</f>
        <v>809731839.96000028</v>
      </c>
      <c r="J214" s="173">
        <f t="shared" si="42"/>
        <v>0.29412060825778324</v>
      </c>
      <c r="K214" s="154">
        <f>K86+K121+K148+K173+K192+K213</f>
        <v>1825175865.04</v>
      </c>
      <c r="L214" s="181">
        <v>0.66482101933943261</v>
      </c>
      <c r="M214" s="181">
        <f>+G214/K214-1</f>
        <v>-6.8421611085277556E-3</v>
      </c>
      <c r="N214" s="576">
        <f>N86+N121+N148+N173+N192+N213</f>
        <v>955364496.16999996</v>
      </c>
      <c r="O214" s="181">
        <v>0.34799188963115235</v>
      </c>
      <c r="P214" s="630">
        <f>+I214/N214-1</f>
        <v>-0.1524367472245749</v>
      </c>
    </row>
    <row r="296" spans="1:16" x14ac:dyDescent="0.25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5">
      <c r="C301" s="349"/>
      <c r="D301" s="349"/>
      <c r="E301" s="349"/>
      <c r="F301" s="391"/>
      <c r="G301" s="349"/>
      <c r="H301" s="391"/>
      <c r="I301" s="349"/>
      <c r="J301" s="391"/>
      <c r="K301" s="391"/>
      <c r="L301" s="391"/>
      <c r="M301" s="391"/>
      <c r="O301"/>
      <c r="P301"/>
    </row>
    <row r="303" spans="1:16" x14ac:dyDescent="0.25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220"/>
  <sheetViews>
    <sheetView topLeftCell="A187" zoomScaleNormal="100" workbookViewId="0">
      <pane xSplit="1" topLeftCell="C1" activePane="topRight" state="frozen"/>
      <selection activeCell="N21" sqref="N21"/>
      <selection pane="topRight" activeCell="M215" sqref="M215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6" ht="14.4" thickBot="1" x14ac:dyDescent="0.3">
      <c r="A1" s="7" t="s">
        <v>19</v>
      </c>
      <c r="N1" s="97"/>
      <c r="P1" s="522"/>
    </row>
    <row r="2" spans="1:16" x14ac:dyDescent="0.25">
      <c r="A2" s="757" t="s">
        <v>465</v>
      </c>
      <c r="B2" s="758"/>
      <c r="C2" s="164" t="s">
        <v>765</v>
      </c>
      <c r="D2" s="743" t="s">
        <v>780</v>
      </c>
      <c r="E2" s="744"/>
      <c r="F2" s="744"/>
      <c r="G2" s="744"/>
      <c r="H2" s="744"/>
      <c r="I2" s="744"/>
      <c r="J2" s="745"/>
      <c r="K2" s="752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11" t="s">
        <v>362</v>
      </c>
    </row>
    <row r="4" spans="1:16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3" t="s">
        <v>764</v>
      </c>
      <c r="N4" s="564" t="s">
        <v>17</v>
      </c>
      <c r="O4" s="89" t="s">
        <v>18</v>
      </c>
      <c r="P4" s="612" t="s">
        <v>764</v>
      </c>
    </row>
    <row r="5" spans="1:16" x14ac:dyDescent="0.25">
      <c r="A5" s="17" t="s">
        <v>53</v>
      </c>
      <c r="B5" s="13" t="s">
        <v>96</v>
      </c>
      <c r="C5" s="530">
        <v>24060000</v>
      </c>
      <c r="D5" s="516">
        <v>24060000</v>
      </c>
      <c r="E5" s="180">
        <v>5752370.04</v>
      </c>
      <c r="F5" s="78">
        <f>+E5/D5</f>
        <v>0.2390843740648379</v>
      </c>
      <c r="G5" s="180">
        <v>5752370.04</v>
      </c>
      <c r="H5" s="78">
        <f>+G5/D5</f>
        <v>0.2390843740648379</v>
      </c>
      <c r="I5" s="180">
        <v>5752370.04</v>
      </c>
      <c r="J5" s="172">
        <f>I5/D5</f>
        <v>0.2390843740648379</v>
      </c>
      <c r="K5" s="180">
        <v>6907921.4900000002</v>
      </c>
      <c r="L5" s="78">
        <v>0.25764891912006549</v>
      </c>
      <c r="M5" s="245">
        <f>+G5/K5-1</f>
        <v>-0.16727918110719586</v>
      </c>
      <c r="N5" s="180">
        <v>6907921.4900000002</v>
      </c>
      <c r="O5" s="172">
        <v>0.25764891912006549</v>
      </c>
      <c r="P5" s="245">
        <f>+I5/N5-1</f>
        <v>-0.16727918110719586</v>
      </c>
    </row>
    <row r="6" spans="1:16" x14ac:dyDescent="0.25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5752370.04</v>
      </c>
      <c r="F6" s="90">
        <f t="shared" ref="F6:F27" si="0">+E6/D6</f>
        <v>0.2390843740648379</v>
      </c>
      <c r="G6" s="203">
        <f>SUBTOTAL(9,G5:G5)</f>
        <v>5752370.04</v>
      </c>
      <c r="H6" s="90">
        <f>+G6/D6</f>
        <v>0.2390843740648379</v>
      </c>
      <c r="I6" s="203">
        <f>SUBTOTAL(9,I5:I5)</f>
        <v>5752370.04</v>
      </c>
      <c r="J6" s="170">
        <f>+I6/D6</f>
        <v>0.2390843740648379</v>
      </c>
      <c r="K6" s="568">
        <f>SUBTOTAL(9,K5:K5)</f>
        <v>6907921.4900000002</v>
      </c>
      <c r="L6" s="90">
        <v>0.25764891912006549</v>
      </c>
      <c r="M6" s="213">
        <f>+G6/K6-1</f>
        <v>-0.16727918110719586</v>
      </c>
      <c r="N6" s="568">
        <f>SUBTOTAL(9,N5:N5)</f>
        <v>6907921.4900000002</v>
      </c>
      <c r="O6" s="170">
        <v>0.25764891912006549</v>
      </c>
      <c r="P6" s="213">
        <f>+I6/N6-1</f>
        <v>-0.16727918110719586</v>
      </c>
    </row>
    <row r="7" spans="1:16" x14ac:dyDescent="0.25">
      <c r="A7" s="37" t="s">
        <v>54</v>
      </c>
      <c r="B7" s="38" t="s">
        <v>501</v>
      </c>
      <c r="C7" s="198">
        <v>8245978.9400000004</v>
      </c>
      <c r="D7" s="30">
        <v>20083888.469999999</v>
      </c>
      <c r="E7" s="30">
        <v>4444915.5</v>
      </c>
      <c r="F7" s="414">
        <f>+E7/D7</f>
        <v>0.22131747577863342</v>
      </c>
      <c r="G7" s="30">
        <v>4006080.04</v>
      </c>
      <c r="H7" s="48">
        <f>+G7/D7</f>
        <v>0.19946735145358035</v>
      </c>
      <c r="I7" s="30">
        <v>3477132.36</v>
      </c>
      <c r="J7" s="153">
        <f>I7/D7</f>
        <v>0.173130435632219</v>
      </c>
      <c r="K7" s="30">
        <v>4275533.88</v>
      </c>
      <c r="L7" s="48">
        <v>0.48315540534926193</v>
      </c>
      <c r="M7" s="210">
        <f>+G7/K7-1</f>
        <v>-6.3022267525570386E-2</v>
      </c>
      <c r="N7" s="30">
        <v>3919103.18</v>
      </c>
      <c r="O7" s="153">
        <v>0.44287706253387982</v>
      </c>
      <c r="P7" s="210">
        <f>+I7/N7-1</f>
        <v>-0.1127734585441561</v>
      </c>
    </row>
    <row r="8" spans="1:16" x14ac:dyDescent="0.25">
      <c r="A8" s="39" t="s">
        <v>55</v>
      </c>
      <c r="B8" s="40" t="s">
        <v>106</v>
      </c>
      <c r="C8" s="199">
        <v>169263309.75999999</v>
      </c>
      <c r="D8" s="32">
        <v>169195124.16999999</v>
      </c>
      <c r="E8" s="32">
        <v>74195052.560000002</v>
      </c>
      <c r="F8" s="130">
        <f t="shared" ref="F8:F45" si="1">+E8/D8</f>
        <v>0.43851767551795406</v>
      </c>
      <c r="G8" s="32">
        <v>73443699.420000002</v>
      </c>
      <c r="H8" s="280">
        <f t="shared" ref="H8:H45" si="2">+G8/D8</f>
        <v>0.43407692615424859</v>
      </c>
      <c r="I8" s="32">
        <v>68196565.489999995</v>
      </c>
      <c r="J8" s="153">
        <f t="shared" ref="J8:J26" si="3">I8/D8</f>
        <v>0.40306460262695881</v>
      </c>
      <c r="K8" s="32">
        <v>90547402.969999999</v>
      </c>
      <c r="L8" s="280">
        <v>0.47012311157008196</v>
      </c>
      <c r="M8" s="210">
        <f>+G8/K8-1</f>
        <v>-0.18889225962302603</v>
      </c>
      <c r="N8" s="32">
        <v>85319824.269999996</v>
      </c>
      <c r="O8" s="178">
        <v>0.44298146549508927</v>
      </c>
      <c r="P8" s="210">
        <f>+I8/N8-1</f>
        <v>-0.20069496071408166</v>
      </c>
    </row>
    <row r="9" spans="1:16" x14ac:dyDescent="0.25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5">
      <c r="A10" s="39">
        <v>134</v>
      </c>
      <c r="B10" s="40" t="s">
        <v>468</v>
      </c>
      <c r="C10" s="199">
        <v>14562809.07</v>
      </c>
      <c r="D10" s="32">
        <v>14666964.640000001</v>
      </c>
      <c r="E10" s="32">
        <v>12371543.300000001</v>
      </c>
      <c r="F10" s="130">
        <f t="shared" si="1"/>
        <v>0.84349717911367383</v>
      </c>
      <c r="G10" s="32">
        <v>12136947.65</v>
      </c>
      <c r="H10" s="280">
        <f t="shared" si="2"/>
        <v>0.82750234611597184</v>
      </c>
      <c r="I10" s="32">
        <v>3302179.05</v>
      </c>
      <c r="J10" s="153">
        <f t="shared" si="3"/>
        <v>0.22514399748358566</v>
      </c>
      <c r="K10" s="32">
        <v>12203673.890000001</v>
      </c>
      <c r="L10" s="280">
        <v>0.79166629530639265</v>
      </c>
      <c r="M10" s="210">
        <f t="shared" ref="M10:M20" si="4">+G10/K10-1</f>
        <v>-5.4677173940773649E-3</v>
      </c>
      <c r="N10" s="32">
        <v>2731030.38</v>
      </c>
      <c r="O10" s="178">
        <v>0.17716506707668256</v>
      </c>
      <c r="P10" s="210">
        <f t="shared" ref="P10:P20" si="5">+I10/N10-1</f>
        <v>0.20913303425061125</v>
      </c>
    </row>
    <row r="11" spans="1:16" x14ac:dyDescent="0.25">
      <c r="A11" s="39" t="s">
        <v>57</v>
      </c>
      <c r="B11" s="40" t="s">
        <v>475</v>
      </c>
      <c r="C11" s="199">
        <v>431130.98</v>
      </c>
      <c r="D11" s="32">
        <v>325576.23</v>
      </c>
      <c r="E11" s="32">
        <v>125508.4</v>
      </c>
      <c r="F11" s="130">
        <f t="shared" si="1"/>
        <v>0.38549620161152426</v>
      </c>
      <c r="G11" s="32">
        <v>125508.4</v>
      </c>
      <c r="H11" s="280">
        <f t="shared" si="2"/>
        <v>0.38549620161152426</v>
      </c>
      <c r="I11" s="32">
        <v>125508.4</v>
      </c>
      <c r="J11" s="153">
        <f t="shared" si="3"/>
        <v>0.38549620161152426</v>
      </c>
      <c r="K11" s="32">
        <v>209828.3</v>
      </c>
      <c r="L11" s="280">
        <v>0.49625042082769222</v>
      </c>
      <c r="M11" s="210">
        <f t="shared" si="4"/>
        <v>-0.40185189509708652</v>
      </c>
      <c r="N11" s="32">
        <v>209828.3</v>
      </c>
      <c r="O11" s="178">
        <v>0.49625042082769222</v>
      </c>
      <c r="P11" s="210">
        <f t="shared" si="5"/>
        <v>-0.40185189509708652</v>
      </c>
    </row>
    <row r="12" spans="1:16" x14ac:dyDescent="0.25">
      <c r="A12" s="39">
        <v>136</v>
      </c>
      <c r="B12" s="40" t="s">
        <v>469</v>
      </c>
      <c r="C12" s="199">
        <v>40845954.75</v>
      </c>
      <c r="D12" s="32">
        <v>41707904.789999999</v>
      </c>
      <c r="E12" s="32">
        <v>18862446.030000001</v>
      </c>
      <c r="F12" s="130">
        <f t="shared" si="1"/>
        <v>0.45225110503566973</v>
      </c>
      <c r="G12" s="32">
        <v>18518687.66</v>
      </c>
      <c r="H12" s="280">
        <f t="shared" si="2"/>
        <v>0.44400906142952767</v>
      </c>
      <c r="I12" s="32">
        <v>16491695.039999999</v>
      </c>
      <c r="J12" s="153">
        <f t="shared" si="3"/>
        <v>0.39540933842243958</v>
      </c>
      <c r="K12" s="32">
        <v>21990449.300000001</v>
      </c>
      <c r="L12" s="280">
        <v>0.49125344858850661</v>
      </c>
      <c r="M12" s="210">
        <f t="shared" si="4"/>
        <v>-0.15787588478239967</v>
      </c>
      <c r="N12" s="32">
        <v>20277583.620000001</v>
      </c>
      <c r="O12" s="178">
        <v>0.45298905658861705</v>
      </c>
      <c r="P12" s="210">
        <f t="shared" si="5"/>
        <v>-0.18670314229482154</v>
      </c>
    </row>
    <row r="13" spans="1:16" x14ac:dyDescent="0.25">
      <c r="A13" s="39" t="s">
        <v>58</v>
      </c>
      <c r="B13" s="40" t="s">
        <v>742</v>
      </c>
      <c r="C13" s="199">
        <v>27221948.489999998</v>
      </c>
      <c r="D13" s="32">
        <v>30269184.039999999</v>
      </c>
      <c r="E13" s="32">
        <v>16616631.66</v>
      </c>
      <c r="F13" s="130">
        <f t="shared" si="1"/>
        <v>0.54896199507860932</v>
      </c>
      <c r="G13" s="32">
        <v>13627672.140000001</v>
      </c>
      <c r="H13" s="280">
        <f t="shared" si="2"/>
        <v>0.45021603892563999</v>
      </c>
      <c r="I13" s="32">
        <v>9345039.7300000004</v>
      </c>
      <c r="J13" s="153">
        <f t="shared" si="3"/>
        <v>0.30873114113848443</v>
      </c>
      <c r="K13" s="32">
        <v>14482366.140000001</v>
      </c>
      <c r="L13" s="280">
        <v>0.62393353672650298</v>
      </c>
      <c r="M13" s="210">
        <f t="shared" si="4"/>
        <v>-5.9016185044469482E-2</v>
      </c>
      <c r="N13" s="32">
        <v>9862665.8100000005</v>
      </c>
      <c r="O13" s="178">
        <v>0.42490625502062196</v>
      </c>
      <c r="P13" s="210">
        <f t="shared" si="5"/>
        <v>-5.2483384307229208E-2</v>
      </c>
    </row>
    <row r="14" spans="1:16" x14ac:dyDescent="0.25">
      <c r="A14" s="39" t="s">
        <v>59</v>
      </c>
      <c r="B14" s="40" t="s">
        <v>476</v>
      </c>
      <c r="C14" s="199">
        <v>26796599.550000001</v>
      </c>
      <c r="D14" s="32">
        <v>26314197.010000002</v>
      </c>
      <c r="E14" s="32">
        <v>18670612.84</v>
      </c>
      <c r="F14" s="130">
        <f t="shared" si="1"/>
        <v>0.7095262239202943</v>
      </c>
      <c r="G14" s="32">
        <v>18045308.059999999</v>
      </c>
      <c r="H14" s="280">
        <f t="shared" si="2"/>
        <v>0.68576320429395454</v>
      </c>
      <c r="I14" s="32">
        <v>11741789.109999999</v>
      </c>
      <c r="J14" s="153">
        <f t="shared" si="3"/>
        <v>0.44621498826423805</v>
      </c>
      <c r="K14" s="32">
        <v>18987267.690000001</v>
      </c>
      <c r="L14" s="280">
        <v>0.67458886389559813</v>
      </c>
      <c r="M14" s="210">
        <f t="shared" si="4"/>
        <v>-4.9610067408282443E-2</v>
      </c>
      <c r="N14" s="32">
        <v>10905760.17</v>
      </c>
      <c r="O14" s="178">
        <v>0.38746514154181416</v>
      </c>
      <c r="P14" s="210">
        <f t="shared" si="5"/>
        <v>7.6659391639638308E-2</v>
      </c>
    </row>
    <row r="15" spans="1:16" x14ac:dyDescent="0.25">
      <c r="A15" s="39">
        <v>152</v>
      </c>
      <c r="B15" s="40" t="s">
        <v>470</v>
      </c>
      <c r="C15" s="199">
        <v>28986451.059999999</v>
      </c>
      <c r="D15" s="32">
        <v>29031451.059999999</v>
      </c>
      <c r="E15" s="32">
        <v>26802887.800000001</v>
      </c>
      <c r="F15" s="130">
        <f t="shared" si="1"/>
        <v>0.92323624281148842</v>
      </c>
      <c r="G15" s="32">
        <v>26722588.760000002</v>
      </c>
      <c r="H15" s="280">
        <f t="shared" si="2"/>
        <v>0.92047031010512648</v>
      </c>
      <c r="I15" s="32">
        <v>9365268.7100000009</v>
      </c>
      <c r="J15" s="153">
        <f t="shared" si="3"/>
        <v>0.32259044477813303</v>
      </c>
      <c r="K15" s="32">
        <v>19329619.41</v>
      </c>
      <c r="L15" s="280">
        <v>0.757942999269552</v>
      </c>
      <c r="M15" s="210">
        <f t="shared" si="4"/>
        <v>0.38246843836849242</v>
      </c>
      <c r="N15" s="32">
        <v>11676764.68</v>
      </c>
      <c r="O15" s="178">
        <v>0.45786323339327306</v>
      </c>
      <c r="P15" s="210">
        <f t="shared" si="5"/>
        <v>-0.19795688560540547</v>
      </c>
    </row>
    <row r="16" spans="1:16" x14ac:dyDescent="0.25">
      <c r="A16" s="39" t="s">
        <v>60</v>
      </c>
      <c r="B16" s="40" t="s">
        <v>97</v>
      </c>
      <c r="C16" s="199">
        <v>36362669.469999999</v>
      </c>
      <c r="D16" s="32">
        <v>36728955</v>
      </c>
      <c r="E16" s="32">
        <v>26825330.02</v>
      </c>
      <c r="F16" s="78">
        <f t="shared" si="1"/>
        <v>0.73035919535418303</v>
      </c>
      <c r="G16" s="32">
        <v>26298688.829999998</v>
      </c>
      <c r="H16" s="280">
        <f t="shared" si="2"/>
        <v>0.71602061180341225</v>
      </c>
      <c r="I16" s="32">
        <v>7865224.4199999999</v>
      </c>
      <c r="J16" s="153">
        <f t="shared" si="3"/>
        <v>0.21414234137617039</v>
      </c>
      <c r="K16" s="32">
        <v>21356903.25</v>
      </c>
      <c r="L16" s="280">
        <v>0.73675779394424878</v>
      </c>
      <c r="M16" s="210">
        <f t="shared" si="4"/>
        <v>0.23139054956387461</v>
      </c>
      <c r="N16" s="32">
        <v>7735263.3300000001</v>
      </c>
      <c r="O16" s="178">
        <v>0.26684653106665379</v>
      </c>
      <c r="P16" s="210">
        <f t="shared" si="5"/>
        <v>1.6801120331090269E-2</v>
      </c>
    </row>
    <row r="17" spans="1:16" x14ac:dyDescent="0.25">
      <c r="A17" s="39" t="s">
        <v>489</v>
      </c>
      <c r="B17" s="40" t="s">
        <v>162</v>
      </c>
      <c r="C17" s="199">
        <v>18215182.399999999</v>
      </c>
      <c r="D17" s="32">
        <v>18332395.809999999</v>
      </c>
      <c r="E17" s="32">
        <v>18124807.469999999</v>
      </c>
      <c r="F17" s="414">
        <f t="shared" si="1"/>
        <v>0.98867642057527672</v>
      </c>
      <c r="G17" s="32">
        <v>18124807.469999999</v>
      </c>
      <c r="H17" s="280">
        <f t="shared" si="2"/>
        <v>0.98867642057527672</v>
      </c>
      <c r="I17" s="32">
        <v>6159024.6399999997</v>
      </c>
      <c r="J17" s="153">
        <f t="shared" si="3"/>
        <v>0.33596397894924135</v>
      </c>
      <c r="K17" s="32">
        <v>19349633.260000002</v>
      </c>
      <c r="L17" s="280">
        <v>0.99392772157766229</v>
      </c>
      <c r="M17" s="210">
        <f t="shared" si="4"/>
        <v>-6.329969015650494E-2</v>
      </c>
      <c r="N17" s="32">
        <v>7616287.21</v>
      </c>
      <c r="O17" s="178">
        <v>0.39122390030850585</v>
      </c>
      <c r="P17" s="210">
        <f t="shared" si="5"/>
        <v>-0.19133503370075777</v>
      </c>
    </row>
    <row r="18" spans="1:16" x14ac:dyDescent="0.25">
      <c r="A18" s="39" t="s">
        <v>61</v>
      </c>
      <c r="B18" s="40" t="s">
        <v>478</v>
      </c>
      <c r="C18" s="199">
        <v>8305266.9900000002</v>
      </c>
      <c r="D18" s="32">
        <v>7703912.6399999997</v>
      </c>
      <c r="E18" s="32">
        <v>6341788.7300000004</v>
      </c>
      <c r="F18" s="78">
        <f t="shared" si="1"/>
        <v>0.82319063394779102</v>
      </c>
      <c r="G18" s="32">
        <v>6341788.7300000004</v>
      </c>
      <c r="H18" s="280">
        <f t="shared" si="2"/>
        <v>0.82319063394779102</v>
      </c>
      <c r="I18" s="32">
        <v>1682999.29</v>
      </c>
      <c r="J18" s="153">
        <f t="shared" si="3"/>
        <v>0.21846032901016907</v>
      </c>
      <c r="K18" s="32">
        <v>6140658.3200000003</v>
      </c>
      <c r="L18" s="280">
        <v>0.99583507764852397</v>
      </c>
      <c r="M18" s="210">
        <f t="shared" si="4"/>
        <v>3.2753883951647689E-2</v>
      </c>
      <c r="N18" s="32">
        <v>1142999.8500000001</v>
      </c>
      <c r="O18" s="178">
        <v>0.18536112661891296</v>
      </c>
      <c r="P18" s="210">
        <f t="shared" si="5"/>
        <v>0.47244051694319977</v>
      </c>
    </row>
    <row r="19" spans="1:16" x14ac:dyDescent="0.25">
      <c r="A19" s="39" t="s">
        <v>62</v>
      </c>
      <c r="B19" s="40" t="s">
        <v>490</v>
      </c>
      <c r="C19" s="199">
        <v>103800543.09999999</v>
      </c>
      <c r="D19" s="32">
        <v>100283750.28</v>
      </c>
      <c r="E19" s="32">
        <v>92980495.900000006</v>
      </c>
      <c r="F19" s="414">
        <f t="shared" si="1"/>
        <v>0.92717409989545918</v>
      </c>
      <c r="G19" s="32">
        <v>92980495.900000006</v>
      </c>
      <c r="H19" s="280">
        <f t="shared" si="2"/>
        <v>0.92717409989545918</v>
      </c>
      <c r="I19" s="32">
        <v>19410512.649999999</v>
      </c>
      <c r="J19" s="153">
        <f t="shared" si="3"/>
        <v>0.19355591106040951</v>
      </c>
      <c r="K19" s="32">
        <v>93382122.780000001</v>
      </c>
      <c r="L19" s="280">
        <v>0.94420995571785593</v>
      </c>
      <c r="M19" s="210">
        <f t="shared" si="4"/>
        <v>-4.3008968745140708E-3</v>
      </c>
      <c r="N19" s="32">
        <v>20586577.98</v>
      </c>
      <c r="O19" s="178">
        <v>0.20815602927203011</v>
      </c>
      <c r="P19" s="210">
        <f t="shared" si="5"/>
        <v>-5.7127771849335929E-2</v>
      </c>
    </row>
    <row r="20" spans="1:16" x14ac:dyDescent="0.25">
      <c r="A20" s="39" t="s">
        <v>63</v>
      </c>
      <c r="B20" s="40" t="s">
        <v>98</v>
      </c>
      <c r="C20" s="199">
        <v>171073344.52000001</v>
      </c>
      <c r="D20" s="32">
        <v>174535316.71000001</v>
      </c>
      <c r="E20" s="32">
        <v>173882510.59999999</v>
      </c>
      <c r="F20" s="130">
        <f t="shared" si="1"/>
        <v>0.99625974775589576</v>
      </c>
      <c r="G20" s="32">
        <v>173881500.36000001</v>
      </c>
      <c r="H20" s="280">
        <f t="shared" si="2"/>
        <v>0.99625395958637786</v>
      </c>
      <c r="I20" s="32">
        <v>43678742.119999997</v>
      </c>
      <c r="J20" s="153">
        <f t="shared" si="3"/>
        <v>0.25025732867906969</v>
      </c>
      <c r="K20" s="32">
        <v>174670313.84999999</v>
      </c>
      <c r="L20" s="280">
        <v>0.98684683288162689</v>
      </c>
      <c r="M20" s="210">
        <f t="shared" si="4"/>
        <v>-4.5160134691083487E-3</v>
      </c>
      <c r="N20" s="32">
        <v>41416009.020000003</v>
      </c>
      <c r="O20" s="178">
        <v>0.23399086216265991</v>
      </c>
      <c r="P20" s="210">
        <f t="shared" si="5"/>
        <v>5.4634262294739999E-2</v>
      </c>
    </row>
    <row r="21" spans="1:16" x14ac:dyDescent="0.25">
      <c r="A21" s="39" t="s">
        <v>64</v>
      </c>
      <c r="B21" s="40" t="s">
        <v>491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5">
      <c r="A22" s="39" t="s">
        <v>65</v>
      </c>
      <c r="B22" s="40" t="s">
        <v>99</v>
      </c>
      <c r="C22" s="199">
        <v>29617801.809999999</v>
      </c>
      <c r="D22" s="32">
        <v>30255066.960000001</v>
      </c>
      <c r="E22" s="32">
        <v>24345016.91</v>
      </c>
      <c r="F22" s="130">
        <f t="shared" si="1"/>
        <v>0.80465916476689225</v>
      </c>
      <c r="G22" s="32">
        <v>24319668.629999999</v>
      </c>
      <c r="H22" s="280">
        <f t="shared" si="2"/>
        <v>0.80382134543456318</v>
      </c>
      <c r="I22" s="32">
        <v>6154716.2400000002</v>
      </c>
      <c r="J22" s="153">
        <f t="shared" si="3"/>
        <v>0.20342761918646898</v>
      </c>
      <c r="K22" s="32">
        <v>22060769.489999998</v>
      </c>
      <c r="L22" s="280">
        <v>0.71863001851380759</v>
      </c>
      <c r="M22" s="210">
        <f>+G22/K22-1</f>
        <v>0.10239439476596424</v>
      </c>
      <c r="N22" s="32">
        <v>6511978.2000000002</v>
      </c>
      <c r="O22" s="178">
        <v>0.21212782339930572</v>
      </c>
      <c r="P22" s="210">
        <f>+I22/N22-1</f>
        <v>-5.4862278255169872E-2</v>
      </c>
    </row>
    <row r="23" spans="1:16" x14ac:dyDescent="0.25">
      <c r="A23" s="39" t="s">
        <v>66</v>
      </c>
      <c r="B23" s="40" t="s">
        <v>112</v>
      </c>
      <c r="C23" s="199">
        <v>1946253.38</v>
      </c>
      <c r="D23" s="32">
        <v>2328435.69</v>
      </c>
      <c r="E23" s="32">
        <v>2299571.59</v>
      </c>
      <c r="F23" s="130">
        <f t="shared" si="1"/>
        <v>0.98760365161727959</v>
      </c>
      <c r="G23" s="32">
        <v>1596725.37</v>
      </c>
      <c r="H23" s="280">
        <f t="shared" si="2"/>
        <v>0.68575025578653626</v>
      </c>
      <c r="I23" s="32">
        <v>846837.06</v>
      </c>
      <c r="J23" s="153">
        <f t="shared" si="3"/>
        <v>0.3636935577121308</v>
      </c>
      <c r="K23" s="32">
        <v>906294.56</v>
      </c>
      <c r="L23" s="280">
        <v>0.50938599492494951</v>
      </c>
      <c r="M23" s="210">
        <f>+G23/K23-1</f>
        <v>0.76181722860611667</v>
      </c>
      <c r="N23" s="32">
        <v>399942.58</v>
      </c>
      <c r="O23" s="178">
        <v>0.22478911163954379</v>
      </c>
      <c r="P23" s="210">
        <f>+I23/N23-1</f>
        <v>1.1173966022822577</v>
      </c>
    </row>
    <row r="24" spans="1:16" x14ac:dyDescent="0.25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48748731.82</v>
      </c>
      <c r="F24" s="130">
        <f t="shared" si="1"/>
        <v>0.99890649760465833</v>
      </c>
      <c r="G24" s="32">
        <v>48748731.82</v>
      </c>
      <c r="H24" s="280">
        <f t="shared" si="2"/>
        <v>0.99890649760465833</v>
      </c>
      <c r="I24" s="32">
        <v>15021634.800000001</v>
      </c>
      <c r="J24" s="153">
        <f t="shared" si="3"/>
        <v>0.30780715817940746</v>
      </c>
      <c r="K24" s="32">
        <v>47871390.060000002</v>
      </c>
      <c r="L24" s="280">
        <v>0.99937712659560163</v>
      </c>
      <c r="M24" s="210">
        <f>+G24/K24-1</f>
        <v>1.8327058372451077E-2</v>
      </c>
      <c r="N24" s="32">
        <v>15504026.32</v>
      </c>
      <c r="O24" s="178">
        <v>0.32366658363010109</v>
      </c>
      <c r="P24" s="210">
        <f>+I24/N24-1</f>
        <v>-3.111395130810124E-2</v>
      </c>
    </row>
    <row r="25" spans="1:16" x14ac:dyDescent="0.25">
      <c r="A25" s="41" t="s">
        <v>492</v>
      </c>
      <c r="B25" s="42" t="s">
        <v>493</v>
      </c>
      <c r="C25" s="199">
        <v>3847206.77</v>
      </c>
      <c r="D25" s="32">
        <v>4329947.8600000003</v>
      </c>
      <c r="E25" s="32">
        <v>3617775.47</v>
      </c>
      <c r="F25" s="130">
        <f t="shared" si="1"/>
        <v>0.83552402637938461</v>
      </c>
      <c r="G25" s="32">
        <v>3007038.42</v>
      </c>
      <c r="H25" s="280">
        <f t="shared" si="2"/>
        <v>0.69447451036973906</v>
      </c>
      <c r="I25" s="32">
        <v>665913.28</v>
      </c>
      <c r="J25" s="153">
        <f t="shared" si="3"/>
        <v>0.15379244774554859</v>
      </c>
      <c r="K25" s="32">
        <v>1507087.61</v>
      </c>
      <c r="L25" s="390">
        <v>0.54423890683226095</v>
      </c>
      <c r="M25" s="210">
        <f>+G25/K25-1</f>
        <v>0.99526450887616269</v>
      </c>
      <c r="N25" s="32">
        <v>528205.15</v>
      </c>
      <c r="O25" s="178">
        <v>0.19074524368173287</v>
      </c>
      <c r="P25" s="210">
        <f>+I25/N25-1</f>
        <v>0.26070955574742127</v>
      </c>
    </row>
    <row r="26" spans="1:16" x14ac:dyDescent="0.25">
      <c r="A26" s="666" t="s">
        <v>68</v>
      </c>
      <c r="B26" s="662" t="s">
        <v>131</v>
      </c>
      <c r="C26" s="661">
        <v>3772412.45</v>
      </c>
      <c r="D26" s="397">
        <v>3679582.45</v>
      </c>
      <c r="E26" s="398">
        <v>2735437.07</v>
      </c>
      <c r="F26" s="130">
        <f t="shared" si="1"/>
        <v>0.74340964149342537</v>
      </c>
      <c r="G26" s="398">
        <v>2545607.87</v>
      </c>
      <c r="H26" s="280">
        <f t="shared" si="2"/>
        <v>0.69181976612590923</v>
      </c>
      <c r="I26" s="398">
        <v>1016099.88</v>
      </c>
      <c r="J26" s="153">
        <f t="shared" si="3"/>
        <v>0.27614543057731999</v>
      </c>
      <c r="K26" s="398">
        <v>1266305.74</v>
      </c>
      <c r="L26" s="412">
        <v>0.69618791316933881</v>
      </c>
      <c r="M26" s="443">
        <f>+G26/K26-1</f>
        <v>1.0102632323217615</v>
      </c>
      <c r="N26" s="398">
        <v>709761.92</v>
      </c>
      <c r="O26" s="427">
        <v>0.39021197987451534</v>
      </c>
      <c r="P26" s="443">
        <f>+I26/N26-1</f>
        <v>0.43160664353477851</v>
      </c>
    </row>
    <row r="27" spans="1:16" x14ac:dyDescent="0.25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825286839.84000015</v>
      </c>
      <c r="E27" s="203">
        <f>SUBTOTAL(9,E7:E26)</f>
        <v>571991063.6700002</v>
      </c>
      <c r="F27" s="90">
        <f t="shared" si="0"/>
        <v>0.69308152760668418</v>
      </c>
      <c r="G27" s="203">
        <f>SUBTOTAL(9,G7:G26)</f>
        <v>564471545.52999997</v>
      </c>
      <c r="H27" s="90">
        <f t="shared" si="2"/>
        <v>0.68397012805806412</v>
      </c>
      <c r="I27" s="203">
        <f>SUBTOTAL(9,I7:I26)</f>
        <v>224546882.27000004</v>
      </c>
      <c r="J27" s="170">
        <f t="shared" ref="J27" si="6">+I27/D27</f>
        <v>0.27208343987834988</v>
      </c>
      <c r="K27" s="568">
        <f>SUM(K7:K26)</f>
        <v>570537620.5</v>
      </c>
      <c r="L27" s="90">
        <v>0.68583245108674662</v>
      </c>
      <c r="M27" s="213">
        <f t="shared" ref="M27" si="7">+G27/K27-1</f>
        <v>-1.0632208555649503E-2</v>
      </c>
      <c r="N27" s="568">
        <f>SUBTOTAL(9,N7:N26)</f>
        <v>247053611.97</v>
      </c>
      <c r="O27" s="170">
        <v>0.29697846059428978</v>
      </c>
      <c r="P27" s="213">
        <f t="shared" ref="P27:P32" si="8">+I27/N27-1</f>
        <v>-9.1100589546259991E-2</v>
      </c>
    </row>
    <row r="28" spans="1:16" x14ac:dyDescent="0.25">
      <c r="A28" s="37" t="s">
        <v>69</v>
      </c>
      <c r="B28" s="38" t="s">
        <v>100</v>
      </c>
      <c r="C28" s="198">
        <v>557191.48</v>
      </c>
      <c r="D28" s="30">
        <v>560338.96</v>
      </c>
      <c r="E28" s="30">
        <v>197322.79</v>
      </c>
      <c r="F28" s="414">
        <f t="shared" si="1"/>
        <v>0.35214897425658215</v>
      </c>
      <c r="G28" s="30">
        <v>197322.79</v>
      </c>
      <c r="H28" s="48">
        <f t="shared" si="2"/>
        <v>0.35214897425658215</v>
      </c>
      <c r="I28" s="30">
        <v>197322.79</v>
      </c>
      <c r="J28" s="153">
        <f>I28/D28</f>
        <v>0.35214897425658215</v>
      </c>
      <c r="K28" s="30">
        <v>213961.21</v>
      </c>
      <c r="L28" s="48">
        <v>0.37143756095436276</v>
      </c>
      <c r="M28" s="210">
        <f>+G28/K28-1</f>
        <v>-7.7763721751246351E-2</v>
      </c>
      <c r="N28" s="30">
        <v>213961.21</v>
      </c>
      <c r="O28" s="153">
        <v>0.37143756095436276</v>
      </c>
      <c r="P28" s="210">
        <f t="shared" si="8"/>
        <v>-7.7763721751246351E-2</v>
      </c>
    </row>
    <row r="29" spans="1:16" x14ac:dyDescent="0.25">
      <c r="A29" s="39" t="s">
        <v>70</v>
      </c>
      <c r="B29" s="40" t="s">
        <v>743</v>
      </c>
      <c r="C29" s="199">
        <v>27012393.300000001</v>
      </c>
      <c r="D29" s="32">
        <v>26817631.969999999</v>
      </c>
      <c r="E29" s="32">
        <v>11655248.810000001</v>
      </c>
      <c r="F29" s="130">
        <f t="shared" si="1"/>
        <v>0.43461140875668453</v>
      </c>
      <c r="G29" s="32">
        <v>10347792.369999999</v>
      </c>
      <c r="H29" s="280">
        <f t="shared" si="2"/>
        <v>0.38585779615350579</v>
      </c>
      <c r="I29" s="32">
        <v>8264255.4400000004</v>
      </c>
      <c r="J29" s="153">
        <f t="shared" ref="J29:J32" si="9">I29/D29</f>
        <v>0.30816499567318062</v>
      </c>
      <c r="K29" s="32">
        <v>10669082.699999999</v>
      </c>
      <c r="L29" s="280">
        <v>0.44170493230115004</v>
      </c>
      <c r="M29" s="211">
        <f>+G29/K29-1</f>
        <v>-3.0114147488986998E-2</v>
      </c>
      <c r="N29" s="32">
        <v>9043999.9199999999</v>
      </c>
      <c r="O29" s="153">
        <v>0.37442575755788327</v>
      </c>
      <c r="P29" s="211">
        <f t="shared" si="8"/>
        <v>-8.6216772102757799E-2</v>
      </c>
    </row>
    <row r="30" spans="1:16" x14ac:dyDescent="0.25">
      <c r="A30" s="39" t="s">
        <v>71</v>
      </c>
      <c r="B30" s="40" t="s">
        <v>479</v>
      </c>
      <c r="C30" s="199">
        <v>243331620.75999999</v>
      </c>
      <c r="D30" s="32">
        <v>249498219.30000001</v>
      </c>
      <c r="E30" s="32">
        <v>219708790.59999999</v>
      </c>
      <c r="F30" s="130">
        <f t="shared" si="1"/>
        <v>0.88060264003655753</v>
      </c>
      <c r="G30" s="32">
        <v>206899144.33000001</v>
      </c>
      <c r="H30" s="280">
        <f t="shared" si="2"/>
        <v>0.82926100599227803</v>
      </c>
      <c r="I30" s="32">
        <v>91991957.069999993</v>
      </c>
      <c r="J30" s="153">
        <f t="shared" si="9"/>
        <v>0.36870787025292406</v>
      </c>
      <c r="K30" s="32">
        <v>190455090.41</v>
      </c>
      <c r="L30" s="280">
        <v>0.88839896995043488</v>
      </c>
      <c r="M30" s="211">
        <f>+G30/K30-1</f>
        <v>8.6340847517387243E-2</v>
      </c>
      <c r="N30" s="32">
        <v>81914148.269999996</v>
      </c>
      <c r="O30" s="153">
        <v>0.3820976629754298</v>
      </c>
      <c r="P30" s="211">
        <f t="shared" si="8"/>
        <v>0.12302891518547177</v>
      </c>
    </row>
    <row r="31" spans="1:16" x14ac:dyDescent="0.25">
      <c r="A31" s="39" t="s">
        <v>72</v>
      </c>
      <c r="B31" s="40" t="s">
        <v>101</v>
      </c>
      <c r="C31" s="199">
        <v>39641547.32</v>
      </c>
      <c r="D31" s="32">
        <v>39883935.759999998</v>
      </c>
      <c r="E31" s="32">
        <v>28843261.75</v>
      </c>
      <c r="F31" s="414">
        <f t="shared" si="1"/>
        <v>0.72317992696516176</v>
      </c>
      <c r="G31" s="32">
        <v>16704580.140000001</v>
      </c>
      <c r="H31" s="280">
        <f t="shared" si="2"/>
        <v>0.41882978250990949</v>
      </c>
      <c r="I31" s="32">
        <v>5853446.54</v>
      </c>
      <c r="J31" s="153">
        <f t="shared" si="9"/>
        <v>0.14676200902596179</v>
      </c>
      <c r="K31" s="32">
        <v>14686274.460000001</v>
      </c>
      <c r="L31" s="280">
        <v>0.42073947667547174</v>
      </c>
      <c r="M31" s="211">
        <f>+G31/K31-1</f>
        <v>0.13742802407085075</v>
      </c>
      <c r="N31" s="32">
        <v>5456169.6500000004</v>
      </c>
      <c r="O31" s="153">
        <v>0.15631098066742735</v>
      </c>
      <c r="P31" s="211">
        <f t="shared" si="8"/>
        <v>7.2812415207800463E-2</v>
      </c>
    </row>
    <row r="32" spans="1:16" x14ac:dyDescent="0.25">
      <c r="A32" s="41">
        <v>234</v>
      </c>
      <c r="B32" s="42" t="s">
        <v>431</v>
      </c>
      <c r="C32" s="199">
        <v>10668077.699999999</v>
      </c>
      <c r="D32" s="32">
        <v>10738410.75</v>
      </c>
      <c r="E32" s="32">
        <v>10598332.08</v>
      </c>
      <c r="F32" s="130">
        <f t="shared" si="1"/>
        <v>0.98695536301775377</v>
      </c>
      <c r="G32" s="32">
        <v>10556480.17</v>
      </c>
      <c r="H32" s="280">
        <f t="shared" si="2"/>
        <v>0.98305796041560434</v>
      </c>
      <c r="I32" s="32">
        <v>3939797.11</v>
      </c>
      <c r="J32" s="153">
        <f t="shared" si="9"/>
        <v>0.36688828558732489</v>
      </c>
      <c r="K32" s="32">
        <v>10543993.279999999</v>
      </c>
      <c r="L32" s="243">
        <v>0.98776445996869822</v>
      </c>
      <c r="M32" s="520">
        <f>+G32/K32-1</f>
        <v>1.1842657395928491E-3</v>
      </c>
      <c r="N32" s="32">
        <v>4017773.63</v>
      </c>
      <c r="O32" s="153">
        <v>0.37638624139121479</v>
      </c>
      <c r="P32" s="520">
        <f t="shared" si="8"/>
        <v>-1.9407892823468997E-2</v>
      </c>
    </row>
    <row r="33" spans="1:16" x14ac:dyDescent="0.25">
      <c r="A33" s="18">
        <v>2</v>
      </c>
      <c r="B33" s="518" t="s">
        <v>125</v>
      </c>
      <c r="C33" s="201">
        <f>SUBTOTAL(9,C28:C32)</f>
        <v>321210830.55999994</v>
      </c>
      <c r="D33" s="207">
        <f>SUBTOTAL(9,D28:D32)</f>
        <v>327498536.74000001</v>
      </c>
      <c r="E33" s="203">
        <f>SUBTOTAL(9,E28:E32)</f>
        <v>271002956.02999997</v>
      </c>
      <c r="F33" s="90">
        <f>E33/D33</f>
        <v>0.82749363929264919</v>
      </c>
      <c r="G33" s="203">
        <f>SUBTOTAL(9,G28:G32)</f>
        <v>244705319.79999998</v>
      </c>
      <c r="H33" s="90">
        <f t="shared" si="2"/>
        <v>0.74719515462834174</v>
      </c>
      <c r="I33" s="203">
        <f>SUBTOTAL(9,I28:I32)</f>
        <v>110246778.95</v>
      </c>
      <c r="J33" s="170">
        <f>I33/D33</f>
        <v>0.33663289017234466</v>
      </c>
      <c r="K33" s="568">
        <f>SUM(K28:K32)</f>
        <v>226568402.06</v>
      </c>
      <c r="L33" s="90">
        <v>0.76097488038677064</v>
      </c>
      <c r="M33" s="213">
        <f t="shared" ref="M33:M56" si="10">+G33/K33-1</f>
        <v>8.0050517084888861E-2</v>
      </c>
      <c r="N33" s="568">
        <f>SUBTOTAL(9,N28:N32)</f>
        <v>100646052.67999999</v>
      </c>
      <c r="O33" s="170">
        <v>0.33803971429026203</v>
      </c>
      <c r="P33" s="213">
        <f t="shared" ref="P33:P55" si="11">+I33/N33-1</f>
        <v>9.5390986674113609E-2</v>
      </c>
    </row>
    <row r="34" spans="1:16" x14ac:dyDescent="0.25">
      <c r="A34" s="37" t="s">
        <v>494</v>
      </c>
      <c r="B34" s="38" t="s">
        <v>472</v>
      </c>
      <c r="C34" s="198">
        <v>19998074.850000001</v>
      </c>
      <c r="D34" s="30">
        <v>19983074.850000001</v>
      </c>
      <c r="E34" s="30">
        <v>18153248.420000002</v>
      </c>
      <c r="F34" s="78">
        <f t="shared" si="1"/>
        <v>0.90843118770582998</v>
      </c>
      <c r="G34" s="30">
        <v>17847757.629999999</v>
      </c>
      <c r="H34" s="280">
        <f t="shared" si="2"/>
        <v>0.89314371106406565</v>
      </c>
      <c r="I34" s="30">
        <v>7268445.8799999999</v>
      </c>
      <c r="J34" s="153">
        <f>I34/D34</f>
        <v>0.363730103327917</v>
      </c>
      <c r="K34" s="30">
        <v>16193499.23</v>
      </c>
      <c r="L34" s="48">
        <v>0.97532274160430821</v>
      </c>
      <c r="M34" s="210">
        <f t="shared" si="10"/>
        <v>0.10215570930681417</v>
      </c>
      <c r="N34" s="30">
        <v>9143806.0999999996</v>
      </c>
      <c r="O34" s="153">
        <v>0.55072482528226219</v>
      </c>
      <c r="P34" s="210">
        <f t="shared" si="11"/>
        <v>-0.20509623667544741</v>
      </c>
    </row>
    <row r="35" spans="1:16" x14ac:dyDescent="0.25">
      <c r="A35" s="37" t="s">
        <v>73</v>
      </c>
      <c r="B35" s="38" t="s">
        <v>132</v>
      </c>
      <c r="C35" s="199">
        <v>2248848</v>
      </c>
      <c r="D35" s="32">
        <v>2248848</v>
      </c>
      <c r="E35" s="32">
        <v>2248848</v>
      </c>
      <c r="F35" s="78">
        <f t="shared" si="1"/>
        <v>1</v>
      </c>
      <c r="G35" s="32">
        <v>2248848</v>
      </c>
      <c r="H35" s="280">
        <f t="shared" si="2"/>
        <v>1</v>
      </c>
      <c r="I35" s="32">
        <v>1500000</v>
      </c>
      <c r="J35" s="153">
        <f t="shared" ref="J35:J45" si="12">I35/D35</f>
        <v>0.66700817485219099</v>
      </c>
      <c r="K35" s="32">
        <v>2248848</v>
      </c>
      <c r="L35" s="48">
        <v>1</v>
      </c>
      <c r="M35" s="210">
        <f t="shared" si="10"/>
        <v>0</v>
      </c>
      <c r="N35" s="32">
        <v>1500000</v>
      </c>
      <c r="O35" s="153">
        <v>0.66700817485219099</v>
      </c>
      <c r="P35" s="210">
        <f t="shared" si="11"/>
        <v>0</v>
      </c>
    </row>
    <row r="36" spans="1:16" x14ac:dyDescent="0.25">
      <c r="A36" s="37">
        <v>313</v>
      </c>
      <c r="B36" s="38" t="s">
        <v>761</v>
      </c>
      <c r="C36" s="199">
        <v>9000</v>
      </c>
      <c r="D36" s="32">
        <v>6000</v>
      </c>
      <c r="E36" s="32">
        <v>6000</v>
      </c>
      <c r="F36" s="78">
        <f t="shared" si="1"/>
        <v>1</v>
      </c>
      <c r="G36" s="32">
        <v>870</v>
      </c>
      <c r="H36" s="280">
        <f t="shared" si="2"/>
        <v>0.14499999999999999</v>
      </c>
      <c r="I36" s="32">
        <v>870</v>
      </c>
      <c r="J36" s="153">
        <f t="shared" si="12"/>
        <v>0.14499999999999999</v>
      </c>
      <c r="K36" s="32">
        <v>0</v>
      </c>
      <c r="L36" s="48" t="s">
        <v>129</v>
      </c>
      <c r="M36" s="210" t="s">
        <v>129</v>
      </c>
      <c r="N36" s="32">
        <v>0</v>
      </c>
      <c r="O36" s="153" t="s">
        <v>129</v>
      </c>
      <c r="P36" s="210" t="s">
        <v>129</v>
      </c>
    </row>
    <row r="37" spans="1:16" x14ac:dyDescent="0.25">
      <c r="A37" s="39" t="s">
        <v>74</v>
      </c>
      <c r="B37" s="40" t="s">
        <v>654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5100000</v>
      </c>
      <c r="J37" s="153">
        <f t="shared" si="12"/>
        <v>0.47775458984946917</v>
      </c>
      <c r="K37" s="32">
        <v>9331667.1099999994</v>
      </c>
      <c r="L37" s="280">
        <v>1</v>
      </c>
      <c r="M37" s="212">
        <f t="shared" si="10"/>
        <v>0.14394743877656402</v>
      </c>
      <c r="N37" s="32">
        <v>3000000</v>
      </c>
      <c r="O37" s="178">
        <v>0.32148596436591065</v>
      </c>
      <c r="P37" s="210">
        <f t="shared" si="11"/>
        <v>0.7</v>
      </c>
    </row>
    <row r="38" spans="1:16" x14ac:dyDescent="0.25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34681050</v>
      </c>
      <c r="J38" s="153">
        <f t="shared" si="12"/>
        <v>0.82227821665652867</v>
      </c>
      <c r="K38" s="32">
        <v>39307154.049999997</v>
      </c>
      <c r="L38" s="610">
        <v>1</v>
      </c>
      <c r="M38" s="211">
        <f t="shared" si="10"/>
        <v>7.3005261493868101E-2</v>
      </c>
      <c r="N38" s="32">
        <v>31780000</v>
      </c>
      <c r="O38" s="178">
        <v>0.80850422189240134</v>
      </c>
      <c r="P38" s="210">
        <f t="shared" si="11"/>
        <v>9.1285399622404118E-2</v>
      </c>
    </row>
    <row r="39" spans="1:16" x14ac:dyDescent="0.25">
      <c r="A39" s="39">
        <v>324</v>
      </c>
      <c r="B39" s="40" t="s">
        <v>474</v>
      </c>
      <c r="C39" s="199">
        <v>8163831</v>
      </c>
      <c r="D39" s="32">
        <v>8163831</v>
      </c>
      <c r="E39" s="32">
        <v>7463831</v>
      </c>
      <c r="F39" s="78">
        <f t="shared" si="1"/>
        <v>0.91425594184886971</v>
      </c>
      <c r="G39" s="32">
        <v>7463831</v>
      </c>
      <c r="H39" s="280">
        <f t="shared" si="2"/>
        <v>0.91425594184886971</v>
      </c>
      <c r="I39" s="32">
        <v>0</v>
      </c>
      <c r="J39" s="153">
        <f t="shared" si="12"/>
        <v>0</v>
      </c>
      <c r="K39" s="32">
        <v>7493661</v>
      </c>
      <c r="L39" s="280">
        <v>1</v>
      </c>
      <c r="M39" s="211">
        <f t="shared" si="10"/>
        <v>-3.9806978191300191E-3</v>
      </c>
      <c r="N39" s="32">
        <v>29830</v>
      </c>
      <c r="O39" s="178">
        <v>3.9806978191300624E-3</v>
      </c>
      <c r="P39" s="210">
        <f t="shared" si="11"/>
        <v>-1</v>
      </c>
    </row>
    <row r="40" spans="1:16" x14ac:dyDescent="0.25">
      <c r="A40" s="39" t="s">
        <v>473</v>
      </c>
      <c r="B40" s="40" t="s">
        <v>114</v>
      </c>
      <c r="C40" s="199">
        <v>17924191.510000002</v>
      </c>
      <c r="D40" s="32">
        <v>18016443.09</v>
      </c>
      <c r="E40" s="32">
        <v>17349790.43</v>
      </c>
      <c r="F40" s="78">
        <f t="shared" si="1"/>
        <v>0.96299754304055585</v>
      </c>
      <c r="G40" s="32">
        <v>17165694.809999999</v>
      </c>
      <c r="H40" s="280">
        <f t="shared" si="2"/>
        <v>0.95277934297296407</v>
      </c>
      <c r="I40" s="32">
        <v>258868.24</v>
      </c>
      <c r="J40" s="153">
        <f t="shared" si="12"/>
        <v>1.4368443244143148E-2</v>
      </c>
      <c r="K40" s="32">
        <v>14604781.029999999</v>
      </c>
      <c r="L40" s="280">
        <v>0.86131241151216587</v>
      </c>
      <c r="M40" s="211">
        <f t="shared" si="10"/>
        <v>0.17534763271969434</v>
      </c>
      <c r="N40" s="32">
        <v>897510.37</v>
      </c>
      <c r="O40" s="178">
        <v>5.2930394475204007E-2</v>
      </c>
      <c r="P40" s="210">
        <f t="shared" si="11"/>
        <v>-0.711570753215921</v>
      </c>
    </row>
    <row r="41" spans="1:16" x14ac:dyDescent="0.25">
      <c r="A41" s="39">
        <v>328</v>
      </c>
      <c r="B41" s="40" t="s">
        <v>432</v>
      </c>
      <c r="C41" s="199">
        <v>9502324.5999999996</v>
      </c>
      <c r="D41" s="32">
        <v>9602324.5999999996</v>
      </c>
      <c r="E41" s="32">
        <v>9502324.5999999996</v>
      </c>
      <c r="F41" s="78">
        <f t="shared" si="1"/>
        <v>0.98958585507513463</v>
      </c>
      <c r="G41" s="32">
        <v>9502324.5999999996</v>
      </c>
      <c r="H41" s="280">
        <f t="shared" si="2"/>
        <v>0.98958585507513463</v>
      </c>
      <c r="I41" s="32">
        <v>0</v>
      </c>
      <c r="J41" s="153">
        <f t="shared" si="12"/>
        <v>0</v>
      </c>
      <c r="K41" s="32">
        <v>9402300.0800000001</v>
      </c>
      <c r="L41" s="280">
        <v>1</v>
      </c>
      <c r="M41" s="212">
        <f t="shared" si="10"/>
        <v>1.0638303303333707E-2</v>
      </c>
      <c r="N41" s="32">
        <v>2800000</v>
      </c>
      <c r="O41" s="178">
        <v>0.29779947206279761</v>
      </c>
      <c r="P41" s="210">
        <f t="shared" si="11"/>
        <v>-1</v>
      </c>
    </row>
    <row r="42" spans="1:16" x14ac:dyDescent="0.25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15900000</v>
      </c>
      <c r="J42" s="153">
        <f t="shared" si="12"/>
        <v>0.47638748688484278</v>
      </c>
      <c r="K42" s="32">
        <v>30377801.829999998</v>
      </c>
      <c r="L42" s="610">
        <v>1</v>
      </c>
      <c r="M42" s="211">
        <f t="shared" si="10"/>
        <v>9.8703313254183689E-2</v>
      </c>
      <c r="N42" s="32">
        <v>20500000</v>
      </c>
      <c r="O42" s="178">
        <v>0.67483487168432821</v>
      </c>
      <c r="P42" s="210">
        <f t="shared" si="11"/>
        <v>-0.224390243902439</v>
      </c>
    </row>
    <row r="43" spans="1:16" x14ac:dyDescent="0.25">
      <c r="A43" s="39" t="s">
        <v>433</v>
      </c>
      <c r="B43" s="40" t="s">
        <v>502</v>
      </c>
      <c r="C43" s="199">
        <v>24741430.09</v>
      </c>
      <c r="D43" s="32">
        <v>18785272.949999999</v>
      </c>
      <c r="E43" s="32">
        <v>14546561.58</v>
      </c>
      <c r="F43" s="78">
        <f t="shared" si="1"/>
        <v>0.77435987322185806</v>
      </c>
      <c r="G43" s="32">
        <v>14546561.58</v>
      </c>
      <c r="H43" s="280">
        <f t="shared" si="2"/>
        <v>0.77435987322185806</v>
      </c>
      <c r="I43" s="32">
        <v>3366705.54</v>
      </c>
      <c r="J43" s="153">
        <f t="shared" si="12"/>
        <v>0.17922047494124912</v>
      </c>
      <c r="K43" s="32">
        <v>11017129.1</v>
      </c>
      <c r="L43" s="280">
        <v>0.87412387741974351</v>
      </c>
      <c r="M43" s="211">
        <f t="shared" si="10"/>
        <v>0.32035863862210712</v>
      </c>
      <c r="N43" s="32">
        <v>1233323.1299999999</v>
      </c>
      <c r="O43" s="178">
        <v>9.7854639509221547E-2</v>
      </c>
      <c r="P43" s="210">
        <f t="shared" si="11"/>
        <v>1.7297838320765138</v>
      </c>
    </row>
    <row r="44" spans="1:16" x14ac:dyDescent="0.25">
      <c r="A44" s="39" t="s">
        <v>76</v>
      </c>
      <c r="B44" s="40" t="s">
        <v>110</v>
      </c>
      <c r="C44" s="199">
        <v>12623127.310000001</v>
      </c>
      <c r="D44" s="32">
        <v>12927747.279999999</v>
      </c>
      <c r="E44" s="32">
        <v>12606798.43</v>
      </c>
      <c r="F44" s="78">
        <f t="shared" si="1"/>
        <v>0.9751736444835577</v>
      </c>
      <c r="G44" s="32">
        <v>12528724.9</v>
      </c>
      <c r="H44" s="280">
        <f t="shared" si="2"/>
        <v>0.96913442293095331</v>
      </c>
      <c r="I44" s="32">
        <v>7048347.5700000003</v>
      </c>
      <c r="J44" s="153">
        <f t="shared" si="12"/>
        <v>0.54521081030909513</v>
      </c>
      <c r="K44" s="32">
        <v>12410129.98</v>
      </c>
      <c r="L44" s="280">
        <v>0.98610831873393145</v>
      </c>
      <c r="M44" s="211">
        <f t="shared" si="10"/>
        <v>9.5562995867992662E-3</v>
      </c>
      <c r="N44" s="32">
        <v>30310.03</v>
      </c>
      <c r="O44" s="178">
        <v>2.4084334952368504E-3</v>
      </c>
      <c r="P44" s="210">
        <f t="shared" si="11"/>
        <v>231.54175499001488</v>
      </c>
    </row>
    <row r="45" spans="1:16" x14ac:dyDescent="0.25">
      <c r="A45" s="39" t="s">
        <v>77</v>
      </c>
      <c r="B45" s="40" t="s">
        <v>481</v>
      </c>
      <c r="C45" s="199">
        <v>65286878.990000002</v>
      </c>
      <c r="D45" s="32">
        <v>69986878.989999995</v>
      </c>
      <c r="E45" s="32">
        <v>65286878.990000002</v>
      </c>
      <c r="F45" s="414">
        <f t="shared" si="1"/>
        <v>0.93284455503907315</v>
      </c>
      <c r="G45" s="32">
        <v>65286878.990000002</v>
      </c>
      <c r="H45" s="280">
        <f t="shared" si="2"/>
        <v>0.93284455503907315</v>
      </c>
      <c r="I45" s="32">
        <v>46000000</v>
      </c>
      <c r="J45" s="153">
        <f t="shared" si="12"/>
        <v>0.65726605706439156</v>
      </c>
      <c r="K45" s="32">
        <v>66032054.990000002</v>
      </c>
      <c r="L45" s="280">
        <v>1</v>
      </c>
      <c r="M45" s="211">
        <f t="shared" si="10"/>
        <v>-1.1285064505607956E-2</v>
      </c>
      <c r="N45" s="32">
        <v>58477327.799999997</v>
      </c>
      <c r="O45" s="178">
        <v>0.88559000335300631</v>
      </c>
      <c r="P45" s="210">
        <f t="shared" si="11"/>
        <v>-0.21337034829419821</v>
      </c>
    </row>
    <row r="46" spans="1:16" ht="14.4" thickBot="1" x14ac:dyDescent="0.3">
      <c r="A46" s="7" t="s">
        <v>19</v>
      </c>
      <c r="N46" s="97"/>
      <c r="P46" s="522"/>
    </row>
    <row r="47" spans="1:16" x14ac:dyDescent="0.25">
      <c r="A47" s="757" t="s">
        <v>465</v>
      </c>
      <c r="B47" s="758"/>
      <c r="C47" s="164" t="s">
        <v>765</v>
      </c>
      <c r="D47" s="743" t="s">
        <v>780</v>
      </c>
      <c r="E47" s="744"/>
      <c r="F47" s="744"/>
      <c r="G47" s="744"/>
      <c r="H47" s="744"/>
      <c r="I47" s="744"/>
      <c r="J47" s="745"/>
      <c r="K47" s="752" t="s">
        <v>781</v>
      </c>
      <c r="L47" s="753"/>
      <c r="M47" s="753"/>
      <c r="N47" s="753"/>
      <c r="O47" s="753"/>
      <c r="P47" s="756"/>
    </row>
    <row r="48" spans="1:16" x14ac:dyDescent="0.25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543</v>
      </c>
      <c r="L48" s="88" t="s">
        <v>544</v>
      </c>
      <c r="M48" s="88" t="s">
        <v>545</v>
      </c>
      <c r="N48" s="87" t="s">
        <v>39</v>
      </c>
      <c r="O48" s="88" t="s">
        <v>40</v>
      </c>
      <c r="P48" s="611" t="s">
        <v>362</v>
      </c>
    </row>
    <row r="49" spans="1:16" x14ac:dyDescent="0.25">
      <c r="A49" s="680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13" t="s">
        <v>764</v>
      </c>
      <c r="N49" s="564" t="s">
        <v>17</v>
      </c>
      <c r="O49" s="89" t="s">
        <v>18</v>
      </c>
      <c r="P49" s="612" t="s">
        <v>764</v>
      </c>
    </row>
    <row r="50" spans="1:16" x14ac:dyDescent="0.25">
      <c r="A50" s="37" t="s">
        <v>78</v>
      </c>
      <c r="B50" s="40" t="s">
        <v>102</v>
      </c>
      <c r="C50" s="199">
        <v>17748245.370000001</v>
      </c>
      <c r="D50" s="32">
        <v>20618290.68</v>
      </c>
      <c r="E50" s="32">
        <v>17065053.18</v>
      </c>
      <c r="F50" s="414">
        <f>+E50/D50</f>
        <v>0.82766575779016027</v>
      </c>
      <c r="G50" s="30">
        <v>16794899.18</v>
      </c>
      <c r="H50" s="48">
        <f>+G50/D50</f>
        <v>0.81456311973966211</v>
      </c>
      <c r="I50" s="30">
        <v>1613252.66</v>
      </c>
      <c r="J50" s="153">
        <f t="shared" ref="J50:J80" si="13">+I50/D50</f>
        <v>7.8243763512601705E-2</v>
      </c>
      <c r="K50" s="30">
        <v>15652521.07</v>
      </c>
      <c r="L50" s="48">
        <v>0.94883103019653703</v>
      </c>
      <c r="M50" s="210">
        <f t="shared" si="10"/>
        <v>7.298364940006441E-2</v>
      </c>
      <c r="N50" s="30">
        <v>1153447.99</v>
      </c>
      <c r="O50" s="153">
        <v>6.9920189836219462E-2</v>
      </c>
      <c r="P50" s="210">
        <f t="shared" si="11"/>
        <v>0.39863493975137954</v>
      </c>
    </row>
    <row r="51" spans="1:16" x14ac:dyDescent="0.25">
      <c r="A51" s="39">
        <v>336</v>
      </c>
      <c r="B51" s="40" t="s">
        <v>434</v>
      </c>
      <c r="C51" s="199">
        <v>211322.62</v>
      </c>
      <c r="D51" s="32">
        <v>211322.62</v>
      </c>
      <c r="E51" s="32">
        <v>211322.62</v>
      </c>
      <c r="F51" s="130">
        <f t="shared" ref="F51:F78" si="14">+E51/D51</f>
        <v>1</v>
      </c>
      <c r="G51" s="32">
        <v>211322.62</v>
      </c>
      <c r="H51" s="280">
        <f t="shared" ref="H51:H56" si="15">+G51/D51</f>
        <v>1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0</v>
      </c>
      <c r="N51" s="32">
        <v>0</v>
      </c>
      <c r="O51" s="432">
        <v>0</v>
      </c>
      <c r="P51" s="211" t="s">
        <v>129</v>
      </c>
    </row>
    <row r="52" spans="1:16" x14ac:dyDescent="0.25">
      <c r="A52" s="39" t="s">
        <v>497</v>
      </c>
      <c r="B52" s="40" t="s">
        <v>483</v>
      </c>
      <c r="C52" s="199">
        <v>15245118.1</v>
      </c>
      <c r="D52" s="32">
        <v>15941014.48</v>
      </c>
      <c r="E52" s="32">
        <v>14011176.210000001</v>
      </c>
      <c r="F52" s="130">
        <f t="shared" si="14"/>
        <v>0.87893880452707551</v>
      </c>
      <c r="G52" s="32">
        <v>13447505.550000001</v>
      </c>
      <c r="H52" s="280">
        <f t="shared" si="15"/>
        <v>0.84357903111320687</v>
      </c>
      <c r="I52" s="32">
        <v>6810047.0199999996</v>
      </c>
      <c r="J52" s="178">
        <f t="shared" si="13"/>
        <v>0.42720286268756963</v>
      </c>
      <c r="K52" s="32">
        <v>12108223.390000001</v>
      </c>
      <c r="L52" s="280">
        <v>0.8151168758489189</v>
      </c>
      <c r="M52" s="211">
        <f t="shared" si="10"/>
        <v>0.11060930384767209</v>
      </c>
      <c r="N52" s="32">
        <v>5995941.1100000003</v>
      </c>
      <c r="O52" s="178">
        <v>0.40364243604835731</v>
      </c>
      <c r="P52" s="211">
        <f t="shared" si="11"/>
        <v>0.13577616842204088</v>
      </c>
    </row>
    <row r="53" spans="1:16" x14ac:dyDescent="0.25">
      <c r="A53" s="39">
        <v>338</v>
      </c>
      <c r="B53" s="40" t="s">
        <v>428</v>
      </c>
      <c r="C53" s="199">
        <v>8127724.7699999996</v>
      </c>
      <c r="D53" s="32">
        <v>8346600.8700000001</v>
      </c>
      <c r="E53" s="32">
        <v>7478732.4400000004</v>
      </c>
      <c r="F53" s="130">
        <f t="shared" si="14"/>
        <v>0.89602133329277078</v>
      </c>
      <c r="G53" s="32">
        <v>7197352.6699999999</v>
      </c>
      <c r="H53" s="280">
        <f t="shared" si="15"/>
        <v>0.86230943375635494</v>
      </c>
      <c r="I53" s="32">
        <v>1232502.96</v>
      </c>
      <c r="J53" s="178">
        <f t="shared" si="13"/>
        <v>0.14766525669508862</v>
      </c>
      <c r="K53" s="32">
        <v>5355796.25</v>
      </c>
      <c r="L53" s="280">
        <v>0.7732766427222898</v>
      </c>
      <c r="M53" s="211">
        <f t="shared" si="10"/>
        <v>0.34384362922693334</v>
      </c>
      <c r="N53" s="32">
        <v>695072.89</v>
      </c>
      <c r="O53" s="178">
        <v>0.10035550378274369</v>
      </c>
      <c r="P53" s="211">
        <f t="shared" si="11"/>
        <v>0.77319958486655982</v>
      </c>
    </row>
    <row r="54" spans="1:16" x14ac:dyDescent="0.25">
      <c r="A54" s="39" t="s">
        <v>79</v>
      </c>
      <c r="B54" s="40" t="s">
        <v>115</v>
      </c>
      <c r="C54" s="199">
        <v>14042820.529999999</v>
      </c>
      <c r="D54" s="32">
        <v>13075938.869999999</v>
      </c>
      <c r="E54" s="32">
        <v>12263893.51</v>
      </c>
      <c r="F54" s="130">
        <f t="shared" si="14"/>
        <v>0.93789773965194445</v>
      </c>
      <c r="G54" s="32">
        <v>12157076.130000001</v>
      </c>
      <c r="H54" s="280">
        <f t="shared" si="15"/>
        <v>0.92972873694690206</v>
      </c>
      <c r="I54" s="32">
        <v>4075941.84</v>
      </c>
      <c r="J54" s="392">
        <f t="shared" si="13"/>
        <v>0.31171313054631922</v>
      </c>
      <c r="K54" s="32">
        <v>12302043.84</v>
      </c>
      <c r="L54" s="412">
        <v>0.97341325734029194</v>
      </c>
      <c r="M54" s="211">
        <f t="shared" si="10"/>
        <v>-1.1784034578761426E-2</v>
      </c>
      <c r="N54" s="32">
        <v>5123764.91</v>
      </c>
      <c r="O54" s="392">
        <v>0.40542374549764143</v>
      </c>
      <c r="P54" s="211">
        <f t="shared" si="11"/>
        <v>-0.20450256567294389</v>
      </c>
    </row>
    <row r="55" spans="1:16" x14ac:dyDescent="0.25">
      <c r="A55" s="39">
        <v>342</v>
      </c>
      <c r="B55" s="40" t="s">
        <v>484</v>
      </c>
      <c r="C55" s="199">
        <v>5455050.5800000001</v>
      </c>
      <c r="D55" s="32">
        <v>6466117.6299999999</v>
      </c>
      <c r="E55" s="32">
        <v>6411530.8799999999</v>
      </c>
      <c r="F55" s="130">
        <f t="shared" si="14"/>
        <v>0.9915580332552657</v>
      </c>
      <c r="G55" s="32">
        <v>6411530.8799999999</v>
      </c>
      <c r="H55" s="280">
        <f t="shared" si="15"/>
        <v>0.9915580332552657</v>
      </c>
      <c r="I55" s="32">
        <v>1333714.18</v>
      </c>
      <c r="J55" s="392">
        <f t="shared" si="13"/>
        <v>0.20626197299785282</v>
      </c>
      <c r="K55" s="32">
        <v>6317104.3899999997</v>
      </c>
      <c r="L55" s="130">
        <v>0.99181905207445498</v>
      </c>
      <c r="M55" s="211">
        <f t="shared" si="10"/>
        <v>1.4947748868845201E-2</v>
      </c>
      <c r="N55" s="32">
        <v>77030.48</v>
      </c>
      <c r="O55" s="392">
        <v>1.2094195843174955E-2</v>
      </c>
      <c r="P55" s="211">
        <f t="shared" si="11"/>
        <v>16.314109687489939</v>
      </c>
    </row>
    <row r="56" spans="1:16" x14ac:dyDescent="0.25">
      <c r="A56" s="666">
        <v>343</v>
      </c>
      <c r="B56" s="668" t="s">
        <v>435</v>
      </c>
      <c r="C56" s="661">
        <v>6518951.2199999997</v>
      </c>
      <c r="D56" s="397">
        <v>6518951.2199999997</v>
      </c>
      <c r="E56" s="398">
        <v>6518951.2199999997</v>
      </c>
      <c r="F56" s="130">
        <f t="shared" si="14"/>
        <v>1</v>
      </c>
      <c r="G56" s="398">
        <v>6518951.2199999997</v>
      </c>
      <c r="H56" s="280">
        <f t="shared" si="15"/>
        <v>1</v>
      </c>
      <c r="I56" s="398">
        <v>0</v>
      </c>
      <c r="J56" s="427">
        <f t="shared" si="13"/>
        <v>0</v>
      </c>
      <c r="K56" s="398">
        <v>7608676.7199999997</v>
      </c>
      <c r="L56" s="414">
        <v>1</v>
      </c>
      <c r="M56" s="665">
        <f t="shared" si="10"/>
        <v>-0.14322142208192024</v>
      </c>
      <c r="N56" s="398">
        <v>0</v>
      </c>
      <c r="O56" s="178">
        <v>0</v>
      </c>
      <c r="P56" s="665" t="s">
        <v>129</v>
      </c>
    </row>
    <row r="57" spans="1:16" x14ac:dyDescent="0.25">
      <c r="A57" s="532">
        <v>3</v>
      </c>
      <c r="B57" s="2" t="s">
        <v>124</v>
      </c>
      <c r="C57" s="201">
        <f>SUM(C34:C45,C50:C56)</f>
        <v>314074850.86000001</v>
      </c>
      <c r="D57" s="207">
        <f>SUM(D34:D45,D50:D56)</f>
        <v>317126568.45000005</v>
      </c>
      <c r="E57" s="203">
        <f>SUM(E34:E45,E50:E56)</f>
        <v>297352852.8300001</v>
      </c>
      <c r="F57" s="90">
        <f>+E57/D57</f>
        <v>0.93764724375933961</v>
      </c>
      <c r="G57" s="203">
        <f>SUM(G34:G45,G50:G56)</f>
        <v>295558041.0800001</v>
      </c>
      <c r="H57" s="90">
        <f>+G57/D57</f>
        <v>0.93198763674888829</v>
      </c>
      <c r="I57" s="203">
        <f>SUM(I34:I45,I50:I56)</f>
        <v>136189745.88999999</v>
      </c>
      <c r="J57" s="170">
        <f t="shared" si="13"/>
        <v>0.42944918350943034</v>
      </c>
      <c r="K57" s="568">
        <f>SUM(K34:K56)</f>
        <v>277974714.68000007</v>
      </c>
      <c r="L57" s="90">
        <v>0.95358131797810042</v>
      </c>
      <c r="M57" s="213">
        <f t="shared" ref="M57:M64" si="16">+G57/K57-1</f>
        <v>6.3255128871133826E-2</v>
      </c>
      <c r="N57" s="568">
        <f>SUBTOTAL(9,N34:N56)</f>
        <v>142437364.80999997</v>
      </c>
      <c r="O57" s="170">
        <v>0.48862577382697375</v>
      </c>
      <c r="P57" s="213">
        <f t="shared" ref="P57:P64" si="17">+I57/N57-1</f>
        <v>-4.3862219217083998E-2</v>
      </c>
    </row>
    <row r="58" spans="1:16" x14ac:dyDescent="0.25">
      <c r="A58" s="37">
        <v>430</v>
      </c>
      <c r="B58" s="38" t="s">
        <v>744</v>
      </c>
      <c r="C58" s="198">
        <v>4583248.97</v>
      </c>
      <c r="D58" s="30">
        <v>5239143.75</v>
      </c>
      <c r="E58" s="30">
        <v>1900051.37</v>
      </c>
      <c r="F58" s="414">
        <f t="shared" si="14"/>
        <v>0.36266448501246029</v>
      </c>
      <c r="G58" s="30">
        <v>1801197.28</v>
      </c>
      <c r="H58" s="414">
        <f>G58/D58</f>
        <v>0.34379611744762684</v>
      </c>
      <c r="I58" s="30">
        <v>1773785.03</v>
      </c>
      <c r="J58" s="153">
        <f t="shared" si="13"/>
        <v>0.3385639170522855</v>
      </c>
      <c r="K58" s="30">
        <v>2250984.67</v>
      </c>
      <c r="L58" s="48">
        <v>0.47226785457814074</v>
      </c>
      <c r="M58" s="210">
        <f t="shared" si="16"/>
        <v>-0.19981806006701941</v>
      </c>
      <c r="N58" s="30">
        <v>2097383.2200000002</v>
      </c>
      <c r="O58" s="153">
        <v>0.44004150127668024</v>
      </c>
      <c r="P58" s="210">
        <f t="shared" si="17"/>
        <v>-0.15428663055671832</v>
      </c>
    </row>
    <row r="59" spans="1:16" x14ac:dyDescent="0.25">
      <c r="A59" s="37" t="s">
        <v>80</v>
      </c>
      <c r="B59" s="38" t="s">
        <v>103</v>
      </c>
      <c r="C59" s="199">
        <v>9677634.6099999994</v>
      </c>
      <c r="D59" s="32">
        <v>9524676.75</v>
      </c>
      <c r="E59" s="32">
        <v>5398231.5599999996</v>
      </c>
      <c r="F59" s="130">
        <f t="shared" si="14"/>
        <v>0.56676270509652726</v>
      </c>
      <c r="G59" s="32">
        <v>3166723.82</v>
      </c>
      <c r="H59" s="414">
        <f t="shared" ref="H59:H64" si="18">G59/D59</f>
        <v>0.33247572627595995</v>
      </c>
      <c r="I59" s="32">
        <v>1703625.81</v>
      </c>
      <c r="J59" s="153">
        <f t="shared" si="13"/>
        <v>0.17886442287923315</v>
      </c>
      <c r="K59" s="32">
        <v>1600619.33</v>
      </c>
      <c r="L59" s="48">
        <v>0.16426688687153815</v>
      </c>
      <c r="M59" s="210">
        <f t="shared" si="16"/>
        <v>0.97843657179874222</v>
      </c>
      <c r="N59" s="32">
        <v>1364355.23</v>
      </c>
      <c r="O59" s="153">
        <v>0.14001979235062806</v>
      </c>
      <c r="P59" s="210">
        <f t="shared" si="17"/>
        <v>0.24866733570552602</v>
      </c>
    </row>
    <row r="60" spans="1:16" x14ac:dyDescent="0.25">
      <c r="A60" s="39" t="s">
        <v>81</v>
      </c>
      <c r="B60" s="40" t="s">
        <v>485</v>
      </c>
      <c r="C60" s="199">
        <v>2743104</v>
      </c>
      <c r="D60" s="32">
        <v>6257715.7400000002</v>
      </c>
      <c r="E60" s="32">
        <v>2914456.83</v>
      </c>
      <c r="F60" s="130">
        <f t="shared" si="14"/>
        <v>0.46573813050830587</v>
      </c>
      <c r="G60" s="32">
        <v>2731755.71</v>
      </c>
      <c r="H60" s="414">
        <f t="shared" si="18"/>
        <v>0.43654199447544734</v>
      </c>
      <c r="I60" s="32">
        <v>1926858.57</v>
      </c>
      <c r="J60" s="178">
        <f t="shared" si="13"/>
        <v>0.30791724169944479</v>
      </c>
      <c r="K60" s="32">
        <v>3569073.82</v>
      </c>
      <c r="L60" s="280">
        <v>0.5626379743944796</v>
      </c>
      <c r="M60" s="210">
        <f t="shared" si="16"/>
        <v>-0.23460375218577012</v>
      </c>
      <c r="N60" s="32">
        <v>2989269.04</v>
      </c>
      <c r="O60" s="178">
        <v>0.47123605798260876</v>
      </c>
      <c r="P60" s="210">
        <f t="shared" si="17"/>
        <v>-0.35540811341624834</v>
      </c>
    </row>
    <row r="61" spans="1:16" x14ac:dyDescent="0.25">
      <c r="A61" s="39" t="s">
        <v>82</v>
      </c>
      <c r="B61" s="40" t="s">
        <v>104</v>
      </c>
      <c r="C61" s="199">
        <v>54474880.619999997</v>
      </c>
      <c r="D61" s="32">
        <v>59939435.920000002</v>
      </c>
      <c r="E61" s="32">
        <v>22546972.34</v>
      </c>
      <c r="F61" s="130">
        <f t="shared" si="14"/>
        <v>0.37616257133438835</v>
      </c>
      <c r="G61" s="32">
        <v>17224724.010000002</v>
      </c>
      <c r="H61" s="414">
        <f t="shared" si="18"/>
        <v>0.28736880395386943</v>
      </c>
      <c r="I61" s="32">
        <v>14247906.949999999</v>
      </c>
      <c r="J61" s="178">
        <f t="shared" si="13"/>
        <v>0.23770505563342978</v>
      </c>
      <c r="K61" s="32">
        <v>20548208.07</v>
      </c>
      <c r="L61" s="280">
        <v>0.38393006051512424</v>
      </c>
      <c r="M61" s="210">
        <f t="shared" si="16"/>
        <v>-0.16174082181171912</v>
      </c>
      <c r="N61" s="32">
        <v>16884652.219999999</v>
      </c>
      <c r="O61" s="178">
        <v>0.31547887419272302</v>
      </c>
      <c r="P61" s="210">
        <f t="shared" si="17"/>
        <v>-0.15616224934006961</v>
      </c>
    </row>
    <row r="62" spans="1:16" x14ac:dyDescent="0.25">
      <c r="A62" s="39" t="s">
        <v>83</v>
      </c>
      <c r="B62" s="40" t="s">
        <v>486</v>
      </c>
      <c r="C62" s="199">
        <v>153522597.02000001</v>
      </c>
      <c r="D62" s="32">
        <v>152448397.02000001</v>
      </c>
      <c r="E62" s="32">
        <v>126582428.90000001</v>
      </c>
      <c r="F62" s="130">
        <f t="shared" si="14"/>
        <v>0.83032968121923512</v>
      </c>
      <c r="G62" s="32">
        <v>126582428.90000001</v>
      </c>
      <c r="H62" s="414">
        <f t="shared" si="18"/>
        <v>0.83032968121923512</v>
      </c>
      <c r="I62" s="32">
        <v>59324948.740000002</v>
      </c>
      <c r="J62" s="178">
        <f>+I62/D62</f>
        <v>0.38914773719934254</v>
      </c>
      <c r="K62" s="32">
        <v>127616368</v>
      </c>
      <c r="L62" s="280">
        <v>0.85675185762727513</v>
      </c>
      <c r="M62" s="210">
        <f t="shared" si="16"/>
        <v>-8.1019317208588237E-3</v>
      </c>
      <c r="N62" s="32">
        <v>69831228.680000007</v>
      </c>
      <c r="O62" s="178">
        <v>0.46881160958902279</v>
      </c>
      <c r="P62" s="210">
        <f t="shared" si="17"/>
        <v>-0.15045245713983912</v>
      </c>
    </row>
    <row r="63" spans="1:16" x14ac:dyDescent="0.25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4">
        <f t="shared" si="18"/>
        <v>1</v>
      </c>
      <c r="I63" s="32">
        <v>6350000</v>
      </c>
      <c r="J63" s="178">
        <f t="shared" si="13"/>
        <v>0.3764194272733955</v>
      </c>
      <c r="K63" s="32">
        <v>15669752</v>
      </c>
      <c r="L63" s="280">
        <v>1</v>
      </c>
      <c r="M63" s="210">
        <f t="shared" si="16"/>
        <v>7.6563304894678552E-2</v>
      </c>
      <c r="N63" s="32">
        <v>5400000</v>
      </c>
      <c r="O63" s="178">
        <v>0.34461298430249565</v>
      </c>
      <c r="P63" s="210">
        <f t="shared" si="17"/>
        <v>0.17592592592592582</v>
      </c>
    </row>
    <row r="64" spans="1:16" x14ac:dyDescent="0.25">
      <c r="A64" s="666" t="s">
        <v>84</v>
      </c>
      <c r="B64" s="668" t="s">
        <v>487</v>
      </c>
      <c r="C64" s="661">
        <v>1548192.01</v>
      </c>
      <c r="D64" s="397">
        <v>1470667.36</v>
      </c>
      <c r="E64" s="398">
        <v>788398.12</v>
      </c>
      <c r="F64" s="130">
        <f t="shared" si="14"/>
        <v>0.53608187782178018</v>
      </c>
      <c r="G64" s="398">
        <v>385482.84</v>
      </c>
      <c r="H64" s="414">
        <f t="shared" si="18"/>
        <v>0.26211422819637475</v>
      </c>
      <c r="I64" s="398">
        <v>333855.51</v>
      </c>
      <c r="J64" s="427">
        <f>+I64/D64</f>
        <v>0.22700953259750048</v>
      </c>
      <c r="K64" s="398">
        <v>601354.5</v>
      </c>
      <c r="L64" s="412">
        <v>0.34761744893235275</v>
      </c>
      <c r="M64" s="443">
        <f t="shared" si="16"/>
        <v>-0.35897571232941627</v>
      </c>
      <c r="N64" s="398">
        <v>544747.56999999995</v>
      </c>
      <c r="O64" s="427">
        <v>0.31489539131327399</v>
      </c>
      <c r="P64" s="443">
        <f t="shared" si="17"/>
        <v>-0.38713722027250153</v>
      </c>
    </row>
    <row r="65" spans="1:16" x14ac:dyDescent="0.25">
      <c r="A65" s="532">
        <v>4</v>
      </c>
      <c r="B65" s="2" t="s">
        <v>123</v>
      </c>
      <c r="C65" s="201">
        <f>SUBTOTAL(9,C58:C64)</f>
        <v>243419137.22999999</v>
      </c>
      <c r="D65" s="207">
        <f>SUBTOTAL(9,D58:D64)</f>
        <v>251749516.54000002</v>
      </c>
      <c r="E65" s="203">
        <f>SUBTOTAL(9,E58:E64)</f>
        <v>177000019.12</v>
      </c>
      <c r="F65" s="90">
        <f t="shared" ref="F65:F80" si="19">+E65/D65</f>
        <v>0.70307987698509367</v>
      </c>
      <c r="G65" s="203">
        <f>SUBTOTAL(9,G58:G64)</f>
        <v>168761792.56</v>
      </c>
      <c r="H65" s="90">
        <f>+G65/D65</f>
        <v>0.67035597477775399</v>
      </c>
      <c r="I65" s="203">
        <f>SUBTOTAL(9,I58:I64)</f>
        <v>85660980.609999999</v>
      </c>
      <c r="J65" s="170">
        <f t="shared" si="13"/>
        <v>0.34026274126484563</v>
      </c>
      <c r="K65" s="568">
        <f>SUM(K58:K64)</f>
        <v>171856360.38999999</v>
      </c>
      <c r="L65" s="90">
        <v>0.71361869531261357</v>
      </c>
      <c r="M65" s="213">
        <f t="shared" ref="M65:M78" si="20">+G65/K65-1</f>
        <v>-1.80067110869645E-2</v>
      </c>
      <c r="N65" s="568">
        <f>SUBTOTAL(9,N58:N64)</f>
        <v>99111635.960000008</v>
      </c>
      <c r="O65" s="170">
        <v>0.41155250922088921</v>
      </c>
      <c r="P65" s="213">
        <f t="shared" ref="P65:P78" si="21">+I65/N65-1</f>
        <v>-0.13571217163067006</v>
      </c>
    </row>
    <row r="66" spans="1:16" x14ac:dyDescent="0.25">
      <c r="A66" s="37" t="s">
        <v>85</v>
      </c>
      <c r="B66" s="38" t="s">
        <v>113</v>
      </c>
      <c r="C66" s="198">
        <v>30183531.489999998</v>
      </c>
      <c r="D66" s="30">
        <v>30204212.539999999</v>
      </c>
      <c r="E66" s="30">
        <v>13819806.67</v>
      </c>
      <c r="F66" s="414">
        <f t="shared" si="14"/>
        <v>0.45754567021729747</v>
      </c>
      <c r="G66" s="30">
        <v>12418507.33</v>
      </c>
      <c r="H66" s="414">
        <f>+G66/D66</f>
        <v>0.41115150125347383</v>
      </c>
      <c r="I66" s="30">
        <v>10396116.57</v>
      </c>
      <c r="J66" s="153">
        <f t="shared" si="13"/>
        <v>0.34419425953357435</v>
      </c>
      <c r="K66" s="30">
        <v>15166076.810000001</v>
      </c>
      <c r="L66" s="48">
        <v>0.49501979543650465</v>
      </c>
      <c r="M66" s="210">
        <f t="shared" si="20"/>
        <v>-0.18116547307661968</v>
      </c>
      <c r="N66" s="30">
        <v>13482953.039999999</v>
      </c>
      <c r="O66" s="153">
        <v>0.44008274119645563</v>
      </c>
      <c r="P66" s="210">
        <f t="shared" si="21"/>
        <v>-0.22894364912806953</v>
      </c>
    </row>
    <row r="67" spans="1:16" x14ac:dyDescent="0.25">
      <c r="A67" s="39" t="s">
        <v>86</v>
      </c>
      <c r="B67" s="40" t="s">
        <v>745</v>
      </c>
      <c r="C67" s="199">
        <v>56361662.600000001</v>
      </c>
      <c r="D67" s="32">
        <v>56895550.869999997</v>
      </c>
      <c r="E67" s="32">
        <v>27544467.48</v>
      </c>
      <c r="F67" s="130">
        <f t="shared" si="14"/>
        <v>0.48412339908503643</v>
      </c>
      <c r="G67" s="32">
        <v>24037503.82</v>
      </c>
      <c r="H67" s="414">
        <f t="shared" ref="H67:H78" si="22">+G67/D67</f>
        <v>0.42248477169898613</v>
      </c>
      <c r="I67" s="32">
        <v>17422439.629999999</v>
      </c>
      <c r="J67" s="178">
        <f t="shared" si="13"/>
        <v>0.30621796192479683</v>
      </c>
      <c r="K67" s="32">
        <v>27280401.030000001</v>
      </c>
      <c r="L67" s="280">
        <v>0.46276074194489181</v>
      </c>
      <c r="M67" s="211">
        <f t="shared" si="20"/>
        <v>-0.11887278366743281</v>
      </c>
      <c r="N67" s="32">
        <v>21230422.609999999</v>
      </c>
      <c r="O67" s="178">
        <v>0.36013422632618847</v>
      </c>
      <c r="P67" s="211">
        <f t="shared" si="21"/>
        <v>-0.17936444553893882</v>
      </c>
    </row>
    <row r="68" spans="1:16" x14ac:dyDescent="0.25">
      <c r="A68" s="39" t="s">
        <v>87</v>
      </c>
      <c r="B68" s="40" t="s">
        <v>116</v>
      </c>
      <c r="C68" s="199">
        <v>7218581.6100000003</v>
      </c>
      <c r="D68" s="32">
        <v>7260705.21</v>
      </c>
      <c r="E68" s="32">
        <v>3853625.98</v>
      </c>
      <c r="F68" s="130">
        <f t="shared" si="14"/>
        <v>0.53075092136952351</v>
      </c>
      <c r="G68" s="32">
        <v>3393830.15</v>
      </c>
      <c r="H68" s="414">
        <f t="shared" si="22"/>
        <v>0.46742431373274274</v>
      </c>
      <c r="I68" s="32">
        <v>2816229.6</v>
      </c>
      <c r="J68" s="178">
        <f t="shared" si="13"/>
        <v>0.38787273667594613</v>
      </c>
      <c r="K68" s="32">
        <v>2786119.92</v>
      </c>
      <c r="L68" s="280">
        <v>0.37146032083382891</v>
      </c>
      <c r="M68" s="211">
        <f t="shared" si="20"/>
        <v>0.21812062920823605</v>
      </c>
      <c r="N68" s="32">
        <v>2664261.77</v>
      </c>
      <c r="O68" s="178">
        <v>0.3552135443866698</v>
      </c>
      <c r="P68" s="211">
        <f t="shared" si="21"/>
        <v>5.7039376427339583E-2</v>
      </c>
    </row>
    <row r="69" spans="1:16" x14ac:dyDescent="0.25">
      <c r="A69" s="39" t="s">
        <v>88</v>
      </c>
      <c r="B69" s="40" t="s">
        <v>111</v>
      </c>
      <c r="C69" s="199">
        <v>3332924.07</v>
      </c>
      <c r="D69" s="32">
        <v>2321787.4900000002</v>
      </c>
      <c r="E69" s="32">
        <v>1222885.94</v>
      </c>
      <c r="F69" s="130">
        <f t="shared" si="14"/>
        <v>0.52670020200685974</v>
      </c>
      <c r="G69" s="32">
        <v>1118017.67</v>
      </c>
      <c r="H69" s="414">
        <f t="shared" si="22"/>
        <v>0.48153316133165996</v>
      </c>
      <c r="I69" s="32">
        <v>843431.21</v>
      </c>
      <c r="J69" s="178">
        <f t="shared" si="13"/>
        <v>0.36326804827430603</v>
      </c>
      <c r="K69" s="32">
        <v>1208662.8500000001</v>
      </c>
      <c r="L69" s="280">
        <v>0.50950024376839342</v>
      </c>
      <c r="M69" s="211">
        <f t="shared" si="20"/>
        <v>-7.4996248953957845E-2</v>
      </c>
      <c r="N69" s="32">
        <v>942321.18</v>
      </c>
      <c r="O69" s="178">
        <v>0.39722646469867101</v>
      </c>
      <c r="P69" s="211">
        <f t="shared" si="21"/>
        <v>-0.10494295586139757</v>
      </c>
    </row>
    <row r="70" spans="1:16" x14ac:dyDescent="0.25">
      <c r="A70" s="39" t="s">
        <v>89</v>
      </c>
      <c r="B70" s="40" t="s">
        <v>105</v>
      </c>
      <c r="C70" s="199">
        <v>15684736.65</v>
      </c>
      <c r="D70" s="32">
        <v>16087491.08</v>
      </c>
      <c r="E70" s="32">
        <v>10023749.939999999</v>
      </c>
      <c r="F70" s="130">
        <f t="shared" si="14"/>
        <v>0.62307726482357118</v>
      </c>
      <c r="G70" s="32">
        <v>4930046.0599999996</v>
      </c>
      <c r="H70" s="414">
        <f t="shared" si="22"/>
        <v>0.30645213945939914</v>
      </c>
      <c r="I70" s="32">
        <v>2704943.19</v>
      </c>
      <c r="J70" s="178">
        <f t="shared" si="13"/>
        <v>0.16813953005778448</v>
      </c>
      <c r="K70" s="32">
        <v>4009038.88</v>
      </c>
      <c r="L70" s="280">
        <v>0.29260765545977002</v>
      </c>
      <c r="M70" s="211">
        <f t="shared" si="20"/>
        <v>0.22973266350562294</v>
      </c>
      <c r="N70" s="32">
        <v>2494410.13</v>
      </c>
      <c r="O70" s="178">
        <v>0.18205947154456137</v>
      </c>
      <c r="P70" s="211">
        <f t="shared" si="21"/>
        <v>8.4401942354203063E-2</v>
      </c>
    </row>
    <row r="71" spans="1:16" x14ac:dyDescent="0.25">
      <c r="A71" s="39" t="s">
        <v>90</v>
      </c>
      <c r="B71" s="40" t="s">
        <v>120</v>
      </c>
      <c r="C71" s="199">
        <v>39167636.100000001</v>
      </c>
      <c r="D71" s="32">
        <v>39568452.170000002</v>
      </c>
      <c r="E71" s="32">
        <v>28952946.18</v>
      </c>
      <c r="F71" s="78">
        <f t="shared" si="14"/>
        <v>0.73171793669380725</v>
      </c>
      <c r="G71" s="32">
        <v>23465764.18</v>
      </c>
      <c r="H71" s="414">
        <f t="shared" si="22"/>
        <v>0.59304225697742274</v>
      </c>
      <c r="I71" s="32">
        <v>10544513.75</v>
      </c>
      <c r="J71" s="178">
        <f t="shared" si="13"/>
        <v>0.26648790063096367</v>
      </c>
      <c r="K71" s="32">
        <v>17736093.239999998</v>
      </c>
      <c r="L71" s="280">
        <v>0.45265664164540775</v>
      </c>
      <c r="M71" s="211">
        <f t="shared" si="20"/>
        <v>0.32305146699826448</v>
      </c>
      <c r="N71" s="32">
        <v>9714270.7400000002</v>
      </c>
      <c r="O71" s="178">
        <v>0.2479254653040294</v>
      </c>
      <c r="P71" s="211">
        <f t="shared" si="21"/>
        <v>8.5466323949706879E-2</v>
      </c>
    </row>
    <row r="72" spans="1:16" x14ac:dyDescent="0.25">
      <c r="A72" s="39" t="s">
        <v>91</v>
      </c>
      <c r="B72" s="40" t="s">
        <v>488</v>
      </c>
      <c r="C72" s="199">
        <v>42228054.409999996</v>
      </c>
      <c r="D72" s="32">
        <v>47475291.5</v>
      </c>
      <c r="E72" s="32">
        <v>41504935.780000001</v>
      </c>
      <c r="F72" s="414">
        <f t="shared" si="14"/>
        <v>0.87424288442757647</v>
      </c>
      <c r="G72" s="32">
        <v>41190490.659999996</v>
      </c>
      <c r="H72" s="414">
        <f t="shared" si="22"/>
        <v>0.86761954184104373</v>
      </c>
      <c r="I72" s="32">
        <v>21813606.16</v>
      </c>
      <c r="J72" s="178">
        <f t="shared" si="13"/>
        <v>0.45947282198362066</v>
      </c>
      <c r="K72" s="32">
        <v>29191178.48</v>
      </c>
      <c r="L72" s="280">
        <v>0.74152677476979989</v>
      </c>
      <c r="M72" s="211">
        <f t="shared" si="20"/>
        <v>0.41105953253039051</v>
      </c>
      <c r="N72" s="32">
        <v>13409053.73</v>
      </c>
      <c r="O72" s="178">
        <v>0.34062250593734356</v>
      </c>
      <c r="P72" s="211">
        <f t="shared" si="21"/>
        <v>0.62678191908475545</v>
      </c>
    </row>
    <row r="73" spans="1:16" x14ac:dyDescent="0.25">
      <c r="A73" s="39" t="s">
        <v>92</v>
      </c>
      <c r="B73" s="40" t="s">
        <v>118</v>
      </c>
      <c r="C73" s="199">
        <v>44564324.299999997</v>
      </c>
      <c r="D73" s="32">
        <v>22456351</v>
      </c>
      <c r="E73" s="32">
        <v>2913.68</v>
      </c>
      <c r="F73" s="130">
        <f t="shared" si="14"/>
        <v>1.297485953973555E-4</v>
      </c>
      <c r="G73" s="32">
        <v>2913.68</v>
      </c>
      <c r="H73" s="414">
        <f t="shared" si="22"/>
        <v>1.297485953973555E-4</v>
      </c>
      <c r="I73" s="32">
        <v>2913.68</v>
      </c>
      <c r="J73" s="178">
        <f t="shared" si="13"/>
        <v>1.297485953973555E-4</v>
      </c>
      <c r="K73" s="32">
        <v>9397979.9100000001</v>
      </c>
      <c r="L73" s="280">
        <v>0.15104812156391539</v>
      </c>
      <c r="M73" s="211">
        <f t="shared" si="20"/>
        <v>-0.99968996741556138</v>
      </c>
      <c r="N73" s="32">
        <v>9397979.9100000001</v>
      </c>
      <c r="O73" s="178">
        <v>0.15104812156391539</v>
      </c>
      <c r="P73" s="211">
        <f t="shared" si="21"/>
        <v>-0.99968996741556138</v>
      </c>
    </row>
    <row r="74" spans="1:16" x14ac:dyDescent="0.25">
      <c r="A74" s="39">
        <v>931</v>
      </c>
      <c r="B74" s="40" t="s">
        <v>436</v>
      </c>
      <c r="C74" s="199">
        <v>5805408.6299999999</v>
      </c>
      <c r="D74" s="32">
        <v>5139664.4800000004</v>
      </c>
      <c r="E74" s="32">
        <v>2331677.4500000002</v>
      </c>
      <c r="F74" s="130">
        <f t="shared" si="14"/>
        <v>0.45366335858561724</v>
      </c>
      <c r="G74" s="32">
        <v>2253247.09</v>
      </c>
      <c r="H74" s="414">
        <f t="shared" si="22"/>
        <v>0.43840353757877976</v>
      </c>
      <c r="I74" s="32">
        <v>1864578.82</v>
      </c>
      <c r="J74" s="178">
        <f t="shared" si="13"/>
        <v>0.36278220635912012</v>
      </c>
      <c r="K74" s="32">
        <v>2384863.3199999998</v>
      </c>
      <c r="L74" s="280">
        <v>0.49220361343314961</v>
      </c>
      <c r="M74" s="211">
        <f t="shared" si="20"/>
        <v>-5.5188164829504727E-2</v>
      </c>
      <c r="N74" s="32">
        <v>2054537.88</v>
      </c>
      <c r="O74" s="178">
        <v>0.42402889926257192</v>
      </c>
      <c r="P74" s="211">
        <f t="shared" si="21"/>
        <v>-9.2458290425874168E-2</v>
      </c>
    </row>
    <row r="75" spans="1:16" x14ac:dyDescent="0.25">
      <c r="A75" s="39" t="s">
        <v>93</v>
      </c>
      <c r="B75" s="40" t="s">
        <v>107</v>
      </c>
      <c r="C75" s="199">
        <v>28425422.43</v>
      </c>
      <c r="D75" s="32">
        <v>28426191.640000001</v>
      </c>
      <c r="E75" s="32">
        <v>26782950.539999999</v>
      </c>
      <c r="F75" s="130">
        <f t="shared" si="14"/>
        <v>0.94219271013118377</v>
      </c>
      <c r="G75" s="32">
        <v>26647016.030000001</v>
      </c>
      <c r="H75" s="414">
        <f t="shared" si="22"/>
        <v>0.93741069389342935</v>
      </c>
      <c r="I75" s="32">
        <v>9051617.4100000001</v>
      </c>
      <c r="J75" s="178">
        <f t="shared" si="13"/>
        <v>0.3184252581081945</v>
      </c>
      <c r="K75" s="32">
        <v>27575095.280000001</v>
      </c>
      <c r="L75" s="280">
        <v>0.97240126649772274</v>
      </c>
      <c r="M75" s="211">
        <f t="shared" si="20"/>
        <v>-3.3656429491038864E-2</v>
      </c>
      <c r="N75" s="32">
        <v>13286645.59</v>
      </c>
      <c r="O75" s="178">
        <v>0.46853694857740424</v>
      </c>
      <c r="P75" s="211">
        <f t="shared" si="21"/>
        <v>-0.31874321861850763</v>
      </c>
    </row>
    <row r="76" spans="1:16" x14ac:dyDescent="0.25">
      <c r="A76" s="39" t="s">
        <v>94</v>
      </c>
      <c r="B76" s="40" t="s">
        <v>108</v>
      </c>
      <c r="C76" s="199">
        <v>68365574.019999996</v>
      </c>
      <c r="D76" s="32">
        <v>69324900.829999998</v>
      </c>
      <c r="E76" s="32">
        <v>62604304.759999998</v>
      </c>
      <c r="F76" s="130">
        <f t="shared" si="14"/>
        <v>0.90305653539295516</v>
      </c>
      <c r="G76" s="32">
        <v>61385478.969999999</v>
      </c>
      <c r="H76" s="414">
        <f t="shared" si="22"/>
        <v>0.88547517897689865</v>
      </c>
      <c r="I76" s="32">
        <v>21160042.43</v>
      </c>
      <c r="J76" s="178">
        <f t="shared" si="13"/>
        <v>0.30523004254833497</v>
      </c>
      <c r="K76" s="32">
        <v>58012745.380000003</v>
      </c>
      <c r="L76" s="280">
        <v>0.84217784714138522</v>
      </c>
      <c r="M76" s="211">
        <f t="shared" si="20"/>
        <v>5.8137803475902139E-2</v>
      </c>
      <c r="N76" s="32">
        <v>20137314.390000001</v>
      </c>
      <c r="O76" s="178">
        <v>0.29233576120371219</v>
      </c>
      <c r="P76" s="211">
        <f t="shared" si="21"/>
        <v>5.0787707843895857E-2</v>
      </c>
    </row>
    <row r="77" spans="1:16" x14ac:dyDescent="0.25">
      <c r="A77" s="39" t="s">
        <v>95</v>
      </c>
      <c r="B77" s="40" t="s">
        <v>117</v>
      </c>
      <c r="C77" s="199">
        <v>799840.54</v>
      </c>
      <c r="D77" s="32">
        <v>801333.05</v>
      </c>
      <c r="E77" s="32">
        <v>315983.57</v>
      </c>
      <c r="F77" s="130">
        <f t="shared" si="14"/>
        <v>0.39432239815891779</v>
      </c>
      <c r="G77" s="32">
        <v>315983.57</v>
      </c>
      <c r="H77" s="414">
        <f t="shared" si="22"/>
        <v>0.39432239815891779</v>
      </c>
      <c r="I77" s="32">
        <v>315983.57</v>
      </c>
      <c r="J77" s="178">
        <f t="shared" si="13"/>
        <v>0.39432239815891779</v>
      </c>
      <c r="K77" s="32">
        <v>399729.99</v>
      </c>
      <c r="L77" s="280">
        <v>0.47739224090751559</v>
      </c>
      <c r="M77" s="211">
        <f t="shared" si="20"/>
        <v>-0.20950747278181447</v>
      </c>
      <c r="N77" s="32">
        <v>399729.99</v>
      </c>
      <c r="O77" s="178">
        <v>0.47739224090751559</v>
      </c>
      <c r="P77" s="211">
        <f t="shared" si="21"/>
        <v>-0.20950747278181447</v>
      </c>
    </row>
    <row r="78" spans="1:16" x14ac:dyDescent="0.25">
      <c r="A78" s="666" t="s">
        <v>499</v>
      </c>
      <c r="B78" s="42" t="s">
        <v>119</v>
      </c>
      <c r="C78" s="200">
        <v>97687346.239999995</v>
      </c>
      <c r="D78" s="206">
        <v>97687346.239999995</v>
      </c>
      <c r="E78" s="34">
        <v>97687346.230000004</v>
      </c>
      <c r="F78" s="130">
        <f t="shared" si="14"/>
        <v>0.99999999989763266</v>
      </c>
      <c r="G78" s="34">
        <v>97687346.230000004</v>
      </c>
      <c r="H78" s="414">
        <f t="shared" si="22"/>
        <v>0.99999999989763266</v>
      </c>
      <c r="I78" s="34">
        <v>36706994.700000003</v>
      </c>
      <c r="J78" s="392">
        <f t="shared" si="13"/>
        <v>0.3757599741712464</v>
      </c>
      <c r="K78" s="34">
        <v>84274401.209999993</v>
      </c>
      <c r="L78" s="390">
        <v>0.7444128037021408</v>
      </c>
      <c r="M78" s="520">
        <f t="shared" si="20"/>
        <v>0.15915799848374879</v>
      </c>
      <c r="N78" s="34">
        <v>30467255.039999999</v>
      </c>
      <c r="O78" s="392">
        <v>0.26912341612393853</v>
      </c>
      <c r="P78" s="520">
        <f t="shared" si="21"/>
        <v>0.20480150416596254</v>
      </c>
    </row>
    <row r="79" spans="1:16" ht="13.8" thickBot="1" x14ac:dyDescent="0.3">
      <c r="A79" s="18">
        <v>9</v>
      </c>
      <c r="B79" s="2" t="s">
        <v>534</v>
      </c>
      <c r="C79" s="519">
        <f>SUBTOTAL(9,C66:C78)</f>
        <v>439825043.09000003</v>
      </c>
      <c r="D79" s="207">
        <f>SUBTOTAL(9,D66:D78)</f>
        <v>423649278.09999996</v>
      </c>
      <c r="E79" s="203">
        <f>SUBTOTAL(9,E66:E78)</f>
        <v>316647594.19999999</v>
      </c>
      <c r="F79" s="90">
        <f t="shared" si="19"/>
        <v>0.74742861741701627</v>
      </c>
      <c r="G79" s="203">
        <f>SUBTOTAL(9,G66:G78)</f>
        <v>298846145.44</v>
      </c>
      <c r="H79" s="535">
        <f>+G79/D79</f>
        <v>0.70540931116483363</v>
      </c>
      <c r="I79" s="203">
        <f>SUBTOTAL(9,I66:I78)</f>
        <v>135643410.71999997</v>
      </c>
      <c r="J79" s="170">
        <f t="shared" si="13"/>
        <v>0.32017854799219586</v>
      </c>
      <c r="K79" s="619">
        <f>SUM(K66:K78)</f>
        <v>279422386.30000001</v>
      </c>
      <c r="L79" s="90">
        <v>0.58826163133590392</v>
      </c>
      <c r="M79" s="43">
        <f>+G79/K79-1</f>
        <v>6.9513969146143495E-2</v>
      </c>
      <c r="N79" s="619">
        <f>SUM(N66:N78)</f>
        <v>139681156</v>
      </c>
      <c r="O79" s="170">
        <v>0.29406757913528303</v>
      </c>
      <c r="P79" s="43">
        <f>+I79/N79-1</f>
        <v>-2.8906871876117846E-2</v>
      </c>
    </row>
    <row r="80" spans="1:16" ht="13.8" thickBot="1" x14ac:dyDescent="0.3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2169370739.6700001</v>
      </c>
      <c r="E80" s="209">
        <f>SUM(E79,E65,E57,E33,E27,E6)</f>
        <v>1639746855.8900003</v>
      </c>
      <c r="F80" s="181">
        <f t="shared" si="19"/>
        <v>0.75586289881435165</v>
      </c>
      <c r="G80" s="209">
        <f>SUM(G79,G65,G57,G33,G27,G6)</f>
        <v>1578095214.45</v>
      </c>
      <c r="H80" s="181">
        <f>+G80/D80</f>
        <v>0.72744376311171988</v>
      </c>
      <c r="I80" s="209">
        <f>SUM(I79,I65,I57,I33,I27,I6)</f>
        <v>698040168.48000002</v>
      </c>
      <c r="J80" s="173">
        <f t="shared" si="13"/>
        <v>0.321770804646413</v>
      </c>
      <c r="K80" s="620">
        <f>K6+K27+K33+K57+K65+K79</f>
        <v>1533267405.4199998</v>
      </c>
      <c r="L80" s="181">
        <v>0.70861150342561618</v>
      </c>
      <c r="M80" s="621">
        <f>+G80/K80-1</f>
        <v>2.9236784706657692E-2</v>
      </c>
      <c r="N80" s="620">
        <f>N6+N27+N33+N57+N65+N79</f>
        <v>735837742.90999997</v>
      </c>
      <c r="O80" s="173">
        <v>0.34007315843118463</v>
      </c>
      <c r="P80" s="621">
        <f>+I80/N80-1</f>
        <v>-5.1366724246194262E-2</v>
      </c>
    </row>
    <row r="81" spans="1:19" ht="14.4" thickBot="1" x14ac:dyDescent="0.3">
      <c r="A81" s="7" t="s">
        <v>19</v>
      </c>
      <c r="N81" s="97"/>
      <c r="P81" s="522"/>
    </row>
    <row r="82" spans="1:19" ht="12.75" customHeight="1" x14ac:dyDescent="0.25">
      <c r="A82" s="757" t="s">
        <v>756</v>
      </c>
      <c r="B82" s="758"/>
      <c r="C82" s="164" t="s">
        <v>765</v>
      </c>
      <c r="D82" s="743" t="s">
        <v>780</v>
      </c>
      <c r="E82" s="744"/>
      <c r="F82" s="744"/>
      <c r="G82" s="744"/>
      <c r="H82" s="744"/>
      <c r="I82" s="744"/>
      <c r="J82" s="745"/>
      <c r="K82" s="752" t="s">
        <v>781</v>
      </c>
      <c r="L82" s="753"/>
      <c r="M82" s="753"/>
      <c r="N82" s="753"/>
      <c r="O82" s="753"/>
      <c r="P82" s="756"/>
    </row>
    <row r="83" spans="1:19" ht="12.75" customHeight="1" x14ac:dyDescent="0.25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11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13" t="s">
        <v>764</v>
      </c>
      <c r="N84" s="564" t="s">
        <v>17</v>
      </c>
      <c r="O84" s="89" t="s">
        <v>18</v>
      </c>
      <c r="P84" s="612" t="s">
        <v>764</v>
      </c>
    </row>
    <row r="85" spans="1:19" ht="14.1" customHeight="1" x14ac:dyDescent="0.25">
      <c r="A85" s="17" t="s">
        <v>546</v>
      </c>
      <c r="B85" s="13" t="s">
        <v>547</v>
      </c>
      <c r="C85" s="530">
        <v>24060000</v>
      </c>
      <c r="D85" s="516">
        <v>24060000</v>
      </c>
      <c r="E85" s="180">
        <v>5752370.04</v>
      </c>
      <c r="F85" s="78">
        <f>+E85/D85</f>
        <v>0.2390843740648379</v>
      </c>
      <c r="G85" s="180">
        <v>5752370.04</v>
      </c>
      <c r="H85" s="78">
        <f>+G85/D85</f>
        <v>0.2390843740648379</v>
      </c>
      <c r="I85" s="180">
        <v>5752370.04</v>
      </c>
      <c r="J85" s="172">
        <f>+I85/D85</f>
        <v>0.2390843740648379</v>
      </c>
      <c r="K85" s="180">
        <v>6907921.4900000002</v>
      </c>
      <c r="L85" s="78">
        <v>0.25764891912006549</v>
      </c>
      <c r="M85" s="245">
        <f t="shared" ref="M85:M150" si="23">+G85/K85-1</f>
        <v>-0.16727918110719586</v>
      </c>
      <c r="N85" s="180">
        <v>6907921.4900000002</v>
      </c>
      <c r="O85" s="78">
        <v>0.25764891912006549</v>
      </c>
      <c r="P85" s="245">
        <f>+I85/N85-1</f>
        <v>-0.16727918110719586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5752370.04</v>
      </c>
      <c r="F86" s="90">
        <f>+E86/D86</f>
        <v>0.2390843740648379</v>
      </c>
      <c r="G86" s="203">
        <f>SUBTOTAL(9,G85:G85)</f>
        <v>5752370.04</v>
      </c>
      <c r="H86" s="90">
        <f t="shared" ref="H86:H130" si="24">+G86/D86</f>
        <v>0.2390843740648379</v>
      </c>
      <c r="I86" s="203">
        <f>SUBTOTAL(9,I85:I85)</f>
        <v>5752370.04</v>
      </c>
      <c r="J86" s="170">
        <f>+I86/D86</f>
        <v>0.2390843740648379</v>
      </c>
      <c r="K86" s="568">
        <f>SUM(K85)</f>
        <v>6907921.4900000002</v>
      </c>
      <c r="L86" s="90">
        <v>0.25764891912006549</v>
      </c>
      <c r="M86" s="213">
        <f t="shared" si="23"/>
        <v>-0.16727918110719586</v>
      </c>
      <c r="N86" s="568">
        <f>SUBTOTAL(9,N85:N85)</f>
        <v>6907921.4900000002</v>
      </c>
      <c r="O86" s="90">
        <v>0.25764891912006549</v>
      </c>
      <c r="P86" s="213">
        <f t="shared" ref="P86:P121" si="25">+I86/N86-1</f>
        <v>-0.16727918110719586</v>
      </c>
    </row>
    <row r="87" spans="1:19" ht="14.1" customHeight="1" x14ac:dyDescent="0.25">
      <c r="A87" s="37" t="s">
        <v>548</v>
      </c>
      <c r="B87" s="38" t="s">
        <v>549</v>
      </c>
      <c r="C87" s="198">
        <v>8245978.9400000004</v>
      </c>
      <c r="D87" s="204">
        <v>20083888.469999999</v>
      </c>
      <c r="E87" s="30">
        <v>4444915.5</v>
      </c>
      <c r="F87" s="48">
        <f>+E87/D87</f>
        <v>0.22131747577863342</v>
      </c>
      <c r="G87" s="30">
        <v>4006080.04</v>
      </c>
      <c r="H87" s="48">
        <f>G87/D87</f>
        <v>0.19946735145358035</v>
      </c>
      <c r="I87" s="136">
        <v>3477132.36</v>
      </c>
      <c r="J87" s="153">
        <f>I87/D87</f>
        <v>0.173130435632219</v>
      </c>
      <c r="K87" s="30">
        <v>4275533.88</v>
      </c>
      <c r="L87" s="48">
        <v>0.48315540534926193</v>
      </c>
      <c r="M87" s="210">
        <f t="shared" si="23"/>
        <v>-6.3022267525570386E-2</v>
      </c>
      <c r="N87" s="30">
        <v>3919103.18</v>
      </c>
      <c r="O87" s="48">
        <v>0.44287706253387982</v>
      </c>
      <c r="P87" s="210">
        <f>+I87/N87-1</f>
        <v>-0.1127734585441561</v>
      </c>
    </row>
    <row r="88" spans="1:19" ht="14.1" customHeight="1" x14ac:dyDescent="0.25">
      <c r="A88" s="39" t="s">
        <v>550</v>
      </c>
      <c r="B88" s="40" t="s">
        <v>551</v>
      </c>
      <c r="C88" s="199">
        <v>168671029.94999999</v>
      </c>
      <c r="D88" s="205">
        <v>168477844.36000001</v>
      </c>
      <c r="E88" s="32">
        <v>73697215.069999993</v>
      </c>
      <c r="F88" s="280">
        <f>+E88/D88</f>
        <v>0.43742971279075299</v>
      </c>
      <c r="G88" s="32">
        <v>73017008.930000007</v>
      </c>
      <c r="H88" s="48">
        <f t="shared" ref="H88:H120" si="26">G88/D88</f>
        <v>0.43339235023673944</v>
      </c>
      <c r="I88" s="133">
        <v>67877351.120000005</v>
      </c>
      <c r="J88" s="178">
        <f t="shared" ref="J88:J130" si="27">I88/D88</f>
        <v>0.40288591878562424</v>
      </c>
      <c r="K88" s="32">
        <v>90163625.840000004</v>
      </c>
      <c r="L88" s="280">
        <v>0.46972223994893059</v>
      </c>
      <c r="M88" s="443">
        <f t="shared" si="23"/>
        <v>-0.19017222023022395</v>
      </c>
      <c r="N88" s="32">
        <v>85112395.709999993</v>
      </c>
      <c r="O88" s="280">
        <v>0.44340702570309304</v>
      </c>
      <c r="P88" s="443">
        <f>+I88/N88-1</f>
        <v>-0.20249746756893383</v>
      </c>
      <c r="Q88" s="53" t="s">
        <v>148</v>
      </c>
    </row>
    <row r="89" spans="1:19" ht="14.1" customHeight="1" x14ac:dyDescent="0.25">
      <c r="A89" s="39" t="s">
        <v>552</v>
      </c>
      <c r="B89" s="40" t="s">
        <v>553</v>
      </c>
      <c r="C89" s="199">
        <v>592279.81000000006</v>
      </c>
      <c r="D89" s="205">
        <v>717279.81</v>
      </c>
      <c r="E89" s="32">
        <v>497837.49</v>
      </c>
      <c r="F89" s="280">
        <f>+E89/D89</f>
        <v>0.69406315786303807</v>
      </c>
      <c r="G89" s="32">
        <v>426690.49</v>
      </c>
      <c r="H89" s="48">
        <f t="shared" si="26"/>
        <v>0.59487313604993286</v>
      </c>
      <c r="I89" s="133">
        <v>319214.37</v>
      </c>
      <c r="J89" s="178">
        <f t="shared" si="27"/>
        <v>0.44503465112171492</v>
      </c>
      <c r="K89" s="32">
        <v>383777.13</v>
      </c>
      <c r="L89" s="280">
        <v>0.58802211235860025</v>
      </c>
      <c r="M89" s="245">
        <f t="shared" si="23"/>
        <v>0.11181844004096853</v>
      </c>
      <c r="N89" s="32">
        <v>207428.56</v>
      </c>
      <c r="O89" s="280">
        <v>0.31782138767545282</v>
      </c>
      <c r="P89" s="245">
        <f>+I89/N89-1</f>
        <v>0.53891233685467421</v>
      </c>
      <c r="Q89" s="53"/>
    </row>
    <row r="90" spans="1:19" ht="14.1" customHeight="1" x14ac:dyDescent="0.25">
      <c r="A90" s="39" t="s">
        <v>554</v>
      </c>
      <c r="B90" s="40" t="s">
        <v>555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5">
      <c r="A91" s="39">
        <v>1341</v>
      </c>
      <c r="B91" s="40" t="s">
        <v>556</v>
      </c>
      <c r="C91" s="199">
        <v>14562809.07</v>
      </c>
      <c r="D91" s="205">
        <v>14666964.640000001</v>
      </c>
      <c r="E91" s="32">
        <v>12371543.300000001</v>
      </c>
      <c r="F91" s="280">
        <f t="shared" si="28"/>
        <v>0.84349717911367383</v>
      </c>
      <c r="G91" s="32">
        <v>12136947.65</v>
      </c>
      <c r="H91" s="48">
        <f t="shared" si="26"/>
        <v>0.82750234611597184</v>
      </c>
      <c r="I91" s="133">
        <v>3302179.05</v>
      </c>
      <c r="J91" s="178">
        <f t="shared" si="27"/>
        <v>0.22514399748358566</v>
      </c>
      <c r="K91" s="32">
        <v>12203673.890000001</v>
      </c>
      <c r="L91" s="280">
        <v>0.79166629530639265</v>
      </c>
      <c r="M91" s="210">
        <f t="shared" si="23"/>
        <v>-5.4677173940773649E-3</v>
      </c>
      <c r="N91" s="32">
        <v>2731030.38</v>
      </c>
      <c r="O91" s="280">
        <v>0.17716506707668256</v>
      </c>
      <c r="P91" s="210">
        <f t="shared" ref="P91:P94" si="29">+I91/N91-1</f>
        <v>0.20913303425061125</v>
      </c>
      <c r="R91" s="276"/>
    </row>
    <row r="92" spans="1:19" ht="14.1" customHeight="1" x14ac:dyDescent="0.25">
      <c r="A92" s="39" t="s">
        <v>557</v>
      </c>
      <c r="B92" s="40" t="s">
        <v>475</v>
      </c>
      <c r="C92" s="199">
        <v>431130.98</v>
      </c>
      <c r="D92" s="205">
        <v>325576.23</v>
      </c>
      <c r="E92" s="32">
        <v>125508.4</v>
      </c>
      <c r="F92" s="280">
        <f t="shared" si="28"/>
        <v>0.38549620161152426</v>
      </c>
      <c r="G92" s="32">
        <v>125508.4</v>
      </c>
      <c r="H92" s="48">
        <f t="shared" si="26"/>
        <v>0.38549620161152426</v>
      </c>
      <c r="I92" s="133">
        <v>125508.4</v>
      </c>
      <c r="J92" s="178">
        <f t="shared" si="27"/>
        <v>0.38549620161152426</v>
      </c>
      <c r="K92" s="32">
        <v>209828.3</v>
      </c>
      <c r="L92" s="280">
        <v>0.49625042082769222</v>
      </c>
      <c r="M92" s="210">
        <f t="shared" si="23"/>
        <v>-0.40185189509708652</v>
      </c>
      <c r="N92" s="32">
        <v>209828.3</v>
      </c>
      <c r="O92" s="280">
        <v>0.49625042082769222</v>
      </c>
      <c r="P92" s="210">
        <f t="shared" si="29"/>
        <v>-0.40185189509708652</v>
      </c>
      <c r="R92" s="275"/>
    </row>
    <row r="93" spans="1:19" ht="14.1" customHeight="1" x14ac:dyDescent="0.25">
      <c r="A93" s="39">
        <v>1361</v>
      </c>
      <c r="B93" s="40" t="s">
        <v>558</v>
      </c>
      <c r="C93" s="199">
        <v>40845954.75</v>
      </c>
      <c r="D93" s="205">
        <v>41707904.789999999</v>
      </c>
      <c r="E93" s="32">
        <v>18862446.030000001</v>
      </c>
      <c r="F93" s="280">
        <f t="shared" si="28"/>
        <v>0.45225110503566973</v>
      </c>
      <c r="G93" s="32">
        <v>18518687.66</v>
      </c>
      <c r="H93" s="48">
        <f t="shared" si="26"/>
        <v>0.44400906142952767</v>
      </c>
      <c r="I93" s="133">
        <v>16491695.039999999</v>
      </c>
      <c r="J93" s="178">
        <f t="shared" si="27"/>
        <v>0.39540933842243958</v>
      </c>
      <c r="K93" s="32">
        <v>21990449.300000001</v>
      </c>
      <c r="L93" s="280">
        <v>0.49125344858850661</v>
      </c>
      <c r="M93" s="211">
        <f t="shared" si="23"/>
        <v>-0.15787588478239967</v>
      </c>
      <c r="N93" s="32">
        <v>20277583.620000001</v>
      </c>
      <c r="O93" s="280">
        <v>0.45298905658861705</v>
      </c>
      <c r="P93" s="211">
        <f t="shared" si="29"/>
        <v>-0.18670314229482154</v>
      </c>
      <c r="R93" s="275"/>
    </row>
    <row r="94" spans="1:19" ht="14.1" customHeight="1" x14ac:dyDescent="0.25">
      <c r="A94" s="39" t="s">
        <v>559</v>
      </c>
      <c r="B94" s="40" t="s">
        <v>560</v>
      </c>
      <c r="C94" s="199">
        <v>27221948.489999998</v>
      </c>
      <c r="D94" s="205">
        <v>30269184.039999999</v>
      </c>
      <c r="E94" s="32">
        <v>16616631.66</v>
      </c>
      <c r="F94" s="280">
        <f t="shared" si="28"/>
        <v>0.54896199507860932</v>
      </c>
      <c r="G94" s="32">
        <v>13627672.140000001</v>
      </c>
      <c r="H94" s="48">
        <f t="shared" si="26"/>
        <v>0.45021603892563999</v>
      </c>
      <c r="I94" s="133">
        <v>9345039.7300000004</v>
      </c>
      <c r="J94" s="178">
        <f t="shared" si="27"/>
        <v>0.30873114113848443</v>
      </c>
      <c r="K94" s="32">
        <v>14482366.140000001</v>
      </c>
      <c r="L94" s="280">
        <v>0.62393353672650298</v>
      </c>
      <c r="M94" s="211">
        <f t="shared" si="23"/>
        <v>-5.9016185044469482E-2</v>
      </c>
      <c r="N94" s="32">
        <v>9862665.8100000005</v>
      </c>
      <c r="O94" s="280">
        <v>0.42490625502062196</v>
      </c>
      <c r="P94" s="211">
        <f t="shared" si="29"/>
        <v>-5.2483384307229208E-2</v>
      </c>
      <c r="R94" s="275"/>
      <c r="S94" s="275"/>
    </row>
    <row r="95" spans="1:19" ht="14.1" customHeight="1" x14ac:dyDescent="0.25">
      <c r="A95" s="39" t="s">
        <v>561</v>
      </c>
      <c r="B95" s="40" t="s">
        <v>562</v>
      </c>
      <c r="C95" s="199">
        <v>10111588.699999999</v>
      </c>
      <c r="D95" s="205">
        <v>10131540.460000001</v>
      </c>
      <c r="E95" s="32">
        <v>4525429.6100000003</v>
      </c>
      <c r="F95" s="280">
        <f t="shared" si="28"/>
        <v>0.44666747646783811</v>
      </c>
      <c r="G95" s="32">
        <v>4433731.5999999996</v>
      </c>
      <c r="H95" s="48">
        <f t="shared" si="26"/>
        <v>0.43761672941095864</v>
      </c>
      <c r="I95" s="133">
        <v>4002012.38</v>
      </c>
      <c r="J95" s="178">
        <f t="shared" si="27"/>
        <v>0.39500531985241655</v>
      </c>
      <c r="K95" s="32">
        <v>5000760.0999999996</v>
      </c>
      <c r="L95" s="280">
        <v>0.46136036575083189</v>
      </c>
      <c r="M95" s="211">
        <f t="shared" si="23"/>
        <v>-0.11338846268590252</v>
      </c>
      <c r="N95" s="32">
        <v>4749144.99</v>
      </c>
      <c r="O95" s="280">
        <v>0.43814684683437044</v>
      </c>
      <c r="P95" s="211">
        <f>+I95/N95-1</f>
        <v>-0.15731939361152258</v>
      </c>
      <c r="R95" s="275"/>
      <c r="S95" s="275"/>
    </row>
    <row r="96" spans="1:19" ht="14.1" customHeight="1" x14ac:dyDescent="0.25">
      <c r="A96" s="39" t="s">
        <v>563</v>
      </c>
      <c r="B96" s="40" t="s">
        <v>564</v>
      </c>
      <c r="C96" s="199">
        <v>768399.65</v>
      </c>
      <c r="D96" s="205">
        <v>739808.2</v>
      </c>
      <c r="E96" s="32">
        <v>248250.86</v>
      </c>
      <c r="F96" s="280">
        <f t="shared" si="28"/>
        <v>0.33556110894688651</v>
      </c>
      <c r="G96" s="32">
        <v>248250.86</v>
      </c>
      <c r="H96" s="48">
        <f t="shared" si="26"/>
        <v>0.33556110894688651</v>
      </c>
      <c r="I96" s="133">
        <v>248250.86</v>
      </c>
      <c r="J96" s="178">
        <f t="shared" si="27"/>
        <v>0.33556110894688651</v>
      </c>
      <c r="K96" s="32">
        <v>317465.36</v>
      </c>
      <c r="L96" s="280">
        <v>0.47359286955959007</v>
      </c>
      <c r="M96" s="211">
        <f>+G96/K96-1</f>
        <v>-0.21802221193518567</v>
      </c>
      <c r="N96" s="32">
        <v>317465.36</v>
      </c>
      <c r="O96" s="280">
        <v>0.47359286955959007</v>
      </c>
      <c r="P96" s="211">
        <f t="shared" ref="P96:P102" si="30">+I96/N96-1</f>
        <v>-0.21802221193518567</v>
      </c>
      <c r="R96" s="275"/>
      <c r="S96" s="275"/>
    </row>
    <row r="97" spans="1:19" ht="14.1" customHeight="1" x14ac:dyDescent="0.25">
      <c r="A97" s="39" t="s">
        <v>565</v>
      </c>
      <c r="B97" s="40" t="s">
        <v>566</v>
      </c>
      <c r="C97" s="199">
        <v>6253007.9500000002</v>
      </c>
      <c r="D97" s="205">
        <v>6253007.9500000002</v>
      </c>
      <c r="E97" s="32">
        <v>6030660.0099999998</v>
      </c>
      <c r="F97" s="280">
        <f t="shared" si="28"/>
        <v>0.96444144293787437</v>
      </c>
      <c r="G97" s="32">
        <v>5991938.8899999997</v>
      </c>
      <c r="H97" s="48">
        <f t="shared" si="26"/>
        <v>0.95824904396611221</v>
      </c>
      <c r="I97" s="133">
        <v>3293894.26</v>
      </c>
      <c r="J97" s="178">
        <f t="shared" si="27"/>
        <v>0.52676956215928039</v>
      </c>
      <c r="K97" s="32">
        <v>5905952.8200000003</v>
      </c>
      <c r="L97" s="280">
        <v>0.94142765267874762</v>
      </c>
      <c r="M97" s="211">
        <f t="shared" si="23"/>
        <v>1.4559220606845225E-2</v>
      </c>
      <c r="N97" s="32">
        <v>4181421.93</v>
      </c>
      <c r="O97" s="280">
        <v>0.66653194707020003</v>
      </c>
      <c r="P97" s="211">
        <f t="shared" si="30"/>
        <v>-0.21225499001484416</v>
      </c>
      <c r="R97" s="275"/>
      <c r="S97" s="275"/>
    </row>
    <row r="98" spans="1:19" ht="14.1" customHeight="1" x14ac:dyDescent="0.25">
      <c r="A98" s="39" t="s">
        <v>567</v>
      </c>
      <c r="B98" s="40" t="s">
        <v>568</v>
      </c>
      <c r="C98" s="199">
        <v>1408497.48</v>
      </c>
      <c r="D98" s="205">
        <v>837075.23</v>
      </c>
      <c r="E98" s="32">
        <v>754765.14</v>
      </c>
      <c r="F98" s="280">
        <f t="shared" si="28"/>
        <v>0.90166942342804723</v>
      </c>
      <c r="G98" s="32">
        <v>334595.7</v>
      </c>
      <c r="H98" s="48">
        <f t="shared" si="26"/>
        <v>0.39971998693594124</v>
      </c>
      <c r="I98" s="133">
        <v>163296.63</v>
      </c>
      <c r="J98" s="178">
        <f t="shared" si="27"/>
        <v>0.19507999298939954</v>
      </c>
      <c r="K98" s="32">
        <v>665298.66</v>
      </c>
      <c r="L98" s="280">
        <v>0.35892010869523289</v>
      </c>
      <c r="M98" s="211">
        <f t="shared" si="23"/>
        <v>-0.49707444172516446</v>
      </c>
      <c r="N98" s="32">
        <v>466406.59</v>
      </c>
      <c r="O98" s="280">
        <v>0.25162038351162908</v>
      </c>
      <c r="P98" s="211">
        <f t="shared" si="30"/>
        <v>-0.64988352758909351</v>
      </c>
      <c r="R98" s="275"/>
      <c r="S98" s="275"/>
    </row>
    <row r="99" spans="1:19" ht="14.1" customHeight="1" x14ac:dyDescent="0.25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117670</v>
      </c>
      <c r="F99" s="280">
        <f t="shared" si="28"/>
        <v>0.34142765739279662</v>
      </c>
      <c r="G99" s="32">
        <v>42953.79</v>
      </c>
      <c r="H99" s="48">
        <f t="shared" si="26"/>
        <v>0.12463339760212573</v>
      </c>
      <c r="I99" s="133">
        <v>28433.79</v>
      </c>
      <c r="J99" s="178">
        <f t="shared" si="27"/>
        <v>8.2502611629971342E-2</v>
      </c>
      <c r="K99" s="32">
        <v>206161.43</v>
      </c>
      <c r="L99" s="280">
        <v>0.48667562392888314</v>
      </c>
      <c r="M99" s="211">
        <f t="shared" si="23"/>
        <v>-0.79164972807959277</v>
      </c>
      <c r="N99" s="32">
        <v>130481.98</v>
      </c>
      <c r="O99" s="280">
        <v>0.30802269380832314</v>
      </c>
      <c r="P99" s="211">
        <f t="shared" si="30"/>
        <v>-0.78208646128760462</v>
      </c>
      <c r="R99" s="275"/>
      <c r="S99" s="275"/>
    </row>
    <row r="100" spans="1:19" ht="14.1" customHeight="1" x14ac:dyDescent="0.25">
      <c r="A100" s="39" t="s">
        <v>571</v>
      </c>
      <c r="B100" s="40" t="s">
        <v>572</v>
      </c>
      <c r="C100" s="199">
        <v>7945464.6799999997</v>
      </c>
      <c r="D100" s="205">
        <v>8008124.0800000001</v>
      </c>
      <c r="E100" s="32">
        <v>6993837.2199999997</v>
      </c>
      <c r="F100" s="280">
        <f t="shared" si="28"/>
        <v>0.87334276418953782</v>
      </c>
      <c r="G100" s="32">
        <v>6993837.2199999997</v>
      </c>
      <c r="H100" s="48">
        <f t="shared" si="26"/>
        <v>0.87334276418953782</v>
      </c>
      <c r="I100" s="133">
        <v>4005901.19</v>
      </c>
      <c r="J100" s="178">
        <f t="shared" si="27"/>
        <v>0.50022966052743778</v>
      </c>
      <c r="K100" s="32">
        <v>6891629.3200000003</v>
      </c>
      <c r="L100" s="280">
        <v>0.85225904696533827</v>
      </c>
      <c r="M100" s="211">
        <f t="shared" si="23"/>
        <v>1.4830730913426349E-2</v>
      </c>
      <c r="N100" s="32">
        <v>1060839.32</v>
      </c>
      <c r="O100" s="280">
        <v>0.13118957301182263</v>
      </c>
      <c r="P100" s="211">
        <f t="shared" si="30"/>
        <v>2.7761620581710713</v>
      </c>
      <c r="R100" s="275"/>
      <c r="S100" s="275"/>
    </row>
    <row r="101" spans="1:19" ht="14.1" customHeight="1" x14ac:dyDescent="0.25">
      <c r="A101" s="39">
        <v>1521</v>
      </c>
      <c r="B101" s="40" t="s">
        <v>573</v>
      </c>
      <c r="C101" s="199">
        <v>18338488.539999999</v>
      </c>
      <c r="D101" s="205">
        <v>18338488.539999999</v>
      </c>
      <c r="E101" s="32">
        <v>16216273.01</v>
      </c>
      <c r="F101" s="280">
        <f>+E101/D101</f>
        <v>0.88427533025030869</v>
      </c>
      <c r="G101" s="32">
        <v>16216273.01</v>
      </c>
      <c r="H101" s="48">
        <f t="shared" si="26"/>
        <v>0.88427533025030869</v>
      </c>
      <c r="I101" s="133">
        <v>4739962.26</v>
      </c>
      <c r="J101" s="178">
        <f t="shared" si="27"/>
        <v>0.25847071582050896</v>
      </c>
      <c r="K101" s="32">
        <v>8841268</v>
      </c>
      <c r="L101" s="280">
        <v>0.59522839018143758</v>
      </c>
      <c r="M101" s="211">
        <f t="shared" si="23"/>
        <v>0.83415693427684801</v>
      </c>
      <c r="N101" s="32">
        <v>7270000</v>
      </c>
      <c r="O101" s="280">
        <v>0.48944454535469928</v>
      </c>
      <c r="P101" s="211">
        <f t="shared" si="30"/>
        <v>-0.34801069325997247</v>
      </c>
      <c r="R101" s="275"/>
      <c r="S101" s="275"/>
    </row>
    <row r="102" spans="1:19" ht="14.1" customHeight="1" x14ac:dyDescent="0.25">
      <c r="A102" s="39" t="s">
        <v>574</v>
      </c>
      <c r="B102" s="40" t="s">
        <v>575</v>
      </c>
      <c r="C102" s="199">
        <v>10647962.52</v>
      </c>
      <c r="D102" s="205">
        <v>10692962.52</v>
      </c>
      <c r="E102" s="32">
        <v>10586614.789999999</v>
      </c>
      <c r="F102" s="280">
        <f>+E102/D102</f>
        <v>0.99005441852049059</v>
      </c>
      <c r="G102" s="32">
        <v>10506315.75</v>
      </c>
      <c r="H102" s="48">
        <f t="shared" si="26"/>
        <v>0.98254489626697017</v>
      </c>
      <c r="I102" s="133">
        <v>4625306.45</v>
      </c>
      <c r="J102" s="178">
        <f t="shared" si="27"/>
        <v>0.43255612664393783</v>
      </c>
      <c r="K102" s="32">
        <v>10488351.41</v>
      </c>
      <c r="L102" s="280">
        <v>0.98489917778060176</v>
      </c>
      <c r="M102" s="211">
        <f t="shared" si="23"/>
        <v>1.7127896747310967E-3</v>
      </c>
      <c r="N102" s="32">
        <v>4406764.68</v>
      </c>
      <c r="O102" s="280">
        <v>0.41381326200287905</v>
      </c>
      <c r="P102" s="211">
        <f t="shared" si="30"/>
        <v>4.959233947568098E-2</v>
      </c>
      <c r="R102" s="275"/>
      <c r="S102" s="275"/>
    </row>
    <row r="103" spans="1:19" ht="14.1" customHeight="1" x14ac:dyDescent="0.25">
      <c r="A103" s="39" t="s">
        <v>576</v>
      </c>
      <c r="B103" s="40" t="s">
        <v>577</v>
      </c>
      <c r="C103" s="199">
        <v>8492360.5399999991</v>
      </c>
      <c r="D103" s="205">
        <v>8371293.6100000003</v>
      </c>
      <c r="E103" s="32">
        <v>7629306.6100000003</v>
      </c>
      <c r="F103" s="280">
        <f>+E103/D103</f>
        <v>0.91136531167493007</v>
      </c>
      <c r="G103" s="32">
        <v>7566668.2000000002</v>
      </c>
      <c r="H103" s="48">
        <f t="shared" si="26"/>
        <v>0.903882787119206</v>
      </c>
      <c r="I103" s="133">
        <v>873746.4</v>
      </c>
      <c r="J103" s="178">
        <f t="shared" si="27"/>
        <v>0.1043741195454259</v>
      </c>
      <c r="K103" s="32">
        <v>7245901.7999999998</v>
      </c>
      <c r="L103" s="280">
        <v>0.88779747974575807</v>
      </c>
      <c r="M103" s="211">
        <f t="shared" si="23"/>
        <v>4.4268665081826031E-2</v>
      </c>
      <c r="N103" s="32">
        <v>2153818.2599999998</v>
      </c>
      <c r="O103" s="280">
        <v>0.26389460909591594</v>
      </c>
      <c r="P103" s="211">
        <f t="shared" ref="P103:P113" si="31">+I103/N103-1</f>
        <v>-0.5943267748133958</v>
      </c>
      <c r="R103" s="275"/>
    </row>
    <row r="104" spans="1:19" ht="14.1" customHeight="1" x14ac:dyDescent="0.25">
      <c r="A104" s="39" t="s">
        <v>578</v>
      </c>
      <c r="B104" s="40" t="s">
        <v>579</v>
      </c>
      <c r="C104" s="199">
        <v>7787183.1299999999</v>
      </c>
      <c r="D104" s="205">
        <v>7787183.1299999999</v>
      </c>
      <c r="E104" s="32">
        <v>6825855.3200000003</v>
      </c>
      <c r="F104" s="280">
        <f t="shared" ref="F104:F107" si="32">+E104/D104</f>
        <v>0.87654999324511851</v>
      </c>
      <c r="G104" s="32">
        <v>6654709.5899999999</v>
      </c>
      <c r="H104" s="48">
        <f t="shared" si="26"/>
        <v>0.85457211919966747</v>
      </c>
      <c r="I104" s="133">
        <v>1828093.64</v>
      </c>
      <c r="J104" s="178">
        <f t="shared" si="27"/>
        <v>0.2347567290355993</v>
      </c>
      <c r="K104" s="32">
        <v>4609502.47</v>
      </c>
      <c r="L104" s="280">
        <v>0.69910652520125161</v>
      </c>
      <c r="M104" s="211">
        <f t="shared" si="23"/>
        <v>0.44369368132695675</v>
      </c>
      <c r="N104" s="32">
        <v>1537235.7</v>
      </c>
      <c r="O104" s="280">
        <v>0.23314696447972916</v>
      </c>
      <c r="P104" s="211">
        <f t="shared" si="31"/>
        <v>0.18920842132406879</v>
      </c>
      <c r="R104" s="275"/>
    </row>
    <row r="105" spans="1:19" ht="14.1" customHeight="1" x14ac:dyDescent="0.25">
      <c r="A105" s="39" t="s">
        <v>580</v>
      </c>
      <c r="B105" s="40" t="s">
        <v>581</v>
      </c>
      <c r="C105" s="199">
        <v>13014565.800000001</v>
      </c>
      <c r="D105" s="205">
        <v>13141897.6</v>
      </c>
      <c r="E105" s="32">
        <v>9568502.25</v>
      </c>
      <c r="F105" s="280">
        <f t="shared" si="32"/>
        <v>0.72809137167527471</v>
      </c>
      <c r="G105" s="32">
        <v>9361525.3900000006</v>
      </c>
      <c r="H105" s="48">
        <f t="shared" si="26"/>
        <v>0.71234198248508651</v>
      </c>
      <c r="I105" s="133">
        <v>3826931.03</v>
      </c>
      <c r="J105" s="178">
        <f t="shared" si="27"/>
        <v>0.29120079508152613</v>
      </c>
      <c r="K105" s="32">
        <v>8969012.25</v>
      </c>
      <c r="L105" s="280">
        <v>0.70491817706641569</v>
      </c>
      <c r="M105" s="211">
        <f t="shared" si="23"/>
        <v>4.3763251633422762E-2</v>
      </c>
      <c r="N105" s="32">
        <v>3792908.92</v>
      </c>
      <c r="O105" s="280">
        <v>0.29810310958883435</v>
      </c>
      <c r="P105" s="211">
        <f t="shared" si="31"/>
        <v>8.9699253838133597E-3</v>
      </c>
      <c r="R105" s="275"/>
    </row>
    <row r="106" spans="1:19" ht="14.1" customHeight="1" x14ac:dyDescent="0.25">
      <c r="A106" s="39" t="s">
        <v>582</v>
      </c>
      <c r="B106" s="40" t="s">
        <v>583</v>
      </c>
      <c r="C106" s="199">
        <v>0</v>
      </c>
      <c r="D106" s="205">
        <v>430736.66</v>
      </c>
      <c r="E106" s="32">
        <v>133821.84</v>
      </c>
      <c r="F106" s="280">
        <f t="shared" si="32"/>
        <v>0.31068133369469875</v>
      </c>
      <c r="G106" s="32">
        <v>47941.65</v>
      </c>
      <c r="H106" s="48">
        <f t="shared" si="26"/>
        <v>0.11130153165973847</v>
      </c>
      <c r="I106" s="133">
        <v>36453.35</v>
      </c>
      <c r="J106" s="178">
        <f t="shared" si="27"/>
        <v>8.4630247167724243E-2</v>
      </c>
      <c r="K106" s="32">
        <v>532486.73</v>
      </c>
      <c r="L106" s="280">
        <v>0.35284453422211115</v>
      </c>
      <c r="M106" s="211">
        <f t="shared" si="23"/>
        <v>-0.90996648874235797</v>
      </c>
      <c r="N106" s="32">
        <v>251300.45</v>
      </c>
      <c r="O106" s="280">
        <v>0.16652056330128065</v>
      </c>
      <c r="P106" s="211">
        <f t="shared" si="31"/>
        <v>-0.85494116703730538</v>
      </c>
      <c r="R106" s="275"/>
    </row>
    <row r="107" spans="1:19" ht="14.1" customHeight="1" x14ac:dyDescent="0.25">
      <c r="A107" s="39">
        <v>1536</v>
      </c>
      <c r="B107" s="40" t="s">
        <v>768</v>
      </c>
      <c r="C107" s="199">
        <v>7068560</v>
      </c>
      <c r="D107" s="205">
        <v>6997844</v>
      </c>
      <c r="E107" s="32">
        <v>2667844</v>
      </c>
      <c r="F107" s="280">
        <f t="shared" si="32"/>
        <v>0.38123799273033238</v>
      </c>
      <c r="G107" s="32">
        <v>2667844</v>
      </c>
      <c r="H107" s="48">
        <f t="shared" si="26"/>
        <v>0.38123799273033238</v>
      </c>
      <c r="I107" s="133">
        <v>1300000</v>
      </c>
      <c r="J107" s="178">
        <f t="shared" si="27"/>
        <v>0.1857715033373136</v>
      </c>
      <c r="K107" s="32">
        <v>0</v>
      </c>
      <c r="L107" s="280">
        <v>0</v>
      </c>
      <c r="M107" s="211" t="s">
        <v>129</v>
      </c>
      <c r="N107" s="32">
        <v>0</v>
      </c>
      <c r="O107" s="280">
        <v>0</v>
      </c>
      <c r="P107" s="211" t="s">
        <v>129</v>
      </c>
      <c r="R107" s="275"/>
    </row>
    <row r="108" spans="1:19" ht="14.1" customHeight="1" x14ac:dyDescent="0.25">
      <c r="A108" s="39">
        <v>1601</v>
      </c>
      <c r="B108" s="40" t="s">
        <v>584</v>
      </c>
      <c r="C108" s="199">
        <v>18215182.399999999</v>
      </c>
      <c r="D108" s="205">
        <v>18332395.809999999</v>
      </c>
      <c r="E108" s="32">
        <v>18124807.469999999</v>
      </c>
      <c r="F108" s="280">
        <f>+E108/D108</f>
        <v>0.98867642057527672</v>
      </c>
      <c r="G108" s="32">
        <v>18124807.469999999</v>
      </c>
      <c r="H108" s="48">
        <f t="shared" si="26"/>
        <v>0.98867642057527672</v>
      </c>
      <c r="I108" s="133">
        <v>6159024.6399999997</v>
      </c>
      <c r="J108" s="178">
        <f t="shared" si="27"/>
        <v>0.33596397894924135</v>
      </c>
      <c r="K108" s="32">
        <v>19349633.260000002</v>
      </c>
      <c r="L108" s="280">
        <v>0.99392772157766229</v>
      </c>
      <c r="M108" s="211">
        <f t="shared" si="23"/>
        <v>-6.329969015650494E-2</v>
      </c>
      <c r="N108" s="32">
        <v>7616287.21</v>
      </c>
      <c r="O108" s="280">
        <v>0.39122390030850585</v>
      </c>
      <c r="P108" s="211">
        <f t="shared" si="31"/>
        <v>-0.19133503370075777</v>
      </c>
      <c r="R108" s="275"/>
    </row>
    <row r="109" spans="1:19" ht="14.1" customHeight="1" x14ac:dyDescent="0.25">
      <c r="A109" s="39" t="s">
        <v>585</v>
      </c>
      <c r="B109" s="40" t="s">
        <v>586</v>
      </c>
      <c r="C109" s="199">
        <v>8305266.9900000002</v>
      </c>
      <c r="D109" s="205">
        <v>7703912.6399999997</v>
      </c>
      <c r="E109" s="32">
        <v>6341788.7300000004</v>
      </c>
      <c r="F109" s="280">
        <f>+E109/D109</f>
        <v>0.82319063394779102</v>
      </c>
      <c r="G109" s="32">
        <v>6341788.7300000004</v>
      </c>
      <c r="H109" s="48">
        <f t="shared" si="26"/>
        <v>0.82319063394779102</v>
      </c>
      <c r="I109" s="133">
        <v>1682999.29</v>
      </c>
      <c r="J109" s="178">
        <f t="shared" si="27"/>
        <v>0.21846032901016907</v>
      </c>
      <c r="K109" s="32">
        <v>6140658.3200000003</v>
      </c>
      <c r="L109" s="280">
        <v>0.99583507764852397</v>
      </c>
      <c r="M109" s="211">
        <f t="shared" si="23"/>
        <v>3.2753883951647689E-2</v>
      </c>
      <c r="N109" s="32">
        <v>1142999.8500000001</v>
      </c>
      <c r="O109" s="280">
        <v>0.18536112661891296</v>
      </c>
      <c r="P109" s="211">
        <f t="shared" si="31"/>
        <v>0.47244051694319977</v>
      </c>
    </row>
    <row r="110" spans="1:19" ht="14.1" customHeight="1" x14ac:dyDescent="0.25">
      <c r="A110" s="39" t="s">
        <v>587</v>
      </c>
      <c r="B110" s="40" t="s">
        <v>588</v>
      </c>
      <c r="C110" s="199">
        <v>98538647.590000004</v>
      </c>
      <c r="D110" s="205">
        <v>94699607.700000003</v>
      </c>
      <c r="E110" s="32">
        <v>87650000</v>
      </c>
      <c r="F110" s="280">
        <f>+E110/D110</f>
        <v>0.92555821643599057</v>
      </c>
      <c r="G110" s="32">
        <v>87650000</v>
      </c>
      <c r="H110" s="48">
        <f t="shared" si="26"/>
        <v>0.92555821643599057</v>
      </c>
      <c r="I110" s="133">
        <v>18673744.879999999</v>
      </c>
      <c r="J110" s="178">
        <f t="shared" si="27"/>
        <v>0.1971892527702625</v>
      </c>
      <c r="K110" s="32">
        <v>85241375.739999995</v>
      </c>
      <c r="L110" s="280">
        <v>1</v>
      </c>
      <c r="M110" s="211">
        <f t="shared" si="23"/>
        <v>2.8256515560550088E-2</v>
      </c>
      <c r="N110" s="32">
        <v>16556350.6</v>
      </c>
      <c r="O110" s="280">
        <v>0.19422904025504645</v>
      </c>
      <c r="P110" s="211">
        <f t="shared" si="31"/>
        <v>0.12789015714610441</v>
      </c>
    </row>
    <row r="111" spans="1:19" ht="14.1" customHeight="1" x14ac:dyDescent="0.25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ref="F111:F112" si="33">+E111/D111</f>
        <v>0.99614037707759551</v>
      </c>
      <c r="G111" s="32">
        <v>4767846.51</v>
      </c>
      <c r="H111" s="48">
        <f t="shared" si="26"/>
        <v>0.99614037707759551</v>
      </c>
      <c r="I111" s="133">
        <v>174118.38</v>
      </c>
      <c r="J111" s="178">
        <f t="shared" si="27"/>
        <v>3.6378341531246167E-2</v>
      </c>
      <c r="K111" s="32">
        <v>4199919.66</v>
      </c>
      <c r="L111" s="280">
        <v>0.89451380292828409</v>
      </c>
      <c r="M111" s="211">
        <f t="shared" si="23"/>
        <v>0.13522326519931571</v>
      </c>
      <c r="N111" s="32">
        <v>89400</v>
      </c>
      <c r="O111" s="280">
        <v>1.9040729455712637E-2</v>
      </c>
      <c r="P111" s="211" t="s">
        <v>129</v>
      </c>
    </row>
    <row r="112" spans="1:19" ht="14.1" customHeight="1" x14ac:dyDescent="0.25">
      <c r="A112" s="39" t="s">
        <v>591</v>
      </c>
      <c r="B112" s="40" t="s">
        <v>592</v>
      </c>
      <c r="C112" s="199">
        <v>452333.1</v>
      </c>
      <c r="D112" s="205">
        <v>797822.68</v>
      </c>
      <c r="E112" s="32">
        <v>562649.39</v>
      </c>
      <c r="F112" s="280">
        <f t="shared" si="33"/>
        <v>0.70523112980443226</v>
      </c>
      <c r="G112" s="32">
        <v>562649.39</v>
      </c>
      <c r="H112" s="48">
        <f t="shared" si="26"/>
        <v>0.70523112980443226</v>
      </c>
      <c r="I112" s="133">
        <v>562649.39</v>
      </c>
      <c r="J112" s="178">
        <f t="shared" si="27"/>
        <v>0.70523112980443226</v>
      </c>
      <c r="K112" s="32">
        <v>3940827.38</v>
      </c>
      <c r="L112" s="280">
        <v>0.43966893872967394</v>
      </c>
      <c r="M112" s="211">
        <f t="shared" si="23"/>
        <v>-0.8572255682003509</v>
      </c>
      <c r="N112" s="32">
        <v>3940827.38</v>
      </c>
      <c r="O112" s="280">
        <v>0.43966893872967394</v>
      </c>
      <c r="P112" s="211">
        <f t="shared" si="31"/>
        <v>-0.8572255682003509</v>
      </c>
    </row>
    <row r="113" spans="1:16" ht="14.1" customHeight="1" x14ac:dyDescent="0.25">
      <c r="A113" s="39" t="s">
        <v>593</v>
      </c>
      <c r="B113" s="40" t="s">
        <v>98</v>
      </c>
      <c r="C113" s="199">
        <v>171073344.52000001</v>
      </c>
      <c r="D113" s="205">
        <v>174535316.71000001</v>
      </c>
      <c r="E113" s="32">
        <v>173882510.59999999</v>
      </c>
      <c r="F113" s="280">
        <f t="shared" ref="F113:F119" si="34">+E113/D113</f>
        <v>0.99625974775589576</v>
      </c>
      <c r="G113" s="32">
        <v>173881500.36000001</v>
      </c>
      <c r="H113" s="48">
        <f t="shared" si="26"/>
        <v>0.99625395958637786</v>
      </c>
      <c r="I113" s="133">
        <v>43678742.119999997</v>
      </c>
      <c r="J113" s="178">
        <f t="shared" si="27"/>
        <v>0.25025732867906969</v>
      </c>
      <c r="K113" s="32">
        <v>174670313.84999999</v>
      </c>
      <c r="L113" s="280">
        <v>0.98684683288162689</v>
      </c>
      <c r="M113" s="211">
        <f t="shared" si="23"/>
        <v>-4.5160134691083487E-3</v>
      </c>
      <c r="N113" s="32">
        <v>41416009.020000003</v>
      </c>
      <c r="O113" s="280">
        <v>0.23399086216265991</v>
      </c>
      <c r="P113" s="211">
        <f t="shared" si="31"/>
        <v>5.4634262294739999E-2</v>
      </c>
    </row>
    <row r="114" spans="1:16" ht="14.1" customHeight="1" x14ac:dyDescent="0.25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5">
      <c r="A115" s="39" t="s">
        <v>596</v>
      </c>
      <c r="B115" s="40" t="s">
        <v>597</v>
      </c>
      <c r="C115" s="199">
        <v>29617801.809999999</v>
      </c>
      <c r="D115" s="205">
        <v>30255066.960000001</v>
      </c>
      <c r="E115" s="32">
        <v>24345016.91</v>
      </c>
      <c r="F115" s="280">
        <f t="shared" si="34"/>
        <v>0.80465916476689225</v>
      </c>
      <c r="G115" s="32">
        <v>24319668.629999999</v>
      </c>
      <c r="H115" s="48">
        <f t="shared" si="26"/>
        <v>0.80382134543456318</v>
      </c>
      <c r="I115" s="133">
        <v>6154716.2400000002</v>
      </c>
      <c r="J115" s="178">
        <f t="shared" si="27"/>
        <v>0.20342761918646898</v>
      </c>
      <c r="K115" s="32">
        <v>22060769.489999998</v>
      </c>
      <c r="L115" s="280">
        <v>0.71863001851380759</v>
      </c>
      <c r="M115" s="211">
        <f t="shared" si="23"/>
        <v>0.10239439476596424</v>
      </c>
      <c r="N115" s="32">
        <v>6511978.2000000002</v>
      </c>
      <c r="O115" s="280">
        <v>0.21212782339930572</v>
      </c>
      <c r="P115" s="211">
        <f t="shared" ref="P115:P120" si="35">+I115/N115-1</f>
        <v>-5.4862278255169872E-2</v>
      </c>
    </row>
    <row r="116" spans="1:16" ht="14.1" customHeight="1" x14ac:dyDescent="0.25">
      <c r="A116" s="39" t="s">
        <v>598</v>
      </c>
      <c r="B116" s="40" t="s">
        <v>599</v>
      </c>
      <c r="C116" s="199">
        <v>1946253.38</v>
      </c>
      <c r="D116" s="205">
        <v>2328435.69</v>
      </c>
      <c r="E116" s="32">
        <v>2299571.59</v>
      </c>
      <c r="F116" s="280">
        <f t="shared" si="34"/>
        <v>0.98760365161727959</v>
      </c>
      <c r="G116" s="32">
        <v>1596725.37</v>
      </c>
      <c r="H116" s="48">
        <f t="shared" si="26"/>
        <v>0.68575025578653626</v>
      </c>
      <c r="I116" s="133">
        <v>846837.06</v>
      </c>
      <c r="J116" s="178">
        <f t="shared" si="27"/>
        <v>0.3636935577121308</v>
      </c>
      <c r="K116" s="32">
        <v>906294.56</v>
      </c>
      <c r="L116" s="280">
        <v>0.50938599492494951</v>
      </c>
      <c r="M116" s="211">
        <f t="shared" si="23"/>
        <v>0.76181722860611667</v>
      </c>
      <c r="N116" s="32">
        <v>399942.58</v>
      </c>
      <c r="O116" s="280">
        <v>0.22478911163954379</v>
      </c>
      <c r="P116" s="211">
        <f t="shared" si="35"/>
        <v>1.1173966022822577</v>
      </c>
    </row>
    <row r="117" spans="1:16" ht="14.1" customHeight="1" x14ac:dyDescent="0.25">
      <c r="A117" s="39" t="s">
        <v>600</v>
      </c>
      <c r="B117" s="40" t="s">
        <v>601</v>
      </c>
      <c r="C117" s="199">
        <v>48802097.030000001</v>
      </c>
      <c r="D117" s="205">
        <v>48802097.030000001</v>
      </c>
      <c r="E117" s="32">
        <v>48748731.82</v>
      </c>
      <c r="F117" s="280">
        <f t="shared" si="34"/>
        <v>0.99890649760465833</v>
      </c>
      <c r="G117" s="32">
        <v>48748731.82</v>
      </c>
      <c r="H117" s="48">
        <f t="shared" si="26"/>
        <v>0.99890649760465833</v>
      </c>
      <c r="I117" s="133">
        <v>15021634.800000001</v>
      </c>
      <c r="J117" s="178">
        <f t="shared" si="27"/>
        <v>0.30780715817940746</v>
      </c>
      <c r="K117" s="32">
        <v>47871390.060000002</v>
      </c>
      <c r="L117" s="280">
        <v>0.99937712659560163</v>
      </c>
      <c r="M117" s="211">
        <f t="shared" si="23"/>
        <v>1.8327058372451077E-2</v>
      </c>
      <c r="N117" s="32">
        <v>15504026.32</v>
      </c>
      <c r="O117" s="280">
        <v>0.32366658363010109</v>
      </c>
      <c r="P117" s="211">
        <f t="shared" si="35"/>
        <v>-3.111395130810124E-2</v>
      </c>
    </row>
    <row r="118" spans="1:16" ht="14.1" customHeight="1" x14ac:dyDescent="0.25">
      <c r="A118" s="41">
        <v>1721</v>
      </c>
      <c r="B118" s="42" t="s">
        <v>602</v>
      </c>
      <c r="C118" s="199">
        <v>1270749.54</v>
      </c>
      <c r="D118" s="205">
        <v>1368492.05</v>
      </c>
      <c r="E118" s="32">
        <v>1188588.8500000001</v>
      </c>
      <c r="F118" s="280">
        <f t="shared" si="34"/>
        <v>0.86853909746863345</v>
      </c>
      <c r="G118" s="32">
        <v>817651.55</v>
      </c>
      <c r="H118" s="48">
        <f t="shared" si="26"/>
        <v>0.59748359517324201</v>
      </c>
      <c r="I118" s="133">
        <v>119616.85</v>
      </c>
      <c r="J118" s="178">
        <f t="shared" si="27"/>
        <v>8.74077785106607E-2</v>
      </c>
      <c r="K118" s="32">
        <v>708871.44</v>
      </c>
      <c r="L118" s="390">
        <v>0.58465417660649044</v>
      </c>
      <c r="M118" s="211">
        <f t="shared" si="23"/>
        <v>0.15345534304499564</v>
      </c>
      <c r="N118" s="32">
        <v>160443.44</v>
      </c>
      <c r="O118" s="390">
        <v>0.13232854649231299</v>
      </c>
      <c r="P118" s="211">
        <f t="shared" si="35"/>
        <v>-0.25446094897990212</v>
      </c>
    </row>
    <row r="119" spans="1:16" ht="14.1" customHeight="1" x14ac:dyDescent="0.25">
      <c r="A119" s="41" t="s">
        <v>603</v>
      </c>
      <c r="B119" s="42" t="s">
        <v>604</v>
      </c>
      <c r="C119" s="200">
        <v>2576457.23</v>
      </c>
      <c r="D119" s="206">
        <v>2961455.81</v>
      </c>
      <c r="E119" s="34">
        <v>2429186.62</v>
      </c>
      <c r="F119" s="280">
        <f t="shared" si="34"/>
        <v>0.82026772501461032</v>
      </c>
      <c r="G119" s="34">
        <v>2189386.87</v>
      </c>
      <c r="H119" s="48">
        <f t="shared" si="26"/>
        <v>0.73929412102218739</v>
      </c>
      <c r="I119" s="137">
        <v>546296.43000000005</v>
      </c>
      <c r="J119" s="178">
        <f t="shared" si="27"/>
        <v>0.18446887782532875</v>
      </c>
      <c r="K119" s="34">
        <v>798216.17</v>
      </c>
      <c r="L119" s="390">
        <v>0.51276082765989406</v>
      </c>
      <c r="M119" s="211">
        <f t="shared" si="23"/>
        <v>1.7428495591613986</v>
      </c>
      <c r="N119" s="34">
        <v>367761.71</v>
      </c>
      <c r="O119" s="390">
        <v>0.23624402246977524</v>
      </c>
      <c r="P119" s="211">
        <f t="shared" si="35"/>
        <v>0.48546304616649727</v>
      </c>
    </row>
    <row r="120" spans="1:16" ht="14.1" customHeight="1" x14ac:dyDescent="0.25">
      <c r="A120" s="666" t="s">
        <v>605</v>
      </c>
      <c r="B120" s="662" t="s">
        <v>606</v>
      </c>
      <c r="C120" s="661">
        <v>3772412.45</v>
      </c>
      <c r="D120" s="397">
        <v>3679582.45</v>
      </c>
      <c r="E120" s="398">
        <v>2735437.07</v>
      </c>
      <c r="F120" s="412">
        <f>+E120/D120</f>
        <v>0.74340964149342537</v>
      </c>
      <c r="G120" s="398">
        <v>2545607.87</v>
      </c>
      <c r="H120" s="48">
        <f t="shared" si="26"/>
        <v>0.69181976612590923</v>
      </c>
      <c r="I120" s="237">
        <v>1016099.88</v>
      </c>
      <c r="J120" s="427">
        <f t="shared" si="27"/>
        <v>0.27614543057731999</v>
      </c>
      <c r="K120" s="398">
        <v>1266305.74</v>
      </c>
      <c r="L120" s="412">
        <v>0.69618791316933881</v>
      </c>
      <c r="M120" s="211">
        <f t="shared" si="23"/>
        <v>1.0102632323217615</v>
      </c>
      <c r="N120" s="398">
        <v>709761.92</v>
      </c>
      <c r="O120" s="412">
        <v>0.39021197987451534</v>
      </c>
      <c r="P120" s="211">
        <f t="shared" si="35"/>
        <v>0.43160664353477851</v>
      </c>
    </row>
    <row r="121" spans="1:16" ht="14.1" customHeight="1" x14ac:dyDescent="0.25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825286839.84000003</v>
      </c>
      <c r="E121" s="203">
        <f>SUM(E87:E120)</f>
        <v>571991063.67000008</v>
      </c>
      <c r="F121" s="90">
        <f t="shared" ref="F121" si="36">+E121/D121</f>
        <v>0.69308152760668407</v>
      </c>
      <c r="G121" s="203">
        <f>SUM(G87:G120)</f>
        <v>564471545.52999997</v>
      </c>
      <c r="H121" s="90">
        <f t="shared" si="24"/>
        <v>0.68397012805806423</v>
      </c>
      <c r="I121" s="203">
        <f>SUM(I87:I120)</f>
        <v>224546882.27000001</v>
      </c>
      <c r="J121" s="170">
        <f t="shared" ref="J121" si="37">+I121/D121</f>
        <v>0.27208343987834988</v>
      </c>
      <c r="K121" s="568">
        <f>SUM(K87:K120)</f>
        <v>570537620.5</v>
      </c>
      <c r="L121" s="90">
        <v>0.68583245108674662</v>
      </c>
      <c r="M121" s="213">
        <f t="shared" si="23"/>
        <v>-1.0632208555649503E-2</v>
      </c>
      <c r="N121" s="568">
        <f>SUM(N87:N120)</f>
        <v>247053611.96999997</v>
      </c>
      <c r="O121" s="90">
        <v>0.29697846059428978</v>
      </c>
      <c r="P121" s="213">
        <f t="shared" si="25"/>
        <v>-9.1100589546259991E-2</v>
      </c>
    </row>
    <row r="122" spans="1:16" ht="14.1" customHeight="1" x14ac:dyDescent="0.25">
      <c r="A122" s="37" t="s">
        <v>607</v>
      </c>
      <c r="B122" s="38" t="s">
        <v>100</v>
      </c>
      <c r="C122" s="198">
        <v>557191.48</v>
      </c>
      <c r="D122" s="204">
        <v>560338.96</v>
      </c>
      <c r="E122" s="30">
        <v>197322.79</v>
      </c>
      <c r="F122" s="48">
        <f>+E122/D122</f>
        <v>0.35214897425658215</v>
      </c>
      <c r="G122" s="30">
        <v>197322.79</v>
      </c>
      <c r="H122" s="48">
        <f t="shared" si="24"/>
        <v>0.35214897425658215</v>
      </c>
      <c r="I122" s="30">
        <v>197322.79</v>
      </c>
      <c r="J122" s="153">
        <f t="shared" si="27"/>
        <v>0.35214897425658215</v>
      </c>
      <c r="K122" s="30">
        <v>213961.21</v>
      </c>
      <c r="L122" s="48">
        <v>0.37143756095436276</v>
      </c>
      <c r="M122" s="210">
        <f t="shared" si="23"/>
        <v>-7.7763721751246351E-2</v>
      </c>
      <c r="N122" s="30">
        <v>213961.21</v>
      </c>
      <c r="O122" s="48">
        <v>0.37143756095436276</v>
      </c>
      <c r="P122" s="210">
        <f t="shared" ref="P122:P148" si="38">+I122/N122-1</f>
        <v>-7.7763721751246351E-2</v>
      </c>
    </row>
    <row r="123" spans="1:16" ht="14.1" customHeight="1" x14ac:dyDescent="0.25">
      <c r="A123" s="39" t="s">
        <v>608</v>
      </c>
      <c r="B123" s="40" t="s">
        <v>609</v>
      </c>
      <c r="C123" s="199">
        <v>9112012.6300000008</v>
      </c>
      <c r="D123" s="205">
        <v>8885296.8399999999</v>
      </c>
      <c r="E123" s="32">
        <v>4400992</v>
      </c>
      <c r="F123" s="280">
        <f>+E123/D123</f>
        <v>0.49531175820570561</v>
      </c>
      <c r="G123" s="32">
        <v>3690180.71</v>
      </c>
      <c r="H123" s="280">
        <f t="shared" si="24"/>
        <v>0.41531316020726211</v>
      </c>
      <c r="I123" s="32">
        <v>2855499.95</v>
      </c>
      <c r="J123" s="178">
        <f t="shared" si="27"/>
        <v>0.32137361321965696</v>
      </c>
      <c r="K123" s="32">
        <v>4041732.35</v>
      </c>
      <c r="L123" s="280">
        <v>0.4714129451223692</v>
      </c>
      <c r="M123" s="211">
        <f t="shared" si="23"/>
        <v>-8.698043550558221E-2</v>
      </c>
      <c r="N123" s="32">
        <v>3069964.03</v>
      </c>
      <c r="O123" s="280">
        <v>0.35806942654231849</v>
      </c>
      <c r="P123" s="211">
        <f t="shared" si="38"/>
        <v>-6.9858825023431881E-2</v>
      </c>
    </row>
    <row r="124" spans="1:16" ht="14.1" customHeight="1" x14ac:dyDescent="0.25">
      <c r="A124" s="39" t="s">
        <v>610</v>
      </c>
      <c r="B124" s="40" t="s">
        <v>611</v>
      </c>
      <c r="C124" s="199">
        <v>9392699.8300000001</v>
      </c>
      <c r="D124" s="205">
        <v>9296571.2300000004</v>
      </c>
      <c r="E124" s="32">
        <v>3823734.99</v>
      </c>
      <c r="F124" s="280">
        <f t="shared" ref="F124:F138" si="39">+E124/D124</f>
        <v>0.41130594230922707</v>
      </c>
      <c r="G124" s="32">
        <v>3775449.82</v>
      </c>
      <c r="H124" s="280">
        <f t="shared" si="24"/>
        <v>0.40611207364459678</v>
      </c>
      <c r="I124" s="32">
        <v>3718364.7</v>
      </c>
      <c r="J124" s="178">
        <f t="shared" si="27"/>
        <v>0.3999716248073108</v>
      </c>
      <c r="K124" s="32">
        <v>4826015.8600000003</v>
      </c>
      <c r="L124" s="280">
        <v>0.46642810516423089</v>
      </c>
      <c r="M124" s="211">
        <f t="shared" si="23"/>
        <v>-0.21768806205290847</v>
      </c>
      <c r="N124" s="32">
        <v>4794936.5599999996</v>
      </c>
      <c r="O124" s="280">
        <v>0.46342433156933205</v>
      </c>
      <c r="P124" s="211">
        <f t="shared" si="38"/>
        <v>-0.22452264936744015</v>
      </c>
    </row>
    <row r="125" spans="1:16" ht="14.1" customHeight="1" x14ac:dyDescent="0.25">
      <c r="A125" s="39" t="s">
        <v>612</v>
      </c>
      <c r="B125" s="40" t="s">
        <v>613</v>
      </c>
      <c r="C125" s="199">
        <v>8507680.8399999999</v>
      </c>
      <c r="D125" s="205">
        <v>8635763.9000000004</v>
      </c>
      <c r="E125" s="32">
        <v>3430521.82</v>
      </c>
      <c r="F125" s="280">
        <f t="shared" si="39"/>
        <v>0.39724590200989629</v>
      </c>
      <c r="G125" s="32">
        <v>2882161.84</v>
      </c>
      <c r="H125" s="280">
        <f t="shared" si="24"/>
        <v>0.3337471789843629</v>
      </c>
      <c r="I125" s="32">
        <v>1690390.79</v>
      </c>
      <c r="J125" s="178">
        <f>I125/D125</f>
        <v>0.1957430529104669</v>
      </c>
      <c r="K125" s="32">
        <v>1801334.49</v>
      </c>
      <c r="L125" s="280">
        <v>0.34416590427025917</v>
      </c>
      <c r="M125" s="211">
        <f t="shared" si="23"/>
        <v>0.60001479791795909</v>
      </c>
      <c r="N125" s="32">
        <v>1179099.33</v>
      </c>
      <c r="O125" s="280">
        <v>0.22528064020686506</v>
      </c>
      <c r="P125" s="211">
        <f t="shared" si="38"/>
        <v>0.43362882752210541</v>
      </c>
    </row>
    <row r="126" spans="1:16" ht="14.1" customHeight="1" x14ac:dyDescent="0.25">
      <c r="A126" s="39" t="s">
        <v>614</v>
      </c>
      <c r="B126" s="40" t="s">
        <v>616</v>
      </c>
      <c r="C126" s="199">
        <v>8498539.1999999993</v>
      </c>
      <c r="D126" s="205">
        <v>9068165.5500000007</v>
      </c>
      <c r="E126" s="32">
        <v>4894708.8600000003</v>
      </c>
      <c r="F126" s="280">
        <f t="shared" si="39"/>
        <v>0.53976836141903028</v>
      </c>
      <c r="G126" s="32">
        <v>3405856.3</v>
      </c>
      <c r="H126" s="280">
        <f t="shared" si="24"/>
        <v>0.37558382466892654</v>
      </c>
      <c r="I126" s="32">
        <v>2660083.3199999998</v>
      </c>
      <c r="J126" s="178">
        <f t="shared" si="27"/>
        <v>0.29334304775677583</v>
      </c>
      <c r="K126" s="32">
        <v>4899977.21</v>
      </c>
      <c r="L126" s="280">
        <v>0.55887328026749061</v>
      </c>
      <c r="M126" s="211">
        <f t="shared" si="23"/>
        <v>-0.30492405290187052</v>
      </c>
      <c r="N126" s="32">
        <v>3122422.76</v>
      </c>
      <c r="O126" s="280">
        <v>0.35613199316555016</v>
      </c>
      <c r="P126" s="211">
        <f t="shared" si="38"/>
        <v>-0.14807073722457753</v>
      </c>
    </row>
    <row r="127" spans="1:16" ht="14.1" customHeight="1" x14ac:dyDescent="0.25">
      <c r="A127" s="39" t="s">
        <v>615</v>
      </c>
      <c r="B127" s="40" t="s">
        <v>617</v>
      </c>
      <c r="C127" s="199">
        <v>1364200</v>
      </c>
      <c r="D127" s="205">
        <v>1364200</v>
      </c>
      <c r="E127" s="32">
        <v>278402.75</v>
      </c>
      <c r="F127" s="280">
        <f t="shared" si="39"/>
        <v>0.20407766456531301</v>
      </c>
      <c r="G127" s="32">
        <v>127402.75</v>
      </c>
      <c r="H127" s="280">
        <f t="shared" si="24"/>
        <v>9.3390082099398919E-2</v>
      </c>
      <c r="I127" s="32">
        <v>60376.37</v>
      </c>
      <c r="J127" s="178">
        <f t="shared" si="27"/>
        <v>4.4257711479255245E-2</v>
      </c>
      <c r="K127" s="32">
        <v>163212.31</v>
      </c>
      <c r="L127" s="280">
        <v>0.11071163490165248</v>
      </c>
      <c r="M127" s="211">
        <f t="shared" si="23"/>
        <v>-0.21940477406391712</v>
      </c>
      <c r="N127" s="32">
        <v>56914.48</v>
      </c>
      <c r="O127" s="280">
        <v>3.8606739469451798E-2</v>
      </c>
      <c r="P127" s="211">
        <f t="shared" si="38"/>
        <v>6.0826172882542329E-2</v>
      </c>
    </row>
    <row r="128" spans="1:16" ht="14.1" customHeight="1" x14ac:dyDescent="0.25">
      <c r="A128" s="39" t="s">
        <v>618</v>
      </c>
      <c r="B128" s="40" t="s">
        <v>619</v>
      </c>
      <c r="C128" s="199">
        <v>32027467.34</v>
      </c>
      <c r="D128" s="205">
        <v>31897318.66</v>
      </c>
      <c r="E128" s="32">
        <v>27770540.07</v>
      </c>
      <c r="F128" s="280">
        <f t="shared" si="39"/>
        <v>0.87062302527719737</v>
      </c>
      <c r="G128" s="32">
        <v>22567736.789999999</v>
      </c>
      <c r="H128" s="280">
        <f t="shared" si="24"/>
        <v>0.70751203355222714</v>
      </c>
      <c r="I128" s="32">
        <v>6920050.0099999998</v>
      </c>
      <c r="J128" s="178">
        <f t="shared" si="27"/>
        <v>0.21694770283866863</v>
      </c>
      <c r="K128" s="32">
        <v>24500682.390000001</v>
      </c>
      <c r="L128" s="280">
        <v>0.83529368083973743</v>
      </c>
      <c r="M128" s="211">
        <f t="shared" si="23"/>
        <v>-7.8893541381073407E-2</v>
      </c>
      <c r="N128" s="32">
        <v>8754500.9900000002</v>
      </c>
      <c r="O128" s="280">
        <v>0.29846431374649662</v>
      </c>
      <c r="P128" s="211">
        <f t="shared" si="38"/>
        <v>-0.20954375150513294</v>
      </c>
    </row>
    <row r="129" spans="1:16" ht="14.1" customHeight="1" x14ac:dyDescent="0.25">
      <c r="A129" s="39" t="s">
        <v>620</v>
      </c>
      <c r="B129" s="40" t="s">
        <v>623</v>
      </c>
      <c r="C129" s="199">
        <v>36671618.640000001</v>
      </c>
      <c r="D129" s="205">
        <v>36871235.530000001</v>
      </c>
      <c r="E129" s="32">
        <v>30019015.18</v>
      </c>
      <c r="F129" s="280">
        <f t="shared" si="39"/>
        <v>0.81415810315266646</v>
      </c>
      <c r="G129" s="32">
        <v>29793015.18</v>
      </c>
      <c r="H129" s="280">
        <f t="shared" si="24"/>
        <v>0.80802866385530092</v>
      </c>
      <c r="I129" s="32">
        <v>8507148.9299999997</v>
      </c>
      <c r="J129" s="178">
        <f t="shared" si="27"/>
        <v>0.23072589805346291</v>
      </c>
      <c r="K129" s="32">
        <v>23219329.18</v>
      </c>
      <c r="L129" s="280">
        <v>0.84545511145777952</v>
      </c>
      <c r="M129" s="211">
        <f t="shared" si="23"/>
        <v>0.28311265795147311</v>
      </c>
      <c r="N129" s="32">
        <v>8116713.9000000004</v>
      </c>
      <c r="O129" s="280">
        <v>0.29554330367589926</v>
      </c>
      <c r="P129" s="211">
        <f t="shared" si="38"/>
        <v>4.8102598515884498E-2</v>
      </c>
    </row>
    <row r="130" spans="1:16" ht="14.1" customHeight="1" x14ac:dyDescent="0.25">
      <c r="A130" s="39" t="s">
        <v>621</v>
      </c>
      <c r="B130" s="40" t="s">
        <v>622</v>
      </c>
      <c r="C130" s="199">
        <v>140935753.61000001</v>
      </c>
      <c r="D130" s="205">
        <v>145859031.77000001</v>
      </c>
      <c r="E130" s="32">
        <v>140056890.99000001</v>
      </c>
      <c r="F130" s="280">
        <f t="shared" si="39"/>
        <v>0.96022090158154083</v>
      </c>
      <c r="G130" s="32">
        <v>136556890.99000001</v>
      </c>
      <c r="H130" s="280">
        <f t="shared" si="24"/>
        <v>0.93622513006484087</v>
      </c>
      <c r="I130" s="32">
        <v>69596012.609999999</v>
      </c>
      <c r="J130" s="178">
        <f t="shared" si="27"/>
        <v>0.47714571916083681</v>
      </c>
      <c r="K130" s="32">
        <v>124378249</v>
      </c>
      <c r="L130" s="280">
        <v>0.96732378129000707</v>
      </c>
      <c r="M130" s="211">
        <f t="shared" si="23"/>
        <v>9.7916171741571967E-2</v>
      </c>
      <c r="N130" s="32">
        <v>55838912.609999999</v>
      </c>
      <c r="O130" s="280">
        <v>0.43427454979710683</v>
      </c>
      <c r="P130" s="211">
        <f t="shared" si="38"/>
        <v>0.24637120167587723</v>
      </c>
    </row>
    <row r="131" spans="1:16" ht="14.4" thickBot="1" x14ac:dyDescent="0.3">
      <c r="A131" s="7" t="s">
        <v>19</v>
      </c>
      <c r="L131" s="686"/>
      <c r="N131" s="97"/>
      <c r="O131" s="686"/>
      <c r="P131" s="522"/>
    </row>
    <row r="132" spans="1:16" ht="12.75" customHeight="1" x14ac:dyDescent="0.25">
      <c r="A132" s="757" t="s">
        <v>756</v>
      </c>
      <c r="B132" s="758"/>
      <c r="C132" s="164" t="s">
        <v>765</v>
      </c>
      <c r="D132" s="743" t="s">
        <v>780</v>
      </c>
      <c r="E132" s="744"/>
      <c r="F132" s="744"/>
      <c r="G132" s="744"/>
      <c r="H132" s="744"/>
      <c r="I132" s="744"/>
      <c r="J132" s="745"/>
      <c r="K132" s="752" t="s">
        <v>781</v>
      </c>
      <c r="L132" s="759"/>
      <c r="M132" s="759"/>
      <c r="N132" s="759"/>
      <c r="O132" s="759"/>
      <c r="P132" s="760"/>
    </row>
    <row r="133" spans="1:16" ht="12.75" customHeight="1" x14ac:dyDescent="0.25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93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11" t="s">
        <v>362</v>
      </c>
    </row>
    <row r="134" spans="1:16" ht="14.1" customHeight="1" x14ac:dyDescent="0.25">
      <c r="A134" s="680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13" t="s">
        <v>764</v>
      </c>
      <c r="N134" s="564" t="s">
        <v>17</v>
      </c>
      <c r="O134" s="89" t="s">
        <v>18</v>
      </c>
      <c r="P134" s="612" t="s">
        <v>764</v>
      </c>
    </row>
    <row r="135" spans="1:16" ht="14.1" customHeight="1" x14ac:dyDescent="0.25">
      <c r="A135" s="37" t="s">
        <v>624</v>
      </c>
      <c r="B135" s="38" t="s">
        <v>625</v>
      </c>
      <c r="C135" s="198">
        <v>7411204.5599999996</v>
      </c>
      <c r="D135" s="204">
        <v>7840544.3200000003</v>
      </c>
      <c r="E135" s="30">
        <v>5213561.66</v>
      </c>
      <c r="F135" s="48">
        <f t="shared" si="39"/>
        <v>0.66494894323867559</v>
      </c>
      <c r="G135" s="136">
        <v>4462300.8899999997</v>
      </c>
      <c r="H135" s="48">
        <f t="shared" ref="H135:H138" si="40">+G135/D135</f>
        <v>0.56913151789951233</v>
      </c>
      <c r="I135" s="136">
        <v>1713254.01</v>
      </c>
      <c r="J135" s="153">
        <f t="shared" ref="J135:J138" si="41">+I135/D135</f>
        <v>0.21851212620911503</v>
      </c>
      <c r="K135" s="30">
        <v>3628140.45</v>
      </c>
      <c r="L135" s="48">
        <v>0.67862463538875251</v>
      </c>
      <c r="M135" s="210">
        <f t="shared" si="23"/>
        <v>0.22991404315673591</v>
      </c>
      <c r="N135" s="30">
        <v>1203242.04</v>
      </c>
      <c r="O135" s="48">
        <v>0.22506011052560515</v>
      </c>
      <c r="P135" s="210">
        <f t="shared" si="38"/>
        <v>0.42386481941737997</v>
      </c>
    </row>
    <row r="136" spans="1:16" ht="14.1" customHeight="1" x14ac:dyDescent="0.25">
      <c r="A136" s="39" t="s">
        <v>626</v>
      </c>
      <c r="B136" s="40" t="s">
        <v>627</v>
      </c>
      <c r="C136" s="199">
        <v>11963437.41</v>
      </c>
      <c r="D136" s="205">
        <v>11902508.41</v>
      </c>
      <c r="E136" s="32">
        <v>7526327.3200000003</v>
      </c>
      <c r="F136" s="280">
        <f t="shared" si="39"/>
        <v>0.63233119110226277</v>
      </c>
      <c r="G136" s="133">
        <v>6541995.6900000004</v>
      </c>
      <c r="H136" s="280">
        <f t="shared" si="40"/>
        <v>0.54963167969733873</v>
      </c>
      <c r="I136" s="133">
        <v>1612747.78</v>
      </c>
      <c r="J136" s="178">
        <f t="shared" si="41"/>
        <v>0.13549646212768354</v>
      </c>
      <c r="K136" s="32">
        <v>6557761</v>
      </c>
      <c r="L136" s="280">
        <v>0.71958756679687741</v>
      </c>
      <c r="M136" s="211">
        <f t="shared" si="23"/>
        <v>-2.404069010749188E-3</v>
      </c>
      <c r="N136" s="32">
        <v>3945227.92</v>
      </c>
      <c r="O136" s="280">
        <v>0.43291253819892273</v>
      </c>
      <c r="P136" s="211">
        <f t="shared" si="38"/>
        <v>-0.59121556150804078</v>
      </c>
    </row>
    <row r="137" spans="1:16" ht="14.1" customHeight="1" x14ac:dyDescent="0.25">
      <c r="A137" s="39" t="s">
        <v>628</v>
      </c>
      <c r="B137" s="40" t="s">
        <v>629</v>
      </c>
      <c r="C137" s="199">
        <v>619200</v>
      </c>
      <c r="D137" s="205">
        <v>582376</v>
      </c>
      <c r="E137" s="32">
        <v>552038</v>
      </c>
      <c r="F137" s="280">
        <f t="shared" si="39"/>
        <v>0.94790650713628311</v>
      </c>
      <c r="G137" s="133">
        <v>46639.97</v>
      </c>
      <c r="H137" s="280">
        <f t="shared" si="40"/>
        <v>8.008566630493015E-2</v>
      </c>
      <c r="I137" s="133">
        <v>10101.969999999999</v>
      </c>
      <c r="J137" s="178">
        <f t="shared" si="41"/>
        <v>1.7346130335041277E-2</v>
      </c>
      <c r="K137" s="32">
        <v>45.37</v>
      </c>
      <c r="L137" s="280">
        <v>7.3271963824289406E-5</v>
      </c>
      <c r="M137" s="211" t="s">
        <v>129</v>
      </c>
      <c r="N137" s="32">
        <v>45.37</v>
      </c>
      <c r="O137" s="280">
        <v>7.3271963824289406E-5</v>
      </c>
      <c r="P137" s="211" t="s">
        <v>129</v>
      </c>
    </row>
    <row r="138" spans="1:16" ht="14.1" customHeight="1" x14ac:dyDescent="0.25">
      <c r="A138" s="39" t="s">
        <v>630</v>
      </c>
      <c r="B138" s="40" t="s">
        <v>631</v>
      </c>
      <c r="C138" s="199">
        <v>3840200</v>
      </c>
      <c r="D138" s="205">
        <v>4112839.06</v>
      </c>
      <c r="E138" s="32">
        <v>3397305.77</v>
      </c>
      <c r="F138" s="280">
        <f t="shared" si="39"/>
        <v>0.82602448586937904</v>
      </c>
      <c r="G138" s="133">
        <v>3397305.77</v>
      </c>
      <c r="H138" s="280">
        <f t="shared" si="40"/>
        <v>0.82602448586937904</v>
      </c>
      <c r="I138" s="133">
        <v>912182.07</v>
      </c>
      <c r="J138" s="178">
        <f t="shared" si="41"/>
        <v>0.22178890462103323</v>
      </c>
      <c r="K138" s="32">
        <v>3107693.5</v>
      </c>
      <c r="L138" s="280">
        <v>0.84349260191765574</v>
      </c>
      <c r="M138" s="211">
        <f t="shared" si="23"/>
        <v>9.3192031324839553E-2</v>
      </c>
      <c r="N138" s="32">
        <v>876168.2</v>
      </c>
      <c r="O138" s="280">
        <v>0.23781025855204474</v>
      </c>
      <c r="P138" s="211">
        <f t="shared" si="38"/>
        <v>4.1103831433279669E-2</v>
      </c>
    </row>
    <row r="139" spans="1:16" ht="14.1" customHeight="1" x14ac:dyDescent="0.25">
      <c r="A139" s="39" t="s">
        <v>632</v>
      </c>
      <c r="B139" s="40" t="s">
        <v>633</v>
      </c>
      <c r="C139" s="199">
        <v>7354400.5099999998</v>
      </c>
      <c r="D139" s="205">
        <v>7337920.1100000003</v>
      </c>
      <c r="E139" s="32">
        <v>5955335.3300000001</v>
      </c>
      <c r="F139" s="280">
        <f>+E139/D139</f>
        <v>0.8115835605629127</v>
      </c>
      <c r="G139" s="133">
        <v>2912971.34</v>
      </c>
      <c r="H139" s="280">
        <f>+G139/D139</f>
        <v>0.39697506872965937</v>
      </c>
      <c r="I139" s="133">
        <v>1152684.6100000001</v>
      </c>
      <c r="J139" s="178">
        <f>+I139/D139</f>
        <v>0.15708601248317489</v>
      </c>
      <c r="K139" s="32">
        <v>2439048.25</v>
      </c>
      <c r="L139" s="280">
        <v>0.41809054908605464</v>
      </c>
      <c r="M139" s="211">
        <f t="shared" si="23"/>
        <v>0.19430656609601704</v>
      </c>
      <c r="N139" s="32">
        <v>891194.7</v>
      </c>
      <c r="O139" s="280">
        <v>0.15276453898178594</v>
      </c>
      <c r="P139" s="211">
        <f t="shared" si="38"/>
        <v>0.29341501918716539</v>
      </c>
    </row>
    <row r="140" spans="1:16" ht="14.1" customHeight="1" x14ac:dyDescent="0.25">
      <c r="A140" s="39" t="s">
        <v>634</v>
      </c>
      <c r="B140" s="40" t="s">
        <v>635</v>
      </c>
      <c r="C140" s="199">
        <v>6846944.8200000003</v>
      </c>
      <c r="D140" s="205">
        <v>6847029.3499999996</v>
      </c>
      <c r="E140" s="32">
        <v>5400774.8799999999</v>
      </c>
      <c r="F140" s="280">
        <f t="shared" ref="F140:F147" si="42">+E140/D140</f>
        <v>0.78877635890373399</v>
      </c>
      <c r="G140" s="133">
        <v>4322098.1100000003</v>
      </c>
      <c r="H140" s="280">
        <f t="shared" ref="H140:H147" si="43">+G140/D140</f>
        <v>0.6312369772447376</v>
      </c>
      <c r="I140" s="133">
        <v>1446660.25</v>
      </c>
      <c r="J140" s="178">
        <f>+I140/D140</f>
        <v>0.21128290475343151</v>
      </c>
      <c r="K140" s="32">
        <v>3684340.22</v>
      </c>
      <c r="L140" s="390">
        <v>0.58895884827372391</v>
      </c>
      <c r="M140" s="211">
        <f t="shared" si="23"/>
        <v>0.17309961944828212</v>
      </c>
      <c r="N140" s="32">
        <v>1696281.52</v>
      </c>
      <c r="O140" s="390">
        <v>0.27115845733899185</v>
      </c>
      <c r="P140" s="211">
        <f t="shared" si="38"/>
        <v>-0.14715792576694464</v>
      </c>
    </row>
    <row r="141" spans="1:16" ht="14.1" customHeight="1" x14ac:dyDescent="0.25">
      <c r="A141" s="39" t="s">
        <v>636</v>
      </c>
      <c r="B141" s="40" t="s">
        <v>637</v>
      </c>
      <c r="C141" s="199">
        <v>6662283.29</v>
      </c>
      <c r="D141" s="205">
        <v>6589206.46</v>
      </c>
      <c r="E141" s="32">
        <v>3535646.53</v>
      </c>
      <c r="F141" s="280">
        <f t="shared" si="42"/>
        <v>0.53658153701257671</v>
      </c>
      <c r="G141" s="133">
        <v>3204273.14</v>
      </c>
      <c r="H141" s="280">
        <f t="shared" si="43"/>
        <v>0.486291203569299</v>
      </c>
      <c r="I141" s="133">
        <v>1800530.15</v>
      </c>
      <c r="J141" s="178">
        <f t="shared" ref="J141:J147" si="44">+I141/D141</f>
        <v>0.27325447471257408</v>
      </c>
      <c r="K141" s="32">
        <v>3025385.16</v>
      </c>
      <c r="L141" s="390">
        <v>0.48825735857551156</v>
      </c>
      <c r="M141" s="211">
        <f t="shared" si="23"/>
        <v>5.9128993678279285E-2</v>
      </c>
      <c r="N141" s="32">
        <v>1708294.45</v>
      </c>
      <c r="O141" s="390">
        <v>0.27569624749075128</v>
      </c>
      <c r="P141" s="211">
        <f t="shared" si="38"/>
        <v>5.3992858198421256E-2</v>
      </c>
    </row>
    <row r="142" spans="1:16" ht="14.1" customHeight="1" x14ac:dyDescent="0.25">
      <c r="A142" s="39" t="s">
        <v>638</v>
      </c>
      <c r="B142" s="40" t="s">
        <v>639</v>
      </c>
      <c r="C142" s="199">
        <v>1046944.94</v>
      </c>
      <c r="D142" s="205">
        <v>1104018.23</v>
      </c>
      <c r="E142" s="32">
        <v>562013.91</v>
      </c>
      <c r="F142" s="280">
        <f t="shared" si="42"/>
        <v>0.50906216467095844</v>
      </c>
      <c r="G142" s="133">
        <v>307841.13</v>
      </c>
      <c r="H142" s="280">
        <f>+G142/D142</f>
        <v>0.27883699891441105</v>
      </c>
      <c r="I142" s="133">
        <v>155749.89000000001</v>
      </c>
      <c r="J142" s="178">
        <f t="shared" si="44"/>
        <v>0.14107546937879822</v>
      </c>
      <c r="K142" s="32">
        <v>423839.63</v>
      </c>
      <c r="L142" s="390">
        <v>0.49671191752437366</v>
      </c>
      <c r="M142" s="211">
        <f t="shared" si="23"/>
        <v>-0.27368488406806135</v>
      </c>
      <c r="N142" s="32">
        <v>171630.15</v>
      </c>
      <c r="O142" s="390">
        <v>0.20113914527411197</v>
      </c>
      <c r="P142" s="211">
        <f t="shared" si="38"/>
        <v>-9.2526050929862769E-2</v>
      </c>
    </row>
    <row r="143" spans="1:16" ht="14.1" customHeight="1" x14ac:dyDescent="0.25">
      <c r="A143" s="39" t="s">
        <v>640</v>
      </c>
      <c r="B143" s="40" t="s">
        <v>641</v>
      </c>
      <c r="C143" s="199">
        <v>3071168.61</v>
      </c>
      <c r="D143" s="205">
        <v>3168769.86</v>
      </c>
      <c r="E143" s="32">
        <v>1986578.6</v>
      </c>
      <c r="F143" s="280">
        <f>+E143/D143</f>
        <v>0.6269242285711466</v>
      </c>
      <c r="G143" s="133">
        <v>862823.06</v>
      </c>
      <c r="H143" s="280">
        <f t="shared" si="43"/>
        <v>0.27228959442324413</v>
      </c>
      <c r="I143" s="133">
        <v>278685.84999999998</v>
      </c>
      <c r="J143" s="178">
        <f t="shared" si="44"/>
        <v>8.7947646030690274E-2</v>
      </c>
      <c r="K143" s="32">
        <v>600754.93999999994</v>
      </c>
      <c r="L143" s="390">
        <v>0.24231471569221305</v>
      </c>
      <c r="M143" s="211">
        <f t="shared" si="23"/>
        <v>0.43623131921312219</v>
      </c>
      <c r="N143" s="32">
        <v>203924.73</v>
      </c>
      <c r="O143" s="390">
        <v>8.2253111347800681E-2</v>
      </c>
      <c r="P143" s="211">
        <f t="shared" si="38"/>
        <v>0.36661134723581568</v>
      </c>
    </row>
    <row r="144" spans="1:16" ht="14.1" customHeight="1" x14ac:dyDescent="0.25">
      <c r="A144" s="39" t="s">
        <v>642</v>
      </c>
      <c r="B144" s="40" t="s">
        <v>643</v>
      </c>
      <c r="C144" s="199">
        <v>3957522.84</v>
      </c>
      <c r="D144" s="205">
        <v>3973288.29</v>
      </c>
      <c r="E144" s="32">
        <v>2963834.8799999999</v>
      </c>
      <c r="F144" s="280">
        <f t="shared" si="42"/>
        <v>0.74594005359726867</v>
      </c>
      <c r="G144" s="133">
        <v>1929738.21</v>
      </c>
      <c r="H144" s="280">
        <f t="shared" si="43"/>
        <v>0.4856778741318063</v>
      </c>
      <c r="I144" s="133">
        <v>695636.6</v>
      </c>
      <c r="J144" s="178">
        <f t="shared" si="44"/>
        <v>0.17507831026275719</v>
      </c>
      <c r="K144" s="32">
        <v>1689139.04</v>
      </c>
      <c r="L144" s="390">
        <v>0.46139005396601024</v>
      </c>
      <c r="M144" s="211">
        <f t="shared" si="23"/>
        <v>0.14243893741275437</v>
      </c>
      <c r="N144" s="32">
        <v>332301.48</v>
      </c>
      <c r="O144" s="390">
        <v>9.076848865572669E-2</v>
      </c>
      <c r="P144" s="211">
        <f t="shared" si="38"/>
        <v>1.0933900143929542</v>
      </c>
    </row>
    <row r="145" spans="1:18" ht="14.1" customHeight="1" x14ac:dyDescent="0.25">
      <c r="A145" s="39" t="s">
        <v>644</v>
      </c>
      <c r="B145" s="40" t="s">
        <v>645</v>
      </c>
      <c r="C145" s="199">
        <v>0</v>
      </c>
      <c r="D145" s="205">
        <v>0</v>
      </c>
      <c r="E145" s="32">
        <v>0</v>
      </c>
      <c r="F145" s="418" t="s">
        <v>129</v>
      </c>
      <c r="G145" s="133">
        <v>0</v>
      </c>
      <c r="H145" s="418" t="s">
        <v>129</v>
      </c>
      <c r="I145" s="133">
        <v>0</v>
      </c>
      <c r="J145" s="432" t="s">
        <v>129</v>
      </c>
      <c r="K145" s="32">
        <v>0</v>
      </c>
      <c r="L145" s="390">
        <v>0</v>
      </c>
      <c r="M145" s="211" t="s">
        <v>129</v>
      </c>
      <c r="N145" s="32">
        <v>0</v>
      </c>
      <c r="O145" s="390">
        <v>0</v>
      </c>
      <c r="P145" s="211" t="s">
        <v>129</v>
      </c>
    </row>
    <row r="146" spans="1:18" ht="14.1" customHeight="1" x14ac:dyDescent="0.25">
      <c r="A146" s="39" t="s">
        <v>646</v>
      </c>
      <c r="B146" s="40" t="s">
        <v>647</v>
      </c>
      <c r="C146" s="199">
        <v>543815.78</v>
      </c>
      <c r="D146" s="205">
        <v>693236.93</v>
      </c>
      <c r="E146" s="32">
        <v>565642.47</v>
      </c>
      <c r="F146" s="280">
        <f t="shared" si="42"/>
        <v>0.8159439370894449</v>
      </c>
      <c r="G146" s="133">
        <v>559642.47</v>
      </c>
      <c r="H146" s="280">
        <f t="shared" si="43"/>
        <v>0.8072888875092098</v>
      </c>
      <c r="I146" s="133">
        <v>183368.4</v>
      </c>
      <c r="J146" s="178">
        <f t="shared" si="44"/>
        <v>0.26451043224139831</v>
      </c>
      <c r="K146" s="32">
        <v>415948.93</v>
      </c>
      <c r="L146" s="390">
        <v>0.79903087553915753</v>
      </c>
      <c r="M146" s="211">
        <f t="shared" si="23"/>
        <v>0.34545957360678869</v>
      </c>
      <c r="N146" s="32">
        <v>307322.59999999998</v>
      </c>
      <c r="O146" s="390">
        <v>0.59036152863999491</v>
      </c>
      <c r="P146" s="211">
        <f t="shared" si="38"/>
        <v>-0.40333577810418109</v>
      </c>
    </row>
    <row r="147" spans="1:18" ht="14.1" customHeight="1" x14ac:dyDescent="0.25">
      <c r="A147" s="39" t="s">
        <v>648</v>
      </c>
      <c r="B147" s="40" t="s">
        <v>649</v>
      </c>
      <c r="C147" s="199">
        <v>10158466.529999999</v>
      </c>
      <c r="D147" s="205">
        <v>10170466.529999999</v>
      </c>
      <c r="E147" s="32">
        <v>7873435.1500000004</v>
      </c>
      <c r="F147" s="280">
        <f t="shared" si="42"/>
        <v>0.77414690140079556</v>
      </c>
      <c r="G147" s="133">
        <v>2605192.6800000002</v>
      </c>
      <c r="H147" s="280">
        <f t="shared" si="43"/>
        <v>0.25615272144256301</v>
      </c>
      <c r="I147" s="133">
        <v>140130.79</v>
      </c>
      <c r="J147" s="178">
        <f t="shared" si="44"/>
        <v>1.3778206691566588E-2</v>
      </c>
      <c r="K147" s="32">
        <v>2407818.29</v>
      </c>
      <c r="L147" s="390">
        <v>0.26441999270549876</v>
      </c>
      <c r="M147" s="211">
        <f t="shared" si="23"/>
        <v>8.1972294512307364E-2</v>
      </c>
      <c r="N147" s="32">
        <v>145220.01999999999</v>
      </c>
      <c r="O147" s="390">
        <v>1.5947663820218085E-2</v>
      </c>
      <c r="P147" s="211">
        <f t="shared" si="38"/>
        <v>-3.5044961431626165E-2</v>
      </c>
    </row>
    <row r="148" spans="1:18" ht="14.1" customHeight="1" x14ac:dyDescent="0.25">
      <c r="A148" s="253">
        <v>2341</v>
      </c>
      <c r="B148" s="40" t="s">
        <v>431</v>
      </c>
      <c r="C148" s="199">
        <v>10668077.699999999</v>
      </c>
      <c r="D148" s="205">
        <v>10738410.75</v>
      </c>
      <c r="E148" s="32">
        <v>10598332.08</v>
      </c>
      <c r="F148" s="280">
        <f>+E148/D148</f>
        <v>0.98695536301775377</v>
      </c>
      <c r="G148" s="133">
        <v>10556480.17</v>
      </c>
      <c r="H148" s="280">
        <f>+G148/D148</f>
        <v>0.98305796041560434</v>
      </c>
      <c r="I148" s="133">
        <v>3939797.11</v>
      </c>
      <c r="J148" s="178">
        <f>+I148/D148</f>
        <v>0.36688828558732489</v>
      </c>
      <c r="K148" s="32">
        <v>10543993.279999999</v>
      </c>
      <c r="L148" s="390">
        <v>0.98776445996869822</v>
      </c>
      <c r="M148" s="211">
        <f t="shared" si="23"/>
        <v>1.1842657395928491E-3</v>
      </c>
      <c r="N148" s="32">
        <v>4017773.63</v>
      </c>
      <c r="O148" s="390">
        <v>0.37638624139121479</v>
      </c>
      <c r="P148" s="211">
        <f t="shared" si="38"/>
        <v>-1.9407892823468997E-2</v>
      </c>
    </row>
    <row r="149" spans="1:18" ht="14.1" customHeight="1" x14ac:dyDescent="0.25">
      <c r="A149" s="18">
        <v>2</v>
      </c>
      <c r="B149" s="518" t="s">
        <v>125</v>
      </c>
      <c r="C149" s="201">
        <f>SUM(C122:C130,C135:C148)</f>
        <v>321210830.55999994</v>
      </c>
      <c r="D149" s="207">
        <f>SUM(D122:D130,D135:D148)</f>
        <v>327498536.74000007</v>
      </c>
      <c r="E149" s="203">
        <f>SUM(E122:E130,E135:E148)</f>
        <v>271002956.03000003</v>
      </c>
      <c r="F149" s="232">
        <f>E149/D149</f>
        <v>0.82749363929264919</v>
      </c>
      <c r="G149" s="203">
        <f>SUM(G122:G130,G135:G148)</f>
        <v>244705319.80000001</v>
      </c>
      <c r="H149" s="232">
        <f>G149/D149</f>
        <v>0.74719515462834174</v>
      </c>
      <c r="I149" s="203">
        <f>SUM(I122:I130,I135:I148)</f>
        <v>110246778.95</v>
      </c>
      <c r="J149" s="277">
        <f>I149/D149</f>
        <v>0.3366328901723446</v>
      </c>
      <c r="K149" s="568">
        <f>SUM(K122:K148)</f>
        <v>226568402.05999997</v>
      </c>
      <c r="L149" s="90">
        <v>0.76097488038677064</v>
      </c>
      <c r="M149" s="213">
        <f t="shared" si="23"/>
        <v>8.0050517084889083E-2</v>
      </c>
      <c r="N149" s="568">
        <f>SUM(N122:N148)</f>
        <v>100646052.68000002</v>
      </c>
      <c r="O149" s="90">
        <v>0.33803971429026203</v>
      </c>
      <c r="P149" s="213">
        <f t="shared" ref="P149" si="45">+I149/N149-1</f>
        <v>9.5390986674113165E-2</v>
      </c>
      <c r="R149"/>
    </row>
    <row r="150" spans="1:18" ht="14.1" customHeight="1" x14ac:dyDescent="0.25">
      <c r="A150" s="37">
        <v>3111</v>
      </c>
      <c r="B150" s="38" t="s">
        <v>651</v>
      </c>
      <c r="C150" s="198">
        <v>19998074.850000001</v>
      </c>
      <c r="D150" s="539">
        <v>19983074.850000001</v>
      </c>
      <c r="E150" s="56">
        <v>18153248.420000002</v>
      </c>
      <c r="F150" s="48">
        <f t="shared" ref="F150:F159" si="46">+E150/D150</f>
        <v>0.90843118770582998</v>
      </c>
      <c r="G150" s="56">
        <v>17847757.629999999</v>
      </c>
      <c r="H150" s="48">
        <f t="shared" ref="H150:H159" si="47">+G150/D150</f>
        <v>0.89314371106406565</v>
      </c>
      <c r="I150" s="56">
        <v>7268445.8799999999</v>
      </c>
      <c r="J150" s="153">
        <f t="shared" ref="J150:J159" si="48">+I150/D150</f>
        <v>0.363730103327917</v>
      </c>
      <c r="K150" s="180">
        <v>16193499.23</v>
      </c>
      <c r="L150" s="48">
        <v>0.97532274160430821</v>
      </c>
      <c r="M150" s="210">
        <f t="shared" si="23"/>
        <v>0.10215570930681417</v>
      </c>
      <c r="N150" s="180">
        <v>9143806.0999999996</v>
      </c>
      <c r="O150" s="48">
        <v>0.55072482528226219</v>
      </c>
      <c r="P150" s="210">
        <f>+I150/N150-1</f>
        <v>-0.20509623667544741</v>
      </c>
    </row>
    <row r="151" spans="1:18" ht="14.1" customHeight="1" x14ac:dyDescent="0.25">
      <c r="A151" s="37" t="s">
        <v>650</v>
      </c>
      <c r="B151" s="38" t="s">
        <v>652</v>
      </c>
      <c r="C151" s="200">
        <v>2248848</v>
      </c>
      <c r="D151" s="540">
        <v>2248848</v>
      </c>
      <c r="E151" s="137">
        <v>2248848</v>
      </c>
      <c r="F151" s="48">
        <f t="shared" si="46"/>
        <v>1</v>
      </c>
      <c r="G151" s="137">
        <v>2248848</v>
      </c>
      <c r="H151" s="48">
        <f t="shared" si="47"/>
        <v>1</v>
      </c>
      <c r="I151" s="137">
        <v>1500000</v>
      </c>
      <c r="J151" s="153">
        <f t="shared" si="48"/>
        <v>0.66700817485219099</v>
      </c>
      <c r="K151" s="34">
        <v>2248848</v>
      </c>
      <c r="L151" s="48">
        <v>1</v>
      </c>
      <c r="M151" s="210">
        <f t="shared" ref="M151:M212" si="49">+G151/K151-1</f>
        <v>0</v>
      </c>
      <c r="N151" s="34">
        <v>1500000</v>
      </c>
      <c r="O151" s="48">
        <v>0.66700817485219099</v>
      </c>
      <c r="P151" s="210">
        <f t="shared" ref="P151:P172" si="50">+I151/N151-1</f>
        <v>0</v>
      </c>
    </row>
    <row r="152" spans="1:18" ht="14.1" customHeight="1" x14ac:dyDescent="0.25">
      <c r="A152" s="37">
        <v>3131</v>
      </c>
      <c r="B152" s="38" t="s">
        <v>761</v>
      </c>
      <c r="C152" s="200">
        <v>9000</v>
      </c>
      <c r="D152" s="540">
        <v>6000</v>
      </c>
      <c r="E152" s="137">
        <v>6000</v>
      </c>
      <c r="F152" s="48">
        <f t="shared" si="46"/>
        <v>1</v>
      </c>
      <c r="G152" s="137">
        <v>870</v>
      </c>
      <c r="H152" s="48">
        <f t="shared" si="47"/>
        <v>0.14499999999999999</v>
      </c>
      <c r="I152" s="137">
        <v>870</v>
      </c>
      <c r="J152" s="153">
        <f t="shared" si="48"/>
        <v>0.14499999999999999</v>
      </c>
      <c r="K152" s="34">
        <v>0</v>
      </c>
      <c r="L152" s="48">
        <v>0</v>
      </c>
      <c r="M152" s="224" t="s">
        <v>129</v>
      </c>
      <c r="N152" s="34">
        <v>0</v>
      </c>
      <c r="O152" s="48">
        <v>0</v>
      </c>
      <c r="P152" s="210" t="s">
        <v>129</v>
      </c>
    </row>
    <row r="153" spans="1:18" ht="14.1" customHeight="1" x14ac:dyDescent="0.25">
      <c r="A153" s="39" t="s">
        <v>653</v>
      </c>
      <c r="B153" s="40" t="s">
        <v>654</v>
      </c>
      <c r="C153" s="200">
        <v>10674936.689999999</v>
      </c>
      <c r="D153" s="540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5100000</v>
      </c>
      <c r="J153" s="178">
        <f t="shared" si="48"/>
        <v>0.47775458984946917</v>
      </c>
      <c r="K153" s="34">
        <v>9331667.1099999994</v>
      </c>
      <c r="L153" s="280">
        <v>1</v>
      </c>
      <c r="M153" s="212">
        <f t="shared" si="49"/>
        <v>0.14394743877656402</v>
      </c>
      <c r="N153" s="34">
        <v>3000000</v>
      </c>
      <c r="O153" s="280">
        <v>0.32148596436591065</v>
      </c>
      <c r="P153" s="210">
        <f t="shared" si="50"/>
        <v>0.7</v>
      </c>
    </row>
    <row r="154" spans="1:18" ht="14.1" customHeight="1" x14ac:dyDescent="0.25">
      <c r="A154" s="253">
        <v>3232</v>
      </c>
      <c r="B154" s="40" t="s">
        <v>480</v>
      </c>
      <c r="C154" s="200">
        <v>40599839.609999999</v>
      </c>
      <c r="D154" s="540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34681050</v>
      </c>
      <c r="J154" s="178">
        <f t="shared" si="48"/>
        <v>0.85421642876288206</v>
      </c>
      <c r="K154" s="34">
        <v>37980210.549999997</v>
      </c>
      <c r="L154" s="610">
        <v>1</v>
      </c>
      <c r="M154" s="211">
        <f t="shared" si="49"/>
        <v>6.8973526530384133E-2</v>
      </c>
      <c r="N154" s="34">
        <v>31780000</v>
      </c>
      <c r="O154" s="610">
        <v>0.83675154876149049</v>
      </c>
      <c r="P154" s="210">
        <f t="shared" si="50"/>
        <v>9.1285399622404118E-2</v>
      </c>
    </row>
    <row r="155" spans="1:18" ht="14.1" customHeight="1" x14ac:dyDescent="0.25">
      <c r="A155" s="253" t="s">
        <v>655</v>
      </c>
      <c r="B155" s="40" t="s">
        <v>656</v>
      </c>
      <c r="C155" s="200">
        <v>1576943.5</v>
      </c>
      <c r="D155" s="540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10">
        <v>1</v>
      </c>
      <c r="M155" s="211">
        <f t="shared" si="49"/>
        <v>0.18840289733511639</v>
      </c>
      <c r="N155" s="34">
        <v>0</v>
      </c>
      <c r="O155" s="610">
        <v>0</v>
      </c>
      <c r="P155" s="210" t="s">
        <v>129</v>
      </c>
    </row>
    <row r="156" spans="1:18" ht="14.1" customHeight="1" x14ac:dyDescent="0.25">
      <c r="A156" s="39" t="s">
        <v>657</v>
      </c>
      <c r="B156" s="40" t="s">
        <v>658</v>
      </c>
      <c r="C156" s="200">
        <v>8163831</v>
      </c>
      <c r="D156" s="540">
        <v>8163831</v>
      </c>
      <c r="E156" s="137">
        <v>7463831</v>
      </c>
      <c r="F156" s="280">
        <f t="shared" si="46"/>
        <v>0.91425594184886971</v>
      </c>
      <c r="G156" s="137">
        <v>7463831</v>
      </c>
      <c r="H156" s="280">
        <f t="shared" si="47"/>
        <v>0.91425594184886971</v>
      </c>
      <c r="I156" s="137">
        <v>0</v>
      </c>
      <c r="J156" s="178">
        <f t="shared" si="48"/>
        <v>0</v>
      </c>
      <c r="K156" s="34">
        <v>7493661</v>
      </c>
      <c r="L156" s="280">
        <v>1</v>
      </c>
      <c r="M156" s="211">
        <f t="shared" si="49"/>
        <v>-3.9806978191300191E-3</v>
      </c>
      <c r="N156" s="34">
        <v>29830</v>
      </c>
      <c r="O156" s="280">
        <v>3.9806978191300624E-3</v>
      </c>
      <c r="P156" s="210">
        <f t="shared" si="50"/>
        <v>-1</v>
      </c>
    </row>
    <row r="157" spans="1:18" ht="14.1" customHeight="1" x14ac:dyDescent="0.25">
      <c r="A157" s="39" t="s">
        <v>659</v>
      </c>
      <c r="B157" s="40" t="s">
        <v>114</v>
      </c>
      <c r="C157" s="200">
        <v>9096798.4100000001</v>
      </c>
      <c r="D157" s="540">
        <v>9189049.9900000002</v>
      </c>
      <c r="E157" s="137">
        <v>8605089.5399999991</v>
      </c>
      <c r="F157" s="280">
        <f t="shared" si="46"/>
        <v>0.93645040013543324</v>
      </c>
      <c r="G157" s="137">
        <v>8420993.9199999999</v>
      </c>
      <c r="H157" s="280">
        <f t="shared" si="47"/>
        <v>0.91641616153619376</v>
      </c>
      <c r="I157" s="137">
        <v>258868.24</v>
      </c>
      <c r="J157" s="178">
        <f t="shared" si="48"/>
        <v>2.8171382273653296E-2</v>
      </c>
      <c r="K157" s="34">
        <v>6457387.9299999997</v>
      </c>
      <c r="L157" s="280">
        <v>0.8994786791576509</v>
      </c>
      <c r="M157" s="211">
        <f t="shared" si="49"/>
        <v>0.30408673155245913</v>
      </c>
      <c r="N157" s="34">
        <v>218488.37</v>
      </c>
      <c r="O157" s="280">
        <v>3.0434230154561603E-2</v>
      </c>
      <c r="P157" s="210">
        <f t="shared" si="50"/>
        <v>0.18481473407486182</v>
      </c>
    </row>
    <row r="158" spans="1:18" ht="14.1" customHeight="1" x14ac:dyDescent="0.25">
      <c r="A158" s="39" t="s">
        <v>660</v>
      </c>
      <c r="B158" s="40" t="s">
        <v>661</v>
      </c>
      <c r="C158" s="200">
        <v>8827393.0999999996</v>
      </c>
      <c r="D158" s="540">
        <v>8827393.0999999996</v>
      </c>
      <c r="E158" s="137">
        <v>8744700.8900000006</v>
      </c>
      <c r="F158" s="280">
        <f t="shared" si="46"/>
        <v>0.99063231816423825</v>
      </c>
      <c r="G158" s="137">
        <v>8744700.8900000006</v>
      </c>
      <c r="H158" s="280">
        <f t="shared" si="47"/>
        <v>0.99063231816423825</v>
      </c>
      <c r="I158" s="137">
        <v>0</v>
      </c>
      <c r="J158" s="178">
        <f t="shared" si="48"/>
        <v>0</v>
      </c>
      <c r="K158" s="34">
        <v>8147393.0999999996</v>
      </c>
      <c r="L158" s="280">
        <v>0.83328889578961496</v>
      </c>
      <c r="M158" s="211">
        <f t="shared" si="49"/>
        <v>7.3312749571393665E-2</v>
      </c>
      <c r="N158" s="34">
        <v>679022</v>
      </c>
      <c r="O158" s="280">
        <v>6.9448164051008648E-2</v>
      </c>
      <c r="P158" s="210">
        <f t="shared" si="50"/>
        <v>-1</v>
      </c>
    </row>
    <row r="159" spans="1:18" ht="14.1" customHeight="1" x14ac:dyDescent="0.25">
      <c r="A159" s="39">
        <v>3281</v>
      </c>
      <c r="B159" s="40" t="s">
        <v>664</v>
      </c>
      <c r="C159" s="200">
        <v>5255775.0999999996</v>
      </c>
      <c r="D159" s="540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5155750.58</v>
      </c>
      <c r="L159" s="280">
        <v>1</v>
      </c>
      <c r="M159" s="211">
        <f t="shared" si="49"/>
        <v>1.9400573873377569E-2</v>
      </c>
      <c r="N159" s="34">
        <v>2800000</v>
      </c>
      <c r="O159" s="280">
        <v>0.54308290452638619</v>
      </c>
      <c r="P159" s="210">
        <f t="shared" si="50"/>
        <v>-1</v>
      </c>
    </row>
    <row r="160" spans="1:18" ht="14.1" customHeight="1" x14ac:dyDescent="0.25">
      <c r="A160" s="39" t="s">
        <v>662</v>
      </c>
      <c r="B160" s="40" t="s">
        <v>665</v>
      </c>
      <c r="C160" s="200">
        <v>2919606</v>
      </c>
      <c r="D160" s="540">
        <v>3019606</v>
      </c>
      <c r="E160" s="137">
        <v>2919606</v>
      </c>
      <c r="F160" s="280">
        <f t="shared" ref="F160:F161" si="51">+E160/D160</f>
        <v>0.96688309666890315</v>
      </c>
      <c r="G160" s="137">
        <v>2919606</v>
      </c>
      <c r="H160" s="280">
        <f t="shared" ref="H160:H161" si="52">+G160/D160</f>
        <v>0.96688309666890315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0</v>
      </c>
      <c r="N160" s="34">
        <v>0</v>
      </c>
      <c r="O160" s="280">
        <v>0</v>
      </c>
      <c r="P160" s="210" t="s">
        <v>129</v>
      </c>
    </row>
    <row r="161" spans="1:18" ht="14.1" customHeight="1" x14ac:dyDescent="0.25">
      <c r="A161" s="39" t="s">
        <v>663</v>
      </c>
      <c r="B161" s="40" t="s">
        <v>666</v>
      </c>
      <c r="C161" s="200">
        <v>1326943.5</v>
      </c>
      <c r="D161" s="540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0</v>
      </c>
      <c r="O161" s="280">
        <v>0</v>
      </c>
      <c r="P161" s="210" t="s">
        <v>129</v>
      </c>
    </row>
    <row r="162" spans="1:18" ht="14.1" customHeight="1" x14ac:dyDescent="0.25">
      <c r="A162" s="39">
        <v>3291</v>
      </c>
      <c r="B162" s="40" t="s">
        <v>495</v>
      </c>
      <c r="C162" s="200">
        <v>33376191.52</v>
      </c>
      <c r="D162" s="540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15900000</v>
      </c>
      <c r="J162" s="178">
        <f>+I162/D162</f>
        <v>0.47638748688484278</v>
      </c>
      <c r="K162" s="34">
        <v>30377801.829999998</v>
      </c>
      <c r="L162" s="610">
        <v>1</v>
      </c>
      <c r="M162" s="211">
        <f t="shared" si="49"/>
        <v>9.8703313254183689E-2</v>
      </c>
      <c r="N162" s="34">
        <v>20500000</v>
      </c>
      <c r="O162" s="610">
        <v>0.67483487168432821</v>
      </c>
      <c r="P162" s="210">
        <f t="shared" si="50"/>
        <v>-0.224390243902439</v>
      </c>
    </row>
    <row r="163" spans="1:18" ht="14.1" customHeight="1" x14ac:dyDescent="0.25">
      <c r="A163" s="253" t="s">
        <v>667</v>
      </c>
      <c r="B163" s="40" t="s">
        <v>668</v>
      </c>
      <c r="C163" s="200">
        <v>24741430.09</v>
      </c>
      <c r="D163" s="540">
        <v>18785272.949999999</v>
      </c>
      <c r="E163" s="137">
        <v>14546561.58</v>
      </c>
      <c r="F163" s="280">
        <f>+E163/D163</f>
        <v>0.77435987322185806</v>
      </c>
      <c r="G163" s="137">
        <v>14546561.58</v>
      </c>
      <c r="H163" s="280">
        <f>+G163/D163</f>
        <v>0.77435987322185806</v>
      </c>
      <c r="I163" s="137">
        <v>3366705.54</v>
      </c>
      <c r="J163" s="178">
        <f>+I163/D163</f>
        <v>0.17922047494124912</v>
      </c>
      <c r="K163" s="34">
        <v>11017129.1</v>
      </c>
      <c r="L163" s="280">
        <v>0.87412387741974351</v>
      </c>
      <c r="M163" s="211">
        <f t="shared" si="49"/>
        <v>0.32035863862210712</v>
      </c>
      <c r="N163" s="34">
        <v>1233323.1299999999</v>
      </c>
      <c r="O163" s="280">
        <v>9.7854639509221547E-2</v>
      </c>
      <c r="P163" s="210">
        <f t="shared" si="50"/>
        <v>1.7297838320765138</v>
      </c>
    </row>
    <row r="164" spans="1:18" ht="14.1" customHeight="1" x14ac:dyDescent="0.25">
      <c r="A164" s="39" t="s">
        <v>669</v>
      </c>
      <c r="B164" s="40" t="s">
        <v>670</v>
      </c>
      <c r="C164" s="200">
        <v>12623127.310000001</v>
      </c>
      <c r="D164" s="540">
        <v>12927747.279999999</v>
      </c>
      <c r="E164" s="137">
        <v>12606798.43</v>
      </c>
      <c r="F164" s="280">
        <f>+E164/D164</f>
        <v>0.9751736444835577</v>
      </c>
      <c r="G164" s="137">
        <v>12528724.9</v>
      </c>
      <c r="H164" s="280">
        <f>+G164/D164</f>
        <v>0.96913442293095331</v>
      </c>
      <c r="I164" s="137">
        <v>7048347.5700000003</v>
      </c>
      <c r="J164" s="178">
        <f>+I164/D164</f>
        <v>0.54521081030909513</v>
      </c>
      <c r="K164" s="34">
        <v>12410129.98</v>
      </c>
      <c r="L164" s="280">
        <v>0.98610831873393145</v>
      </c>
      <c r="M164" s="211">
        <f t="shared" si="49"/>
        <v>9.5562995867992662E-3</v>
      </c>
      <c r="N164" s="34">
        <v>30310.03</v>
      </c>
      <c r="O164" s="280">
        <v>2.4084334952368504E-3</v>
      </c>
      <c r="P164" s="210">
        <f t="shared" si="50"/>
        <v>231.54175499001488</v>
      </c>
    </row>
    <row r="165" spans="1:18" ht="14.1" customHeight="1" x14ac:dyDescent="0.25">
      <c r="A165" s="39" t="s">
        <v>671</v>
      </c>
      <c r="B165" s="40" t="s">
        <v>672</v>
      </c>
      <c r="C165" s="200">
        <v>48067327.659999996</v>
      </c>
      <c r="D165" s="540">
        <v>51817327.659999996</v>
      </c>
      <c r="E165" s="137">
        <v>48067327.659999996</v>
      </c>
      <c r="F165" s="280">
        <f>+E165/D165</f>
        <v>0.9276303860244266</v>
      </c>
      <c r="G165" s="137">
        <v>48067327.659999996</v>
      </c>
      <c r="H165" s="280">
        <f>+G165/D165</f>
        <v>0.9276303860244266</v>
      </c>
      <c r="I165" s="137">
        <v>40000000</v>
      </c>
      <c r="J165" s="178">
        <f>+I165/D165</f>
        <v>0.77194254907278259</v>
      </c>
      <c r="K165" s="34">
        <v>48812503.659999996</v>
      </c>
      <c r="L165" s="280">
        <v>1</v>
      </c>
      <c r="M165" s="211">
        <f t="shared" si="49"/>
        <v>-1.5266088484017781E-2</v>
      </c>
      <c r="N165" s="34">
        <v>47277327.799999997</v>
      </c>
      <c r="O165" s="280">
        <v>0.96854953659633691</v>
      </c>
      <c r="P165" s="210">
        <f t="shared" si="50"/>
        <v>-0.15392849254902252</v>
      </c>
      <c r="R165" s="275"/>
    </row>
    <row r="166" spans="1:18" ht="14.1" customHeight="1" x14ac:dyDescent="0.25">
      <c r="A166" s="39" t="s">
        <v>673</v>
      </c>
      <c r="B166" s="40" t="s">
        <v>674</v>
      </c>
      <c r="C166" s="200">
        <v>17219551.329999998</v>
      </c>
      <c r="D166" s="540">
        <v>18169551.329999998</v>
      </c>
      <c r="E166" s="137">
        <v>17219551.329999998</v>
      </c>
      <c r="F166" s="280">
        <f>+E166/D166</f>
        <v>0.94771472433491288</v>
      </c>
      <c r="G166" s="137">
        <v>17219551.329999998</v>
      </c>
      <c r="H166" s="280">
        <f>+G166/D166</f>
        <v>0.94771472433491288</v>
      </c>
      <c r="I166" s="137">
        <v>6000000</v>
      </c>
      <c r="J166" s="178">
        <f>+I166/D166</f>
        <v>0.33022279367423435</v>
      </c>
      <c r="K166" s="34">
        <v>17219551.329999998</v>
      </c>
      <c r="L166" s="280">
        <v>1</v>
      </c>
      <c r="M166" s="211">
        <f t="shared" si="49"/>
        <v>0</v>
      </c>
      <c r="N166" s="34">
        <v>11200000</v>
      </c>
      <c r="O166" s="280">
        <v>0.65042345095759246</v>
      </c>
      <c r="P166" s="210">
        <f t="shared" si="50"/>
        <v>-0.4642857142857143</v>
      </c>
      <c r="R166" s="275"/>
    </row>
    <row r="167" spans="1:18" ht="14.1" customHeight="1" x14ac:dyDescent="0.25">
      <c r="A167" s="39" t="s">
        <v>675</v>
      </c>
      <c r="B167" s="40" t="s">
        <v>102</v>
      </c>
      <c r="C167" s="200">
        <v>17748245.370000001</v>
      </c>
      <c r="D167" s="540">
        <v>20618290.68</v>
      </c>
      <c r="E167" s="137">
        <v>17065053.18</v>
      </c>
      <c r="F167" s="280">
        <f t="shared" ref="F167:F173" si="54">+E167/D167</f>
        <v>0.82766575779016027</v>
      </c>
      <c r="G167" s="137">
        <v>16794899.18</v>
      </c>
      <c r="H167" s="280">
        <f t="shared" ref="H167:H173" si="55">+G167/D167</f>
        <v>0.81456311973966211</v>
      </c>
      <c r="I167" s="137">
        <v>1613252.66</v>
      </c>
      <c r="J167" s="178">
        <f t="shared" ref="J167:J173" si="56">+I167/D167</f>
        <v>7.8243763512601705E-2</v>
      </c>
      <c r="K167" s="34">
        <v>15652521.07</v>
      </c>
      <c r="L167" s="610">
        <v>0.94883103019653703</v>
      </c>
      <c r="M167" s="211">
        <f t="shared" si="49"/>
        <v>7.298364940006441E-2</v>
      </c>
      <c r="N167" s="34">
        <v>1153447.99</v>
      </c>
      <c r="O167" s="610">
        <v>6.9920189836219462E-2</v>
      </c>
      <c r="P167" s="210">
        <f t="shared" si="50"/>
        <v>0.39863493975137954</v>
      </c>
      <c r="R167" s="275"/>
    </row>
    <row r="168" spans="1:18" ht="14.1" customHeight="1" x14ac:dyDescent="0.25">
      <c r="A168" s="253">
        <v>3361</v>
      </c>
      <c r="B168" s="40" t="s">
        <v>676</v>
      </c>
      <c r="C168" s="200">
        <v>211322.62</v>
      </c>
      <c r="D168" s="540">
        <v>211322.62</v>
      </c>
      <c r="E168" s="137">
        <v>211322.62</v>
      </c>
      <c r="F168" s="280">
        <f t="shared" si="54"/>
        <v>1</v>
      </c>
      <c r="G168" s="137">
        <v>211322.62</v>
      </c>
      <c r="H168" s="280">
        <f t="shared" si="55"/>
        <v>1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0</v>
      </c>
      <c r="N168" s="34">
        <v>0</v>
      </c>
      <c r="O168" s="280">
        <v>0</v>
      </c>
      <c r="P168" s="210" t="s">
        <v>129</v>
      </c>
    </row>
    <row r="169" spans="1:18" ht="14.1" customHeight="1" x14ac:dyDescent="0.25">
      <c r="A169" s="253">
        <v>3371</v>
      </c>
      <c r="B169" s="40" t="s">
        <v>677</v>
      </c>
      <c r="C169" s="200">
        <v>15245118.1</v>
      </c>
      <c r="D169" s="540">
        <v>15941014.48</v>
      </c>
      <c r="E169" s="137">
        <v>14011176.210000001</v>
      </c>
      <c r="F169" s="280">
        <f t="shared" si="54"/>
        <v>0.87893880452707551</v>
      </c>
      <c r="G169" s="137">
        <v>13447505.550000001</v>
      </c>
      <c r="H169" s="280">
        <f t="shared" si="55"/>
        <v>0.84357903111320687</v>
      </c>
      <c r="I169" s="137">
        <v>6810047.0199999996</v>
      </c>
      <c r="J169" s="178">
        <f t="shared" si="56"/>
        <v>0.42720286268756963</v>
      </c>
      <c r="K169" s="34">
        <v>12108223.390000001</v>
      </c>
      <c r="L169" s="280">
        <v>0.8151168758489189</v>
      </c>
      <c r="M169" s="211">
        <f t="shared" si="49"/>
        <v>0.11060930384767209</v>
      </c>
      <c r="N169" s="34">
        <v>5995941.1100000003</v>
      </c>
      <c r="O169" s="280">
        <v>0.40364243604835731</v>
      </c>
      <c r="P169" s="210">
        <f t="shared" si="50"/>
        <v>0.13577616842204088</v>
      </c>
    </row>
    <row r="170" spans="1:18" ht="14.1" customHeight="1" x14ac:dyDescent="0.25">
      <c r="A170" s="253">
        <v>3381</v>
      </c>
      <c r="B170" s="40" t="s">
        <v>678</v>
      </c>
      <c r="C170" s="200">
        <v>8127724.7699999996</v>
      </c>
      <c r="D170" s="540">
        <v>8346600.8700000001</v>
      </c>
      <c r="E170" s="137">
        <v>7478732.4400000004</v>
      </c>
      <c r="F170" s="280">
        <f t="shared" si="54"/>
        <v>0.89602133329277078</v>
      </c>
      <c r="G170" s="137">
        <v>7197352.6699999999</v>
      </c>
      <c r="H170" s="280">
        <f t="shared" si="55"/>
        <v>0.86230943375635494</v>
      </c>
      <c r="I170" s="137">
        <v>1232502.96</v>
      </c>
      <c r="J170" s="178">
        <f t="shared" si="56"/>
        <v>0.14766525669508862</v>
      </c>
      <c r="K170" s="34">
        <v>5355796.25</v>
      </c>
      <c r="L170" s="280">
        <v>0.7732766427222898</v>
      </c>
      <c r="M170" s="211">
        <f t="shared" si="49"/>
        <v>0.34384362922693334</v>
      </c>
      <c r="N170" s="34">
        <v>695072.89</v>
      </c>
      <c r="O170" s="280">
        <v>0.10035550378274369</v>
      </c>
      <c r="P170" s="210">
        <f t="shared" si="50"/>
        <v>0.77319958486655982</v>
      </c>
    </row>
    <row r="171" spans="1:18" ht="14.1" customHeight="1" x14ac:dyDescent="0.25">
      <c r="A171" s="253" t="s">
        <v>679</v>
      </c>
      <c r="B171" s="40" t="s">
        <v>680</v>
      </c>
      <c r="C171" s="200">
        <v>14042820.529999999</v>
      </c>
      <c r="D171" s="540">
        <v>13075938.869999999</v>
      </c>
      <c r="E171" s="137">
        <v>12263893.51</v>
      </c>
      <c r="F171" s="390">
        <f t="shared" si="54"/>
        <v>0.93789773965194445</v>
      </c>
      <c r="G171" s="137">
        <v>12157076.130000001</v>
      </c>
      <c r="H171" s="390">
        <f t="shared" si="55"/>
        <v>0.92972873694690206</v>
      </c>
      <c r="I171" s="137">
        <v>4075941.84</v>
      </c>
      <c r="J171" s="392">
        <f t="shared" si="56"/>
        <v>0.31171313054631922</v>
      </c>
      <c r="K171" s="34">
        <v>12302043.84</v>
      </c>
      <c r="L171" s="390">
        <v>0.97341325734029194</v>
      </c>
      <c r="M171" s="211">
        <f t="shared" si="49"/>
        <v>-1.1784034578761426E-2</v>
      </c>
      <c r="N171" s="34">
        <v>5123764.91</v>
      </c>
      <c r="O171" s="390">
        <v>0.40542374549764143</v>
      </c>
      <c r="P171" s="210">
        <f t="shared" si="50"/>
        <v>-0.20450256567294389</v>
      </c>
    </row>
    <row r="172" spans="1:18" ht="14.1" customHeight="1" x14ac:dyDescent="0.25">
      <c r="A172" s="253">
        <v>3421</v>
      </c>
      <c r="B172" s="40" t="s">
        <v>484</v>
      </c>
      <c r="C172" s="200">
        <v>5455050.5800000001</v>
      </c>
      <c r="D172" s="540">
        <v>6466117.6299999999</v>
      </c>
      <c r="E172" s="137">
        <v>6411530.8799999999</v>
      </c>
      <c r="F172" s="390">
        <f t="shared" si="54"/>
        <v>0.9915580332552657</v>
      </c>
      <c r="G172" s="137">
        <v>6411530.8799999999</v>
      </c>
      <c r="H172" s="390">
        <f t="shared" si="55"/>
        <v>0.9915580332552657</v>
      </c>
      <c r="I172" s="137">
        <v>1333714.18</v>
      </c>
      <c r="J172" s="392">
        <f t="shared" si="56"/>
        <v>0.20626197299785282</v>
      </c>
      <c r="K172" s="34">
        <v>6317104.3899999997</v>
      </c>
      <c r="L172" s="390">
        <v>0.99181905207445498</v>
      </c>
      <c r="M172" s="211">
        <f t="shared" si="49"/>
        <v>1.4947748868845201E-2</v>
      </c>
      <c r="N172" s="34">
        <v>77030.48</v>
      </c>
      <c r="O172" s="390">
        <v>1.2094195843174955E-2</v>
      </c>
      <c r="P172" s="210">
        <f t="shared" si="50"/>
        <v>16.314109687489939</v>
      </c>
    </row>
    <row r="173" spans="1:18" ht="14.1" customHeight="1" x14ac:dyDescent="0.25">
      <c r="A173" s="531">
        <v>3431</v>
      </c>
      <c r="B173" s="533" t="s">
        <v>435</v>
      </c>
      <c r="C173" s="200">
        <v>6518951.2199999997</v>
      </c>
      <c r="D173" s="540">
        <v>6518951.2199999997</v>
      </c>
      <c r="E173" s="137">
        <v>6518951.2199999997</v>
      </c>
      <c r="F173" s="390">
        <f t="shared" si="54"/>
        <v>1</v>
      </c>
      <c r="G173" s="137">
        <v>6518951.2199999997</v>
      </c>
      <c r="H173" s="390">
        <f t="shared" si="55"/>
        <v>1</v>
      </c>
      <c r="I173" s="137">
        <v>0</v>
      </c>
      <c r="J173" s="392">
        <f t="shared" si="56"/>
        <v>0</v>
      </c>
      <c r="K173" s="34">
        <v>7608676.7199999997</v>
      </c>
      <c r="L173" s="390">
        <v>1</v>
      </c>
      <c r="M173" s="496">
        <f t="shared" si="49"/>
        <v>-0.14322142208192024</v>
      </c>
      <c r="N173" s="34">
        <v>0</v>
      </c>
      <c r="O173" s="390">
        <v>0</v>
      </c>
      <c r="P173" s="210" t="s">
        <v>129</v>
      </c>
    </row>
    <row r="174" spans="1:18" ht="14.1" customHeight="1" x14ac:dyDescent="0.25">
      <c r="A174" s="532">
        <v>3</v>
      </c>
      <c r="B174" s="2" t="s">
        <v>124</v>
      </c>
      <c r="C174" s="201">
        <f>SUM(C150:C173)</f>
        <v>314074850.86000001</v>
      </c>
      <c r="D174" s="207">
        <f>SUM(D150:D173)</f>
        <v>317126568.45000005</v>
      </c>
      <c r="E174" s="203">
        <f>SUM(E150:E173)</f>
        <v>297352852.83000004</v>
      </c>
      <c r="F174" s="90">
        <f t="shared" ref="F174:F211" si="57">+E174/D174</f>
        <v>0.9376472437593395</v>
      </c>
      <c r="G174" s="203">
        <f>SUM(G150:G173)</f>
        <v>295558041.0800001</v>
      </c>
      <c r="H174" s="90">
        <f t="shared" ref="H174:H211" si="58">+G174/D174</f>
        <v>0.93198763674888829</v>
      </c>
      <c r="I174" s="203">
        <f>SUM(I150:I173)</f>
        <v>136189745.88999999</v>
      </c>
      <c r="J174" s="170">
        <f t="shared" ref="J174:J211" si="59">+I174/D174</f>
        <v>0.42944918350943034</v>
      </c>
      <c r="K174" s="568">
        <f>SUM(K150:K173)</f>
        <v>277974714.68000001</v>
      </c>
      <c r="L174" s="90">
        <v>0.95358131797810042</v>
      </c>
      <c r="M174" s="213">
        <f t="shared" si="49"/>
        <v>6.3255128871134048E-2</v>
      </c>
      <c r="N174" s="568">
        <f>SUM(N150:N173)</f>
        <v>142437364.80999997</v>
      </c>
      <c r="O174" s="90">
        <v>0.48862577382697375</v>
      </c>
      <c r="P174" s="213">
        <f t="shared" ref="P174:P211" si="60">+I174/N174-1</f>
        <v>-4.3862219217083998E-2</v>
      </c>
    </row>
    <row r="175" spans="1:18" ht="14.1" customHeight="1" x14ac:dyDescent="0.25">
      <c r="A175" s="37">
        <v>4301</v>
      </c>
      <c r="B175" s="534" t="s">
        <v>681</v>
      </c>
      <c r="C175" s="198">
        <v>4583248.97</v>
      </c>
      <c r="D175" s="516">
        <v>5239143.75</v>
      </c>
      <c r="E175" s="180">
        <v>1900051.37</v>
      </c>
      <c r="F175" s="78">
        <f>+E175/D175</f>
        <v>0.36266448501246029</v>
      </c>
      <c r="G175" s="180">
        <v>1801197.28</v>
      </c>
      <c r="H175" s="78">
        <f>+G175/D175</f>
        <v>0.34379611744762684</v>
      </c>
      <c r="I175" s="180">
        <v>1773785.03</v>
      </c>
      <c r="J175" s="153">
        <f>+I175/D175</f>
        <v>0.3385639170522855</v>
      </c>
      <c r="K175" s="180">
        <v>2250984.67</v>
      </c>
      <c r="L175" s="48">
        <v>0.47226785457814074</v>
      </c>
      <c r="M175" s="210">
        <f t="shared" si="49"/>
        <v>-0.19981806006701941</v>
      </c>
      <c r="N175" s="180">
        <v>2097383.2200000002</v>
      </c>
      <c r="O175" s="48">
        <v>0.44004150127668024</v>
      </c>
      <c r="P175" s="210">
        <f>+I175/N175-1</f>
        <v>-0.15428663055671832</v>
      </c>
    </row>
    <row r="176" spans="1:18" ht="14.1" customHeight="1" x14ac:dyDescent="0.25">
      <c r="A176" s="37" t="s">
        <v>682</v>
      </c>
      <c r="B176" s="38" t="s">
        <v>684</v>
      </c>
      <c r="C176" s="200">
        <v>2165090</v>
      </c>
      <c r="D176" s="206">
        <v>2165090</v>
      </c>
      <c r="E176" s="34">
        <v>2165090</v>
      </c>
      <c r="F176" s="48">
        <f>+E176/D176</f>
        <v>1</v>
      </c>
      <c r="G176" s="34">
        <v>2165090</v>
      </c>
      <c r="H176" s="48">
        <f>+G176/D176</f>
        <v>1</v>
      </c>
      <c r="I176" s="34">
        <v>1082545</v>
      </c>
      <c r="J176" s="153">
        <f>+I176/D176</f>
        <v>0.5</v>
      </c>
      <c r="K176" s="34">
        <v>752000</v>
      </c>
      <c r="L176" s="48">
        <v>0.39267084053490958</v>
      </c>
      <c r="M176" s="210">
        <f t="shared" si="49"/>
        <v>1.8791090425531913</v>
      </c>
      <c r="N176" s="34">
        <v>752000</v>
      </c>
      <c r="O176" s="48">
        <v>0.39267084053490958</v>
      </c>
      <c r="P176" s="210">
        <f>+I176/N176-1</f>
        <v>0.43955452127659567</v>
      </c>
    </row>
    <row r="177" spans="1:19" ht="14.1" customHeight="1" x14ac:dyDescent="0.25">
      <c r="A177" s="37" t="s">
        <v>683</v>
      </c>
      <c r="B177" s="38" t="s">
        <v>685</v>
      </c>
      <c r="C177" s="200">
        <v>7512544.6100000003</v>
      </c>
      <c r="D177" s="206">
        <v>7359586.75</v>
      </c>
      <c r="E177" s="34">
        <v>3233141.56</v>
      </c>
      <c r="F177" s="48">
        <f>+E177/D177</f>
        <v>0.4393102044758152</v>
      </c>
      <c r="G177" s="34">
        <v>1001633.82</v>
      </c>
      <c r="H177" s="48">
        <f>+G177/D177</f>
        <v>0.13609919334125656</v>
      </c>
      <c r="I177" s="34">
        <v>621080.81000000006</v>
      </c>
      <c r="J177" s="153">
        <f>+I177/D177</f>
        <v>8.4390717997854983E-2</v>
      </c>
      <c r="K177" s="34">
        <v>848619.33</v>
      </c>
      <c r="L177" s="48">
        <v>0.10839535678641118</v>
      </c>
      <c r="M177" s="210">
        <f t="shared" si="49"/>
        <v>0.18030992765625542</v>
      </c>
      <c r="N177" s="34">
        <v>612355.23</v>
      </c>
      <c r="O177" s="48">
        <v>7.8217006482606141E-2</v>
      </c>
      <c r="P177" s="210">
        <f>+I177/N177-1</f>
        <v>1.4249212830271807E-2</v>
      </c>
    </row>
    <row r="178" spans="1:19" ht="14.1" customHeight="1" x14ac:dyDescent="0.25">
      <c r="A178" s="41" t="s">
        <v>686</v>
      </c>
      <c r="B178" s="42" t="s">
        <v>687</v>
      </c>
      <c r="C178" s="200">
        <v>2743104</v>
      </c>
      <c r="D178" s="206">
        <v>6257715.7400000002</v>
      </c>
      <c r="E178" s="34">
        <v>2914456.83</v>
      </c>
      <c r="F178" s="390">
        <f>+E178/D178</f>
        <v>0.46573813050830587</v>
      </c>
      <c r="G178" s="34">
        <v>2731755.71</v>
      </c>
      <c r="H178" s="390">
        <f>+G178/D178</f>
        <v>0.43654199447544734</v>
      </c>
      <c r="I178" s="34">
        <v>1926858.57</v>
      </c>
      <c r="J178" s="392">
        <f>+I178/D178</f>
        <v>0.30791724169944479</v>
      </c>
      <c r="K178" s="34">
        <v>3569073.82</v>
      </c>
      <c r="L178" s="390">
        <v>0.5626379743944796</v>
      </c>
      <c r="M178" s="520">
        <f t="shared" si="49"/>
        <v>-0.23460375218577012</v>
      </c>
      <c r="N178" s="34">
        <v>2989269.04</v>
      </c>
      <c r="O178" s="390">
        <v>0.47123605798260876</v>
      </c>
      <c r="P178" s="520">
        <f>+I178/N178-1</f>
        <v>-0.35540811341624834</v>
      </c>
    </row>
    <row r="179" spans="1:19" ht="14.4" thickBot="1" x14ac:dyDescent="0.3">
      <c r="A179" s="671" t="s">
        <v>19</v>
      </c>
      <c r="B179" s="672"/>
      <c r="C179" s="672"/>
      <c r="D179" s="672"/>
      <c r="E179" s="672"/>
      <c r="F179" s="673"/>
      <c r="G179" s="672"/>
      <c r="H179" s="673"/>
      <c r="I179" s="672"/>
      <c r="J179" s="673"/>
      <c r="K179" s="673"/>
      <c r="L179" s="673"/>
      <c r="M179" s="673"/>
      <c r="N179" s="673"/>
      <c r="O179" s="673"/>
      <c r="P179" s="673"/>
    </row>
    <row r="180" spans="1:19" ht="12.75" customHeight="1" x14ac:dyDescent="0.25">
      <c r="A180" s="757" t="s">
        <v>756</v>
      </c>
      <c r="B180" s="758"/>
      <c r="C180" s="164" t="s">
        <v>765</v>
      </c>
      <c r="D180" s="761" t="s">
        <v>780</v>
      </c>
      <c r="E180" s="762"/>
      <c r="F180" s="763"/>
      <c r="G180" s="762"/>
      <c r="H180" s="762"/>
      <c r="I180" s="762"/>
      <c r="J180" s="764"/>
      <c r="K180" s="765" t="s">
        <v>781</v>
      </c>
      <c r="L180" s="766"/>
      <c r="M180" s="766"/>
      <c r="N180" s="766"/>
      <c r="O180" s="766"/>
      <c r="P180" s="767"/>
    </row>
    <row r="181" spans="1:19" ht="14.1" customHeight="1" x14ac:dyDescent="0.25">
      <c r="A181" s="39" t="s">
        <v>688</v>
      </c>
      <c r="B181" s="40" t="s">
        <v>689</v>
      </c>
      <c r="C181" s="200">
        <v>36360668.060000002</v>
      </c>
      <c r="D181" s="539">
        <v>40208130.359999999</v>
      </c>
      <c r="E181" s="136">
        <v>13010291.460000001</v>
      </c>
      <c r="F181" s="692">
        <f>+E181/D181</f>
        <v>0.32357364899868479</v>
      </c>
      <c r="G181" s="136">
        <v>9039110</v>
      </c>
      <c r="H181" s="48">
        <f>+G181/D181</f>
        <v>0.22480801566919711</v>
      </c>
      <c r="I181" s="136">
        <v>8329110</v>
      </c>
      <c r="J181" s="153">
        <f>+I181/D181</f>
        <v>0.20714989544219137</v>
      </c>
      <c r="K181" s="180">
        <v>10492684.720000001</v>
      </c>
      <c r="L181" s="48">
        <v>0.29502284906608894</v>
      </c>
      <c r="M181" s="210">
        <f>+G181/K181-1</f>
        <v>-0.13853220208068928</v>
      </c>
      <c r="N181" s="180">
        <v>9632684.7200000007</v>
      </c>
      <c r="O181" s="48">
        <v>0.27084222637824396</v>
      </c>
      <c r="P181" s="210">
        <f>+I181/N181-1</f>
        <v>-0.13532828675410036</v>
      </c>
      <c r="R181" s="279"/>
      <c r="S181" s="279"/>
    </row>
    <row r="182" spans="1:19" ht="14.1" customHeight="1" x14ac:dyDescent="0.25">
      <c r="A182" s="39" t="s">
        <v>690</v>
      </c>
      <c r="B182" s="40" t="s">
        <v>691</v>
      </c>
      <c r="C182" s="200">
        <v>1922280</v>
      </c>
      <c r="D182" s="540">
        <v>1922280</v>
      </c>
      <c r="E182" s="137">
        <v>1206411.47</v>
      </c>
      <c r="F182" s="280">
        <f t="shared" ref="F182:F189" si="61">+E182/D182</f>
        <v>0.62759403936991487</v>
      </c>
      <c r="G182" s="137">
        <v>1206411.47</v>
      </c>
      <c r="H182" s="280">
        <f t="shared" ref="H182:H189" si="62">+G182/D182</f>
        <v>0.62759403936991487</v>
      </c>
      <c r="I182" s="137">
        <v>112500</v>
      </c>
      <c r="J182" s="178">
        <f t="shared" ref="J182:J189" si="63">+I182/D182</f>
        <v>5.8524252450215371E-2</v>
      </c>
      <c r="K182" s="34">
        <v>112500</v>
      </c>
      <c r="L182" s="280">
        <v>0.1275105408713787</v>
      </c>
      <c r="M182" s="210">
        <f t="shared" ref="M182:M189" si="64">+G182/K182-1</f>
        <v>9.7236575111111101</v>
      </c>
      <c r="N182" s="34">
        <v>112500</v>
      </c>
      <c r="O182" s="280">
        <v>0.1275105408713787</v>
      </c>
      <c r="P182" s="210">
        <f t="shared" ref="P182:P189" si="65">+I182/N182-1</f>
        <v>0</v>
      </c>
      <c r="R182" s="279"/>
      <c r="S182" s="279"/>
    </row>
    <row r="183" spans="1:19" ht="14.1" customHeight="1" x14ac:dyDescent="0.25">
      <c r="A183" s="39" t="s">
        <v>692</v>
      </c>
      <c r="B183" s="40" t="s">
        <v>693</v>
      </c>
      <c r="C183" s="200">
        <v>10510570.890000001</v>
      </c>
      <c r="D183" s="540">
        <v>11859770.890000001</v>
      </c>
      <c r="E183" s="137">
        <v>5860513.5499999998</v>
      </c>
      <c r="F183" s="280">
        <f t="shared" si="61"/>
        <v>0.4941506547096543</v>
      </c>
      <c r="G183" s="137">
        <v>5860513.5499999998</v>
      </c>
      <c r="H183" s="280">
        <f t="shared" si="62"/>
        <v>0.4941506547096543</v>
      </c>
      <c r="I183" s="137">
        <v>5342093.37</v>
      </c>
      <c r="J183" s="178">
        <f t="shared" si="63"/>
        <v>0.45043815934963644</v>
      </c>
      <c r="K183" s="34">
        <v>9439313.5500000007</v>
      </c>
      <c r="L183" s="280">
        <v>0.77209593195528892</v>
      </c>
      <c r="M183" s="210">
        <f t="shared" si="64"/>
        <v>-0.37913773931156258</v>
      </c>
      <c r="N183" s="34">
        <v>6903093.3700000001</v>
      </c>
      <c r="O183" s="280">
        <v>0.56464384625559194</v>
      </c>
      <c r="P183" s="210">
        <f t="shared" si="65"/>
        <v>-0.22613050647466471</v>
      </c>
      <c r="R183" s="279"/>
      <c r="S183" s="279"/>
    </row>
    <row r="184" spans="1:19" ht="14.1" customHeight="1" x14ac:dyDescent="0.25">
      <c r="A184" s="39" t="s">
        <v>694</v>
      </c>
      <c r="B184" s="40" t="s">
        <v>695</v>
      </c>
      <c r="C184" s="200">
        <v>1031566.99</v>
      </c>
      <c r="D184" s="540">
        <v>1243546.99</v>
      </c>
      <c r="E184" s="137">
        <v>556479.89</v>
      </c>
      <c r="F184" s="390">
        <f t="shared" si="61"/>
        <v>0.44749405890966776</v>
      </c>
      <c r="G184" s="137">
        <v>302931.53999999998</v>
      </c>
      <c r="H184" s="280">
        <f t="shared" si="62"/>
        <v>0.24360280909047111</v>
      </c>
      <c r="I184" s="137">
        <v>124545.97</v>
      </c>
      <c r="J184" s="178">
        <f>+I184/D184</f>
        <v>0.10015381083428138</v>
      </c>
      <c r="K184" s="34">
        <v>128359.8</v>
      </c>
      <c r="L184" s="280">
        <v>0.15151285693529642</v>
      </c>
      <c r="M184" s="210">
        <f t="shared" si="64"/>
        <v>1.3600187909298702</v>
      </c>
      <c r="N184" s="34">
        <v>56314.86</v>
      </c>
      <c r="O184" s="280">
        <v>6.6472722195821801E-2</v>
      </c>
      <c r="P184" s="210">
        <f t="shared" si="65"/>
        <v>1.2116004550131172</v>
      </c>
      <c r="R184" s="279"/>
      <c r="S184" s="279"/>
    </row>
    <row r="185" spans="1:19" ht="14.1" customHeight="1" x14ac:dyDescent="0.25">
      <c r="A185" s="39" t="s">
        <v>696</v>
      </c>
      <c r="B185" s="40" t="s">
        <v>697</v>
      </c>
      <c r="C185" s="200">
        <v>4649794.68</v>
      </c>
      <c r="D185" s="540">
        <v>4705707.68</v>
      </c>
      <c r="E185" s="133">
        <v>1913275.97</v>
      </c>
      <c r="F185" s="390">
        <f t="shared" si="61"/>
        <v>0.40658623529288163</v>
      </c>
      <c r="G185" s="681">
        <v>815757.45</v>
      </c>
      <c r="H185" s="280">
        <f t="shared" si="62"/>
        <v>0.17335489271190768</v>
      </c>
      <c r="I185" s="681">
        <v>339657.61</v>
      </c>
      <c r="J185" s="178">
        <f>+I185/D185</f>
        <v>7.2179921299318786E-2</v>
      </c>
      <c r="K185" s="681">
        <v>375350</v>
      </c>
      <c r="L185" s="418">
        <v>9.3837500000000004E-2</v>
      </c>
      <c r="M185" s="210">
        <f t="shared" si="64"/>
        <v>1.173324763554016</v>
      </c>
      <c r="N185" s="681">
        <v>180059.27</v>
      </c>
      <c r="O185" s="418">
        <v>4.5014817499999998E-2</v>
      </c>
      <c r="P185" s="210">
        <f t="shared" si="65"/>
        <v>0.88636558395466114</v>
      </c>
      <c r="R185" s="279"/>
      <c r="S185" s="279"/>
    </row>
    <row r="186" spans="1:19" ht="14.1" customHeight="1" x14ac:dyDescent="0.25">
      <c r="A186" s="39" t="s">
        <v>698</v>
      </c>
      <c r="B186" s="40" t="s">
        <v>700</v>
      </c>
      <c r="C186" s="200">
        <v>136713543.02000001</v>
      </c>
      <c r="D186" s="540">
        <v>136713543.02000001</v>
      </c>
      <c r="E186" s="137">
        <v>112255416.90000001</v>
      </c>
      <c r="F186" s="280">
        <f t="shared" si="61"/>
        <v>0.82109946403464951</v>
      </c>
      <c r="G186" s="137">
        <v>112255416.90000001</v>
      </c>
      <c r="H186" s="280">
        <f t="shared" si="62"/>
        <v>0.82109946403464951</v>
      </c>
      <c r="I186" s="137">
        <v>54392333.460000001</v>
      </c>
      <c r="J186" s="178">
        <f t="shared" si="63"/>
        <v>0.39785622008232846</v>
      </c>
      <c r="K186" s="34">
        <v>110924325</v>
      </c>
      <c r="L186" s="280">
        <v>0.83941589547272522</v>
      </c>
      <c r="M186" s="210">
        <f t="shared" si="64"/>
        <v>1.2000000000000011E-2</v>
      </c>
      <c r="N186" s="34">
        <v>64471164.079999998</v>
      </c>
      <c r="O186" s="280">
        <v>0.48788324768604358</v>
      </c>
      <c r="P186" s="210">
        <f t="shared" si="65"/>
        <v>-0.15633083043907092</v>
      </c>
      <c r="R186" s="279"/>
      <c r="S186" s="279"/>
    </row>
    <row r="187" spans="1:19" ht="14.1" customHeight="1" x14ac:dyDescent="0.25">
      <c r="A187" s="39" t="s">
        <v>699</v>
      </c>
      <c r="B187" s="40" t="s">
        <v>701</v>
      </c>
      <c r="C187" s="200">
        <v>16809054</v>
      </c>
      <c r="D187" s="540">
        <v>15734854</v>
      </c>
      <c r="E187" s="137">
        <v>14327012</v>
      </c>
      <c r="F187" s="280">
        <f t="shared" si="61"/>
        <v>0.91052716472615502</v>
      </c>
      <c r="G187" s="137">
        <v>14327012</v>
      </c>
      <c r="H187" s="280">
        <f t="shared" si="62"/>
        <v>0.91052716472615502</v>
      </c>
      <c r="I187" s="137">
        <v>4932615.28</v>
      </c>
      <c r="J187" s="178">
        <f t="shared" si="63"/>
        <v>0.31348338408478404</v>
      </c>
      <c r="K187" s="34">
        <v>16692043</v>
      </c>
      <c r="L187" s="280">
        <v>0.99303881110739489</v>
      </c>
      <c r="M187" s="210">
        <f t="shared" si="64"/>
        <v>-0.14168613152985532</v>
      </c>
      <c r="N187" s="34">
        <v>5360064.5999999996</v>
      </c>
      <c r="O187" s="280">
        <v>0.31887961095252593</v>
      </c>
      <c r="P187" s="210">
        <f t="shared" si="65"/>
        <v>-7.9747046332239946E-2</v>
      </c>
      <c r="R187" s="279"/>
      <c r="S187" s="279"/>
    </row>
    <row r="188" spans="1:19" ht="14.1" customHeight="1" x14ac:dyDescent="0.25">
      <c r="A188" s="39">
        <v>4911</v>
      </c>
      <c r="B188" s="40" t="s">
        <v>702</v>
      </c>
      <c r="C188" s="200">
        <v>16869480</v>
      </c>
      <c r="D188" s="540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6350000</v>
      </c>
      <c r="J188" s="178">
        <f t="shared" si="63"/>
        <v>0.3764194272733955</v>
      </c>
      <c r="K188" s="34">
        <v>15669752</v>
      </c>
      <c r="L188" s="280">
        <v>1</v>
      </c>
      <c r="M188" s="210">
        <f t="shared" si="64"/>
        <v>7.6563304894678552E-2</v>
      </c>
      <c r="N188" s="34">
        <v>5400000</v>
      </c>
      <c r="O188" s="280">
        <v>0.34461298430249565</v>
      </c>
      <c r="P188" s="210">
        <f t="shared" si="65"/>
        <v>0.17592592592592582</v>
      </c>
      <c r="R188" s="279"/>
      <c r="S188" s="279"/>
    </row>
    <row r="189" spans="1:19" ht="14.1" customHeight="1" x14ac:dyDescent="0.25">
      <c r="A189" s="41" t="s">
        <v>703</v>
      </c>
      <c r="B189" s="42" t="s">
        <v>704</v>
      </c>
      <c r="C189" s="200">
        <v>1548192.01</v>
      </c>
      <c r="D189" s="540">
        <v>1470667.36</v>
      </c>
      <c r="E189" s="137">
        <v>788398.12</v>
      </c>
      <c r="F189" s="390">
        <f t="shared" si="61"/>
        <v>0.53608187782178018</v>
      </c>
      <c r="G189" s="137">
        <v>385482.84</v>
      </c>
      <c r="H189" s="390">
        <f t="shared" si="62"/>
        <v>0.26211422819637475</v>
      </c>
      <c r="I189" s="137">
        <v>333855.51</v>
      </c>
      <c r="J189" s="392">
        <f t="shared" si="63"/>
        <v>0.22700953259750048</v>
      </c>
      <c r="K189" s="34">
        <v>601354.5</v>
      </c>
      <c r="L189" s="412">
        <v>0.34761744893235275</v>
      </c>
      <c r="M189" s="210">
        <f t="shared" si="64"/>
        <v>-0.35897571232941627</v>
      </c>
      <c r="N189" s="34">
        <v>544747.56999999995</v>
      </c>
      <c r="O189" s="412">
        <v>0.31489539131327399</v>
      </c>
      <c r="P189" s="210">
        <f t="shared" si="65"/>
        <v>-0.38713722027250153</v>
      </c>
    </row>
    <row r="190" spans="1:19" ht="14.1" customHeight="1" x14ac:dyDescent="0.25">
      <c r="A190" s="532">
        <v>4</v>
      </c>
      <c r="B190" s="2" t="s">
        <v>123</v>
      </c>
      <c r="C190" s="201">
        <f>SUM(C175:C189)</f>
        <v>243419137.23000002</v>
      </c>
      <c r="D190" s="207">
        <f>SUM(D175:D189)</f>
        <v>251749516.54000002</v>
      </c>
      <c r="E190" s="203">
        <f>SUM(E175:E189)</f>
        <v>177000019.12</v>
      </c>
      <c r="F190" s="90">
        <f>+E190/D190</f>
        <v>0.70307987698509367</v>
      </c>
      <c r="G190" s="203">
        <f>SUM(G175:G189)</f>
        <v>168761792.56</v>
      </c>
      <c r="H190" s="90">
        <f>+G190/D190</f>
        <v>0.67035597477775399</v>
      </c>
      <c r="I190" s="203">
        <f>SUM(I175:I189)</f>
        <v>85660980.609999999</v>
      </c>
      <c r="J190" s="170">
        <f>+I190/D190</f>
        <v>0.34026274126484563</v>
      </c>
      <c r="K190" s="568">
        <f>SUM(K175:K189)</f>
        <v>171856360.38999999</v>
      </c>
      <c r="L190" s="90">
        <v>0.71361869531261357</v>
      </c>
      <c r="M190" s="629">
        <f t="shared" si="49"/>
        <v>-1.80067110869645E-2</v>
      </c>
      <c r="N190" s="568">
        <f>SUM(N175:N189)</f>
        <v>99111635.959999979</v>
      </c>
      <c r="O190" s="90">
        <v>0.41155250922088921</v>
      </c>
      <c r="P190" s="213">
        <f t="shared" si="60"/>
        <v>-0.13571217163066973</v>
      </c>
    </row>
    <row r="191" spans="1:19" ht="14.1" customHeight="1" x14ac:dyDescent="0.25">
      <c r="A191" s="37" t="s">
        <v>705</v>
      </c>
      <c r="B191" s="38" t="s">
        <v>113</v>
      </c>
      <c r="C191" s="676">
        <v>22797084.350000001</v>
      </c>
      <c r="D191" s="190">
        <v>23207316.52</v>
      </c>
      <c r="E191" s="82">
        <v>10982247.48</v>
      </c>
      <c r="F191" s="414">
        <f>+E191/D191</f>
        <v>0.47322349701808614</v>
      </c>
      <c r="G191" s="82">
        <v>10234247.48</v>
      </c>
      <c r="H191" s="414">
        <f>+G191/D191</f>
        <v>0.44099228237698895</v>
      </c>
      <c r="I191" s="82">
        <v>8280306.1200000001</v>
      </c>
      <c r="J191" s="431">
        <f>+I191/D191</f>
        <v>0.35679722439533479</v>
      </c>
      <c r="K191" s="472">
        <v>10938258.43</v>
      </c>
      <c r="L191" s="414">
        <v>0.4799496158182292</v>
      </c>
      <c r="M191" s="591">
        <f t="shared" si="49"/>
        <v>-6.4362252410231191E-2</v>
      </c>
      <c r="N191" s="472">
        <v>9548061.6600000001</v>
      </c>
      <c r="O191" s="414">
        <v>0.41895047139837632</v>
      </c>
      <c r="P191" s="591">
        <f t="shared" ref="P191:P196" si="66">+I191/N191-1</f>
        <v>-0.13277622046692983</v>
      </c>
    </row>
    <row r="192" spans="1:19" ht="14.1" customHeight="1" x14ac:dyDescent="0.25">
      <c r="A192" s="37" t="s">
        <v>706</v>
      </c>
      <c r="B192" s="38" t="s">
        <v>707</v>
      </c>
      <c r="C192" s="530">
        <v>7386447.1399999997</v>
      </c>
      <c r="D192" s="539">
        <v>6996896.0199999996</v>
      </c>
      <c r="E192" s="56">
        <v>2837559.19</v>
      </c>
      <c r="F192" s="48">
        <f t="shared" ref="F192:F210" si="67">+E192/D192</f>
        <v>0.40554542784244491</v>
      </c>
      <c r="G192" s="56">
        <v>2184259.85</v>
      </c>
      <c r="H192" s="414">
        <f t="shared" ref="H192:H210" si="68">+G192/D192</f>
        <v>0.31217554809396758</v>
      </c>
      <c r="I192" s="56">
        <v>2115810.4500000002</v>
      </c>
      <c r="J192" s="431">
        <f t="shared" ref="J192:J210" si="69">+I192/D192</f>
        <v>0.30239272442410831</v>
      </c>
      <c r="K192" s="180">
        <v>4227818.38</v>
      </c>
      <c r="L192" s="48">
        <v>0.53878951601466174</v>
      </c>
      <c r="M192" s="210">
        <f t="shared" si="49"/>
        <v>-0.48336005625672118</v>
      </c>
      <c r="N192" s="180">
        <v>3934891.38</v>
      </c>
      <c r="O192" s="48">
        <v>0.50145915260448448</v>
      </c>
      <c r="P192" s="210">
        <f t="shared" si="66"/>
        <v>-0.46229508119230467</v>
      </c>
    </row>
    <row r="193" spans="1:21" ht="14.1" customHeight="1" x14ac:dyDescent="0.25">
      <c r="A193" s="39" t="s">
        <v>708</v>
      </c>
      <c r="B193" s="40" t="s">
        <v>709</v>
      </c>
      <c r="C193" s="200">
        <v>51339420.009999998</v>
      </c>
      <c r="D193" s="540">
        <v>51712323.719999999</v>
      </c>
      <c r="E193" s="137">
        <v>25011138.899999999</v>
      </c>
      <c r="F193" s="48">
        <f t="shared" si="67"/>
        <v>0.48365915705943835</v>
      </c>
      <c r="G193" s="137">
        <v>21836970.129999999</v>
      </c>
      <c r="H193" s="414">
        <f t="shared" si="68"/>
        <v>0.42227787419180396</v>
      </c>
      <c r="I193" s="137">
        <v>15519574.59</v>
      </c>
      <c r="J193" s="431">
        <f t="shared" si="69"/>
        <v>0.30011365712420551</v>
      </c>
      <c r="K193" s="34">
        <v>24660334.27</v>
      </c>
      <c r="L193" s="280">
        <v>0.46151965853113669</v>
      </c>
      <c r="M193" s="211">
        <f t="shared" si="49"/>
        <v>-0.11449010013764105</v>
      </c>
      <c r="N193" s="34">
        <v>18981987.73</v>
      </c>
      <c r="O193" s="280">
        <v>0.35524905702715065</v>
      </c>
      <c r="P193" s="211">
        <f t="shared" si="66"/>
        <v>-0.18240519324158266</v>
      </c>
    </row>
    <row r="194" spans="1:21" ht="14.1" customHeight="1" x14ac:dyDescent="0.25">
      <c r="A194" s="39" t="s">
        <v>710</v>
      </c>
      <c r="B194" s="40" t="s">
        <v>711</v>
      </c>
      <c r="C194" s="200">
        <v>877692.04</v>
      </c>
      <c r="D194" s="540">
        <v>884664.91</v>
      </c>
      <c r="E194" s="137">
        <v>375495.83</v>
      </c>
      <c r="F194" s="48">
        <f t="shared" si="67"/>
        <v>0.42444978404309042</v>
      </c>
      <c r="G194" s="137">
        <v>370885.94</v>
      </c>
      <c r="H194" s="414">
        <f t="shared" si="68"/>
        <v>0.41923889577580281</v>
      </c>
      <c r="I194" s="137">
        <v>345530.88</v>
      </c>
      <c r="J194" s="431">
        <f t="shared" si="69"/>
        <v>0.39057825860867479</v>
      </c>
      <c r="K194" s="34">
        <v>449583.1</v>
      </c>
      <c r="L194" s="280">
        <v>0.4774125264758346</v>
      </c>
      <c r="M194" s="211">
        <f t="shared" si="49"/>
        <v>-0.17504474701117545</v>
      </c>
      <c r="N194" s="34">
        <v>411951.19</v>
      </c>
      <c r="O194" s="280">
        <v>0.4374511817784667</v>
      </c>
      <c r="P194" s="211">
        <f t="shared" si="66"/>
        <v>-0.16123344612744051</v>
      </c>
    </row>
    <row r="195" spans="1:21" ht="14.1" customHeight="1" x14ac:dyDescent="0.25">
      <c r="A195" s="39" t="s">
        <v>712</v>
      </c>
      <c r="B195" s="40" t="s">
        <v>713</v>
      </c>
      <c r="C195" s="200">
        <v>4144550.55</v>
      </c>
      <c r="D195" s="540">
        <v>4298562.24</v>
      </c>
      <c r="E195" s="137">
        <v>2157832.75</v>
      </c>
      <c r="F195" s="48">
        <f t="shared" si="67"/>
        <v>0.50198941634959315</v>
      </c>
      <c r="G195" s="137">
        <v>1829647.75</v>
      </c>
      <c r="H195" s="414">
        <f t="shared" si="68"/>
        <v>0.42564179552277459</v>
      </c>
      <c r="I195" s="137">
        <v>1557334.16</v>
      </c>
      <c r="J195" s="431">
        <f t="shared" si="69"/>
        <v>0.3622918718050247</v>
      </c>
      <c r="K195" s="34">
        <v>2170483.66</v>
      </c>
      <c r="L195" s="280">
        <v>0.47423533237575893</v>
      </c>
      <c r="M195" s="211">
        <f t="shared" si="49"/>
        <v>-0.15703223953319245</v>
      </c>
      <c r="N195" s="34">
        <v>1836483.69</v>
      </c>
      <c r="O195" s="280">
        <v>0.40125870062058433</v>
      </c>
      <c r="P195" s="211">
        <f t="shared" si="66"/>
        <v>-0.15200218304144053</v>
      </c>
    </row>
    <row r="196" spans="1:21" ht="14.1" customHeight="1" x14ac:dyDescent="0.25">
      <c r="A196" s="39" t="s">
        <v>714</v>
      </c>
      <c r="B196" s="40" t="s">
        <v>715</v>
      </c>
      <c r="C196" s="200">
        <v>7218581.6100000003</v>
      </c>
      <c r="D196" s="540">
        <v>7260705.21</v>
      </c>
      <c r="E196" s="137">
        <v>3853625.98</v>
      </c>
      <c r="F196" s="48">
        <f t="shared" si="67"/>
        <v>0.53075092136952351</v>
      </c>
      <c r="G196" s="137">
        <v>3393830.15</v>
      </c>
      <c r="H196" s="414">
        <f t="shared" si="68"/>
        <v>0.46742431373274274</v>
      </c>
      <c r="I196" s="137">
        <v>2816229.6</v>
      </c>
      <c r="J196" s="431">
        <f t="shared" si="69"/>
        <v>0.38787273667594613</v>
      </c>
      <c r="K196" s="34">
        <v>2786119.92</v>
      </c>
      <c r="L196" s="280">
        <v>0.37146032083382891</v>
      </c>
      <c r="M196" s="211">
        <f>+G196/K196-1</f>
        <v>0.21812062920823605</v>
      </c>
      <c r="N196" s="34">
        <v>2664261.77</v>
      </c>
      <c r="O196" s="280">
        <v>0.3552135443866698</v>
      </c>
      <c r="P196" s="211">
        <f t="shared" si="66"/>
        <v>5.7039376427339583E-2</v>
      </c>
      <c r="T196" s="254"/>
      <c r="U196" s="254"/>
    </row>
    <row r="197" spans="1:21" ht="14.1" customHeight="1" x14ac:dyDescent="0.25">
      <c r="A197" s="39" t="s">
        <v>716</v>
      </c>
      <c r="B197" s="40" t="s">
        <v>717</v>
      </c>
      <c r="C197" s="200">
        <v>1128377.3799999999</v>
      </c>
      <c r="D197" s="540">
        <v>0</v>
      </c>
      <c r="E197" s="137">
        <v>0</v>
      </c>
      <c r="F197" s="417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8" t="s">
        <v>129</v>
      </c>
      <c r="M197" s="211" t="s">
        <v>129</v>
      </c>
      <c r="N197" s="34">
        <v>0</v>
      </c>
      <c r="O197" s="418" t="s">
        <v>129</v>
      </c>
      <c r="P197" s="211" t="s">
        <v>129</v>
      </c>
      <c r="T197" s="254"/>
      <c r="U197" s="254"/>
    </row>
    <row r="198" spans="1:21" ht="14.1" customHeight="1" x14ac:dyDescent="0.25">
      <c r="A198" s="39" t="s">
        <v>718</v>
      </c>
      <c r="B198" s="40" t="s">
        <v>719</v>
      </c>
      <c r="C198" s="200">
        <v>2204546.69</v>
      </c>
      <c r="D198" s="540">
        <v>2321787.4900000002</v>
      </c>
      <c r="E198" s="137">
        <v>1222885.94</v>
      </c>
      <c r="F198" s="48">
        <f t="shared" si="67"/>
        <v>0.52670020200685974</v>
      </c>
      <c r="G198" s="137">
        <v>1118017.67</v>
      </c>
      <c r="H198" s="414">
        <f t="shared" si="68"/>
        <v>0.48153316133165996</v>
      </c>
      <c r="I198" s="137">
        <v>843431.21</v>
      </c>
      <c r="J198" s="431">
        <f t="shared" si="69"/>
        <v>0.36326804827430603</v>
      </c>
      <c r="K198" s="34">
        <v>1208662.8500000001</v>
      </c>
      <c r="L198" s="280">
        <v>0.50950024376839342</v>
      </c>
      <c r="M198" s="211">
        <f t="shared" si="49"/>
        <v>-7.4996248953957845E-2</v>
      </c>
      <c r="N198" s="34">
        <v>942321.18</v>
      </c>
      <c r="O198" s="280">
        <v>0.39722646469867101</v>
      </c>
      <c r="P198" s="211">
        <f>+I198/N198-1</f>
        <v>-0.10494295586139757</v>
      </c>
      <c r="T198" s="254"/>
      <c r="U198" s="254"/>
    </row>
    <row r="199" spans="1:21" ht="14.1" customHeight="1" x14ac:dyDescent="0.25">
      <c r="A199" s="39" t="s">
        <v>720</v>
      </c>
      <c r="B199" s="42" t="s">
        <v>721</v>
      </c>
      <c r="C199" s="200">
        <v>14812972.529999999</v>
      </c>
      <c r="D199" s="540">
        <v>15173048.439999999</v>
      </c>
      <c r="E199" s="137">
        <v>9964951.5700000003</v>
      </c>
      <c r="F199" s="48">
        <f t="shared" si="67"/>
        <v>0.6567534275926955</v>
      </c>
      <c r="G199" s="137">
        <v>4904657.07</v>
      </c>
      <c r="H199" s="414">
        <f t="shared" si="68"/>
        <v>0.32324796756531021</v>
      </c>
      <c r="I199" s="137">
        <v>2679554.2000000002</v>
      </c>
      <c r="J199" s="431">
        <f t="shared" si="69"/>
        <v>0.17659959437920308</v>
      </c>
      <c r="K199" s="34">
        <v>4009038.88</v>
      </c>
      <c r="L199" s="390">
        <v>0.3009546488405993</v>
      </c>
      <c r="M199" s="520">
        <f t="shared" si="49"/>
        <v>0.22339972666965013</v>
      </c>
      <c r="N199" s="34">
        <v>2494410.13</v>
      </c>
      <c r="O199" s="390">
        <v>0.18725294196662509</v>
      </c>
      <c r="P199" s="520">
        <f>+I199/N199-1</f>
        <v>7.4223588083327963E-2</v>
      </c>
      <c r="T199" s="254"/>
      <c r="U199" s="254"/>
    </row>
    <row r="200" spans="1:21" ht="14.1" customHeight="1" x14ac:dyDescent="0.25">
      <c r="A200" s="39" t="s">
        <v>722</v>
      </c>
      <c r="B200" s="677" t="s">
        <v>723</v>
      </c>
      <c r="C200" s="678">
        <v>871764.12</v>
      </c>
      <c r="D200" s="540">
        <v>914442.64</v>
      </c>
      <c r="E200" s="137">
        <v>58798.37</v>
      </c>
      <c r="F200" s="48">
        <f t="shared" si="67"/>
        <v>6.4299680951010768E-2</v>
      </c>
      <c r="G200" s="681">
        <v>25388.99</v>
      </c>
      <c r="H200" s="414">
        <f t="shared" si="68"/>
        <v>2.7764442393018771E-2</v>
      </c>
      <c r="I200" s="681">
        <v>25388.99</v>
      </c>
      <c r="J200" s="431">
        <f t="shared" si="69"/>
        <v>2.7764442393018771E-2</v>
      </c>
      <c r="K200" s="681">
        <v>0</v>
      </c>
      <c r="L200" s="674" t="s">
        <v>129</v>
      </c>
      <c r="M200" s="679" t="s">
        <v>129</v>
      </c>
      <c r="N200" s="675">
        <v>0</v>
      </c>
      <c r="O200" s="674" t="s">
        <v>129</v>
      </c>
      <c r="P200" s="679" t="s">
        <v>129</v>
      </c>
      <c r="T200" s="254"/>
      <c r="U200" s="254"/>
    </row>
    <row r="201" spans="1:21" ht="14.1" customHeight="1" x14ac:dyDescent="0.25">
      <c r="A201" s="39" t="s">
        <v>724</v>
      </c>
      <c r="B201" s="40" t="s">
        <v>725</v>
      </c>
      <c r="C201" s="200">
        <v>16719312.35</v>
      </c>
      <c r="D201" s="540">
        <v>16859806.600000001</v>
      </c>
      <c r="E201" s="137">
        <v>10982175.460000001</v>
      </c>
      <c r="F201" s="48">
        <f t="shared" si="67"/>
        <v>0.65138205440624686</v>
      </c>
      <c r="G201" s="137">
        <v>10932519.050000001</v>
      </c>
      <c r="H201" s="414">
        <f t="shared" si="68"/>
        <v>0.64843680057397568</v>
      </c>
      <c r="I201" s="137">
        <v>5595008.2599999998</v>
      </c>
      <c r="J201" s="431">
        <f t="shared" si="69"/>
        <v>0.33185483041068808</v>
      </c>
      <c r="K201" s="34">
        <v>10290401.609999999</v>
      </c>
      <c r="L201" s="280">
        <v>0.6217114596097405</v>
      </c>
      <c r="M201" s="211">
        <f>+G201/K201-1</f>
        <v>6.2399648170777366E-2</v>
      </c>
      <c r="N201" s="34">
        <v>5761109.3300000001</v>
      </c>
      <c r="O201" s="280">
        <v>0.34806685164210943</v>
      </c>
      <c r="P201" s="211">
        <f>+I201/N201-1</f>
        <v>-2.8831438614618343E-2</v>
      </c>
      <c r="T201" s="254"/>
      <c r="U201" s="254"/>
    </row>
    <row r="202" spans="1:21" ht="14.1" customHeight="1" x14ac:dyDescent="0.25">
      <c r="A202" s="39" t="s">
        <v>726</v>
      </c>
      <c r="B202" s="40" t="s">
        <v>727</v>
      </c>
      <c r="C202" s="200">
        <v>22448323.75</v>
      </c>
      <c r="D202" s="540">
        <v>22708645.57</v>
      </c>
      <c r="E202" s="137">
        <v>17970770.719999999</v>
      </c>
      <c r="F202" s="48">
        <f t="shared" si="67"/>
        <v>0.79136250837173983</v>
      </c>
      <c r="G202" s="137">
        <v>12533245.130000001</v>
      </c>
      <c r="H202" s="414">
        <f t="shared" si="68"/>
        <v>0.55191513255891644</v>
      </c>
      <c r="I202" s="137">
        <v>4949505.49</v>
      </c>
      <c r="J202" s="431">
        <f t="shared" si="69"/>
        <v>0.21795687790991403</v>
      </c>
      <c r="K202" s="34">
        <v>7445691.6299999999</v>
      </c>
      <c r="L202" s="280">
        <v>0.32901150399470974</v>
      </c>
      <c r="M202" s="211">
        <f>+G202/K202-1</f>
        <v>0.68328823604530631</v>
      </c>
      <c r="N202" s="34">
        <v>3953161.41</v>
      </c>
      <c r="O202" s="280">
        <v>0.1746829771726589</v>
      </c>
      <c r="P202" s="211">
        <f>+I202/N202-1</f>
        <v>0.25203728779695855</v>
      </c>
      <c r="T202" s="254"/>
      <c r="U202" s="254"/>
    </row>
    <row r="203" spans="1:21" ht="14.1" customHeight="1" x14ac:dyDescent="0.25">
      <c r="A203" s="39" t="s">
        <v>728</v>
      </c>
      <c r="B203" s="40" t="s">
        <v>729</v>
      </c>
      <c r="C203" s="200">
        <v>42228054.409999996</v>
      </c>
      <c r="D203" s="540">
        <v>47475291.5</v>
      </c>
      <c r="E203" s="137">
        <v>41504935.780000001</v>
      </c>
      <c r="F203" s="48">
        <f t="shared" si="67"/>
        <v>0.87424288442757647</v>
      </c>
      <c r="G203" s="137">
        <v>41190490.659999996</v>
      </c>
      <c r="H203" s="414">
        <f t="shared" si="68"/>
        <v>0.86761954184104373</v>
      </c>
      <c r="I203" s="137">
        <v>21813606.16</v>
      </c>
      <c r="J203" s="431">
        <f t="shared" si="69"/>
        <v>0.45947282198362066</v>
      </c>
      <c r="K203" s="34">
        <v>29191178.48</v>
      </c>
      <c r="L203" s="280">
        <v>0.74152677476979989</v>
      </c>
      <c r="M203" s="211">
        <f>+G203/K203-1</f>
        <v>0.41105953253039051</v>
      </c>
      <c r="N203" s="34">
        <v>13409053.73</v>
      </c>
      <c r="O203" s="280">
        <v>0.34062250593734356</v>
      </c>
      <c r="P203" s="211">
        <f>+I203/N203-1</f>
        <v>0.62678191908475545</v>
      </c>
    </row>
    <row r="204" spans="1:21" ht="14.1" customHeight="1" x14ac:dyDescent="0.25">
      <c r="A204" s="39" t="s">
        <v>730</v>
      </c>
      <c r="B204" s="40" t="s">
        <v>731</v>
      </c>
      <c r="C204" s="200">
        <v>13647818.9</v>
      </c>
      <c r="D204" s="540">
        <v>9094613.3699999992</v>
      </c>
      <c r="E204" s="137">
        <v>0</v>
      </c>
      <c r="F204" s="48">
        <f t="shared" si="67"/>
        <v>0</v>
      </c>
      <c r="G204" s="137">
        <v>0</v>
      </c>
      <c r="H204" s="414">
        <f t="shared" si="68"/>
        <v>0</v>
      </c>
      <c r="I204" s="137">
        <v>0</v>
      </c>
      <c r="J204" s="431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5">
      <c r="A205" s="39" t="s">
        <v>732</v>
      </c>
      <c r="B205" s="40" t="s">
        <v>733</v>
      </c>
      <c r="C205" s="200">
        <v>30916505.399999999</v>
      </c>
      <c r="D205" s="540">
        <v>13361737.630000001</v>
      </c>
      <c r="E205" s="137">
        <v>2913.68</v>
      </c>
      <c r="F205" s="48">
        <f t="shared" si="67"/>
        <v>2.1806145882240314E-4</v>
      </c>
      <c r="G205" s="137">
        <v>2913.68</v>
      </c>
      <c r="H205" s="414">
        <f t="shared" si="68"/>
        <v>2.1806145882240314E-4</v>
      </c>
      <c r="I205" s="137">
        <v>2913.68</v>
      </c>
      <c r="J205" s="431">
        <f t="shared" si="69"/>
        <v>2.1806145882240314E-4</v>
      </c>
      <c r="K205" s="34">
        <v>9397979.9100000001</v>
      </c>
      <c r="L205" s="280">
        <v>0.16687213530298792</v>
      </c>
      <c r="M205" s="211">
        <f t="shared" ref="M205:M210" si="70">+G205/K205-1</f>
        <v>-0.99968996741556138</v>
      </c>
      <c r="N205" s="34">
        <v>9397979.9100000001</v>
      </c>
      <c r="O205" s="280">
        <v>0.16687213530298792</v>
      </c>
      <c r="P205" s="211">
        <f>+I205/N205-1</f>
        <v>-0.99968996741556138</v>
      </c>
    </row>
    <row r="206" spans="1:21" ht="14.1" customHeight="1" x14ac:dyDescent="0.25">
      <c r="A206" s="253">
        <v>9311</v>
      </c>
      <c r="B206" s="40" t="s">
        <v>734</v>
      </c>
      <c r="C206" s="200">
        <v>5805408.6299999999</v>
      </c>
      <c r="D206" s="540">
        <v>5139664.4800000004</v>
      </c>
      <c r="E206" s="137">
        <v>2331677.4500000002</v>
      </c>
      <c r="F206" s="48">
        <f t="shared" si="67"/>
        <v>0.45366335858561724</v>
      </c>
      <c r="G206" s="137">
        <v>2253247.09</v>
      </c>
      <c r="H206" s="414">
        <f t="shared" si="68"/>
        <v>0.43840353757877976</v>
      </c>
      <c r="I206" s="137">
        <v>1864578.82</v>
      </c>
      <c r="J206" s="431">
        <f t="shared" si="69"/>
        <v>0.36278220635912012</v>
      </c>
      <c r="K206" s="34">
        <v>2384863.3199999998</v>
      </c>
      <c r="L206" s="280">
        <v>0.49220361343314961</v>
      </c>
      <c r="M206" s="211">
        <f t="shared" si="70"/>
        <v>-5.5188164829504727E-2</v>
      </c>
      <c r="N206" s="34">
        <v>2054537.88</v>
      </c>
      <c r="O206" s="280">
        <v>0.42402889926257192</v>
      </c>
      <c r="P206" s="211">
        <f t="shared" ref="P206:P210" si="71">+I206/N206-1</f>
        <v>-9.2458290425874168E-2</v>
      </c>
    </row>
    <row r="207" spans="1:21" ht="14.1" customHeight="1" x14ac:dyDescent="0.25">
      <c r="A207" s="39" t="s">
        <v>735</v>
      </c>
      <c r="B207" s="40" t="s">
        <v>736</v>
      </c>
      <c r="C207" s="200">
        <v>28425422.43</v>
      </c>
      <c r="D207" s="540">
        <v>28426191.640000001</v>
      </c>
      <c r="E207" s="137">
        <v>26782950.539999999</v>
      </c>
      <c r="F207" s="48">
        <f t="shared" si="67"/>
        <v>0.94219271013118377</v>
      </c>
      <c r="G207" s="137">
        <v>26647016.030000001</v>
      </c>
      <c r="H207" s="414">
        <f t="shared" si="68"/>
        <v>0.93741069389342935</v>
      </c>
      <c r="I207" s="137">
        <v>9051617.4100000001</v>
      </c>
      <c r="J207" s="431">
        <f t="shared" si="69"/>
        <v>0.3184252581081945</v>
      </c>
      <c r="K207" s="34">
        <v>27575095.280000001</v>
      </c>
      <c r="L207" s="280">
        <v>0.97240126649772274</v>
      </c>
      <c r="M207" s="211">
        <f t="shared" si="70"/>
        <v>-3.3656429491038864E-2</v>
      </c>
      <c r="N207" s="34">
        <v>13286645.59</v>
      </c>
      <c r="O207" s="280">
        <v>0.46853694857740424</v>
      </c>
      <c r="P207" s="211">
        <f t="shared" si="71"/>
        <v>-0.31874321861850763</v>
      </c>
    </row>
    <row r="208" spans="1:21" ht="14.1" customHeight="1" x14ac:dyDescent="0.25">
      <c r="A208" s="39" t="s">
        <v>737</v>
      </c>
      <c r="B208" s="40" t="s">
        <v>738</v>
      </c>
      <c r="C208" s="200">
        <v>68365574.019999996</v>
      </c>
      <c r="D208" s="540">
        <v>69324900.829999998</v>
      </c>
      <c r="E208" s="137">
        <v>62604304.759999998</v>
      </c>
      <c r="F208" s="48">
        <f t="shared" si="67"/>
        <v>0.90305653539295516</v>
      </c>
      <c r="G208" s="137">
        <v>61385478.969999999</v>
      </c>
      <c r="H208" s="414">
        <f t="shared" si="68"/>
        <v>0.88547517897689865</v>
      </c>
      <c r="I208" s="137">
        <v>21160042.43</v>
      </c>
      <c r="J208" s="431">
        <f t="shared" si="69"/>
        <v>0.30523004254833497</v>
      </c>
      <c r="K208" s="34">
        <v>58012745.380000003</v>
      </c>
      <c r="L208" s="280">
        <v>0.84217784714138522</v>
      </c>
      <c r="M208" s="211">
        <f t="shared" si="70"/>
        <v>5.8137803475902139E-2</v>
      </c>
      <c r="N208" s="34">
        <v>20137314.390000001</v>
      </c>
      <c r="O208" s="280">
        <v>0.29233576120371219</v>
      </c>
      <c r="P208" s="211">
        <f t="shared" si="71"/>
        <v>5.0787707843895857E-2</v>
      </c>
    </row>
    <row r="209" spans="1:19" ht="14.1" customHeight="1" x14ac:dyDescent="0.25">
      <c r="A209" s="39" t="s">
        <v>739</v>
      </c>
      <c r="B209" s="40" t="s">
        <v>117</v>
      </c>
      <c r="C209" s="200">
        <v>799840.54</v>
      </c>
      <c r="D209" s="540">
        <v>801333.05</v>
      </c>
      <c r="E209" s="137">
        <v>315983.57</v>
      </c>
      <c r="F209" s="48">
        <f t="shared" si="67"/>
        <v>0.39432239815891779</v>
      </c>
      <c r="G209" s="137">
        <v>315983.57</v>
      </c>
      <c r="H209" s="414">
        <f t="shared" si="68"/>
        <v>0.39432239815891779</v>
      </c>
      <c r="I209" s="137">
        <v>315983.57</v>
      </c>
      <c r="J209" s="431">
        <f t="shared" si="69"/>
        <v>0.39432239815891779</v>
      </c>
      <c r="K209" s="34">
        <v>399729.99</v>
      </c>
      <c r="L209" s="280">
        <v>0.47739224090751559</v>
      </c>
      <c r="M209" s="211">
        <f t="shared" si="70"/>
        <v>-0.20950747278181447</v>
      </c>
      <c r="N209" s="34">
        <v>399729.99</v>
      </c>
      <c r="O209" s="280">
        <v>0.47739224090751559</v>
      </c>
      <c r="P209" s="211">
        <f t="shared" si="71"/>
        <v>-0.20950747278181447</v>
      </c>
    </row>
    <row r="210" spans="1:19" ht="14.1" customHeight="1" x14ac:dyDescent="0.25">
      <c r="A210" s="250">
        <v>9431</v>
      </c>
      <c r="B210" s="42" t="s">
        <v>740</v>
      </c>
      <c r="C210" s="200">
        <v>97687346.239999995</v>
      </c>
      <c r="D210" s="540">
        <v>97687346.239999995</v>
      </c>
      <c r="E210" s="137">
        <v>97687346.230000004</v>
      </c>
      <c r="F210" s="78">
        <f t="shared" si="67"/>
        <v>0.99999999989763266</v>
      </c>
      <c r="G210" s="137">
        <v>97687346.230000004</v>
      </c>
      <c r="H210" s="414">
        <f t="shared" si="68"/>
        <v>0.99999999989763266</v>
      </c>
      <c r="I210" s="137">
        <v>36706994.700000003</v>
      </c>
      <c r="J210" s="431">
        <f t="shared" si="69"/>
        <v>0.3757599741712464</v>
      </c>
      <c r="K210" s="34">
        <v>84274401.209999993</v>
      </c>
      <c r="L210" s="78">
        <v>0.7444128037021408</v>
      </c>
      <c r="M210" s="520">
        <f t="shared" si="70"/>
        <v>0.15915799848374879</v>
      </c>
      <c r="N210" s="34">
        <v>30467255.039999999</v>
      </c>
      <c r="O210" s="78">
        <v>0.26912341612393853</v>
      </c>
      <c r="P210" s="520">
        <f t="shared" si="71"/>
        <v>0.20480150416596254</v>
      </c>
    </row>
    <row r="211" spans="1:19" ht="14.1" customHeight="1" thickBot="1" x14ac:dyDescent="0.3">
      <c r="A211" s="18">
        <v>9</v>
      </c>
      <c r="B211" s="2" t="s">
        <v>534</v>
      </c>
      <c r="C211" s="519">
        <f>SUM(C191:C210)</f>
        <v>439825043.08999997</v>
      </c>
      <c r="D211" s="207">
        <f>SUM(D191:D210)</f>
        <v>423649278.09999996</v>
      </c>
      <c r="E211" s="203">
        <f>SUM(E191:E210)</f>
        <v>316647594.19999999</v>
      </c>
      <c r="F211" s="535">
        <f t="shared" si="57"/>
        <v>0.74742861741701627</v>
      </c>
      <c r="G211" s="203">
        <f>SUM(G191:G210)</f>
        <v>298846145.44</v>
      </c>
      <c r="H211" s="535">
        <f t="shared" si="58"/>
        <v>0.70540931116483363</v>
      </c>
      <c r="I211" s="203">
        <f>SUM(I191:I210)</f>
        <v>135643410.71999997</v>
      </c>
      <c r="J211" s="536">
        <f t="shared" si="59"/>
        <v>0.32017854799219586</v>
      </c>
      <c r="K211" s="619">
        <f>SUM(K191:K210)</f>
        <v>279422386.30000001</v>
      </c>
      <c r="L211" s="90">
        <v>0.58826163133590392</v>
      </c>
      <c r="M211" s="43">
        <f t="shared" si="49"/>
        <v>6.9513969146143495E-2</v>
      </c>
      <c r="N211" s="619">
        <f>SUM(N191:N210)</f>
        <v>139681156</v>
      </c>
      <c r="O211" s="90">
        <v>0.29406757913528303</v>
      </c>
      <c r="P211" s="43">
        <f t="shared" si="60"/>
        <v>-2.8906871876117846E-2</v>
      </c>
    </row>
    <row r="212" spans="1:19" s="6" customFormat="1" ht="14.1" customHeight="1" thickBot="1" x14ac:dyDescent="0.3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2169370739.6700001</v>
      </c>
      <c r="E212" s="209">
        <f>E86+E121+E149+E174+E190+E211</f>
        <v>1639746855.8900001</v>
      </c>
      <c r="F212" s="181">
        <f>+E212/D212</f>
        <v>0.75586289881435154</v>
      </c>
      <c r="G212" s="209">
        <f>G86+G121+G149+G174+G190+G211</f>
        <v>1578095214.45</v>
      </c>
      <c r="H212" s="181">
        <f>+G212/D212</f>
        <v>0.72744376311171988</v>
      </c>
      <c r="I212" s="209">
        <f>I86+I121+I149+I174+I190+I211</f>
        <v>698040168.48000002</v>
      </c>
      <c r="J212" s="173">
        <f>+I212/D212</f>
        <v>0.321770804646413</v>
      </c>
      <c r="K212" s="620">
        <f>K86+K121+K149+K174+K190+K211</f>
        <v>1533267405.4199998</v>
      </c>
      <c r="L212" s="181">
        <v>0.70861150342561618</v>
      </c>
      <c r="M212" s="621">
        <f t="shared" si="49"/>
        <v>2.9236784706657692E-2</v>
      </c>
      <c r="N212" s="620">
        <f>N211+N190+N174+N149+N121+N86</f>
        <v>735837742.90999997</v>
      </c>
      <c r="O212" s="181">
        <v>0.34007315843118463</v>
      </c>
      <c r="P212" s="621">
        <f>+I212/N212-1</f>
        <v>-5.1366724246194262E-2</v>
      </c>
      <c r="R212" s="255"/>
    </row>
    <row r="213" spans="1:19" s="272" customFormat="1" ht="14.1" customHeight="1" x14ac:dyDescent="0.25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5">
      <c r="C217" s="340"/>
    </row>
    <row r="218" spans="1:19" x14ac:dyDescent="0.25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19" spans="1:19" x14ac:dyDescent="0.25">
      <c r="E219" t="s">
        <v>148</v>
      </c>
    </row>
    <row r="220" spans="1:19" x14ac:dyDescent="0.25">
      <c r="C220" s="352"/>
      <c r="O220"/>
      <c r="P220"/>
      <c r="R220"/>
    </row>
  </sheetData>
  <mergeCells count="15">
    <mergeCell ref="A132:B132"/>
    <mergeCell ref="D132:J132"/>
    <mergeCell ref="K132:P132"/>
    <mergeCell ref="A180:B180"/>
    <mergeCell ref="D180:J180"/>
    <mergeCell ref="K180:P180"/>
    <mergeCell ref="D2:J2"/>
    <mergeCell ref="K2:P2"/>
    <mergeCell ref="A82:B82"/>
    <mergeCell ref="D82:J82"/>
    <mergeCell ref="K82:P82"/>
    <mergeCell ref="A2:B2"/>
    <mergeCell ref="A47:B47"/>
    <mergeCell ref="D47:J47"/>
    <mergeCell ref="K47:P4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4"/>
  <sheetViews>
    <sheetView topLeftCell="C32" zoomScaleNormal="100" workbookViewId="0">
      <selection activeCell="E34" sqref="E34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bestFit="1" customWidth="1"/>
    <col min="12" max="12" width="6" style="97" bestFit="1" customWidth="1"/>
    <col min="13" max="13" width="51.88671875" style="97" customWidth="1"/>
    <col min="14" max="14" width="16.5546875" bestFit="1" customWidth="1"/>
    <col min="15" max="15" width="20.44140625" style="254" bestFit="1" customWidth="1"/>
    <col min="16" max="18" width="15.5546875" bestFit="1" customWidth="1"/>
  </cols>
  <sheetData>
    <row r="1" spans="1:15" ht="15" customHeight="1" x14ac:dyDescent="0.3">
      <c r="A1" s="460" t="s">
        <v>19</v>
      </c>
      <c r="K1" s="97"/>
    </row>
    <row r="2" spans="1:15" ht="12.75" customHeight="1" x14ac:dyDescent="0.25">
      <c r="A2" s="461" t="s">
        <v>533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68" t="s">
        <v>465</v>
      </c>
      <c r="B29" s="769"/>
      <c r="C29" s="340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72" customFormat="1" ht="351" customHeight="1" x14ac:dyDescent="0.25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XFD139"/>
  <sheetViews>
    <sheetView topLeftCell="A37" zoomScaleNormal="100" workbookViewId="0">
      <pane xSplit="1" topLeftCell="B1" activePane="topRight" state="frozen"/>
      <selection activeCell="N21" sqref="N21"/>
      <selection pane="topRight" activeCell="E39" sqref="E39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97" customWidth="1"/>
    <col min="7" max="7" width="11.6640625" customWidth="1"/>
    <col min="8" max="8" width="6.33203125" style="97" customWidth="1"/>
    <col min="9" max="9" width="11.6640625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6640625" customWidth="1"/>
    <col min="15" max="15" width="6.33203125" style="97" customWidth="1"/>
    <col min="16" max="16" width="8.109375" style="97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73"/>
    </row>
    <row r="3" spans="1:16384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23" t="s">
        <v>362</v>
      </c>
    </row>
    <row r="4" spans="1:16384" ht="26.4" x14ac:dyDescent="0.25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24" t="s">
        <v>764</v>
      </c>
      <c r="N4" s="564" t="s">
        <v>17</v>
      </c>
      <c r="O4" s="89" t="s">
        <v>18</v>
      </c>
      <c r="P4" s="624" t="s">
        <v>764</v>
      </c>
    </row>
    <row r="5" spans="1:16384" ht="15" customHeight="1" x14ac:dyDescent="0.25">
      <c r="A5" s="29">
        <v>1</v>
      </c>
      <c r="B5" s="21" t="s">
        <v>512</v>
      </c>
      <c r="C5" s="198">
        <v>150522241.06999999</v>
      </c>
      <c r="D5" s="204">
        <v>155042008.80000004</v>
      </c>
      <c r="E5" s="30">
        <v>109299001.97</v>
      </c>
      <c r="F5" s="48">
        <f t="shared" ref="F5:F16" si="0">+E5/D5</f>
        <v>0.70496378894956613</v>
      </c>
      <c r="G5" s="30">
        <v>99464746.590000004</v>
      </c>
      <c r="H5" s="48">
        <f t="shared" ref="H5:H16" si="1">+G5/D5</f>
        <v>0.64153417102784582</v>
      </c>
      <c r="I5" s="30">
        <v>50422011.090000004</v>
      </c>
      <c r="J5" s="153">
        <f t="shared" ref="J5:J16" si="2">+I5/D5</f>
        <v>0.32521515607452572</v>
      </c>
      <c r="K5" s="578">
        <v>98297300.920000002</v>
      </c>
      <c r="L5" s="48">
        <v>0.61563948583745287</v>
      </c>
      <c r="M5" s="625">
        <f>+G5/K5-1</f>
        <v>1.1876680835317455E-2</v>
      </c>
      <c r="N5" s="578">
        <v>50210734.689999998</v>
      </c>
      <c r="O5" s="48">
        <v>0.31447161416191971</v>
      </c>
      <c r="P5" s="625">
        <f t="shared" ref="P5:P16" si="3">+I5/N5-1</f>
        <v>4.2077934390807314E-3</v>
      </c>
    </row>
    <row r="6" spans="1:16384" ht="15" customHeight="1" x14ac:dyDescent="0.25">
      <c r="A6" s="31">
        <v>2</v>
      </c>
      <c r="B6" s="23" t="s">
        <v>513</v>
      </c>
      <c r="C6" s="199">
        <v>349217889.70999998</v>
      </c>
      <c r="D6" s="204">
        <v>354433458.47000003</v>
      </c>
      <c r="E6" s="30">
        <v>310388036.66000003</v>
      </c>
      <c r="F6" s="48">
        <f t="shared" si="0"/>
        <v>0.87573006792267016</v>
      </c>
      <c r="G6" s="30">
        <v>297412997.64999998</v>
      </c>
      <c r="H6" s="280">
        <f t="shared" si="1"/>
        <v>0.83912224013459957</v>
      </c>
      <c r="I6" s="30">
        <v>129291073.73999999</v>
      </c>
      <c r="J6" s="178">
        <f t="shared" si="2"/>
        <v>0.36478236083612703</v>
      </c>
      <c r="K6" s="578">
        <v>269664781.94</v>
      </c>
      <c r="L6" s="48">
        <v>0.82236363950838842</v>
      </c>
      <c r="M6" s="626">
        <f t="shared" ref="M6:M29" si="4">+G6/K6-1</f>
        <v>0.10289892328681582</v>
      </c>
      <c r="N6" s="578">
        <v>136434376.18000001</v>
      </c>
      <c r="O6" s="48">
        <v>0.41606719773442796</v>
      </c>
      <c r="P6" s="626">
        <f t="shared" si="3"/>
        <v>-5.2357057216839142E-2</v>
      </c>
    </row>
    <row r="7" spans="1:16384" ht="15" customHeight="1" x14ac:dyDescent="0.25">
      <c r="A7" s="31">
        <v>3</v>
      </c>
      <c r="B7" s="23" t="s">
        <v>771</v>
      </c>
      <c r="C7" s="199">
        <v>220166239.43000001</v>
      </c>
      <c r="D7" s="204">
        <v>222666768.93000001</v>
      </c>
      <c r="E7" s="30">
        <v>141394879.84</v>
      </c>
      <c r="F7" s="48">
        <f t="shared" si="0"/>
        <v>0.63500665375195908</v>
      </c>
      <c r="G7" s="30">
        <v>139163372.09999999</v>
      </c>
      <c r="H7" s="280">
        <f t="shared" si="1"/>
        <v>0.6249849170073013</v>
      </c>
      <c r="I7" s="30">
        <v>69179147.829999998</v>
      </c>
      <c r="J7" s="178">
        <f t="shared" si="2"/>
        <v>0.31068465295666964</v>
      </c>
      <c r="K7" s="578">
        <v>0</v>
      </c>
      <c r="L7" s="48" t="s">
        <v>129</v>
      </c>
      <c r="M7" s="626" t="s">
        <v>129</v>
      </c>
      <c r="N7" s="578">
        <v>0</v>
      </c>
      <c r="O7" s="48" t="s">
        <v>129</v>
      </c>
      <c r="P7" s="626" t="s">
        <v>129</v>
      </c>
    </row>
    <row r="8" spans="1:16384" ht="15" customHeight="1" x14ac:dyDescent="0.25">
      <c r="A8" s="31">
        <v>4</v>
      </c>
      <c r="B8" s="23" t="s">
        <v>514</v>
      </c>
      <c r="C8" s="199">
        <v>241357694.44</v>
      </c>
      <c r="D8" s="204">
        <v>239990870.86000001</v>
      </c>
      <c r="E8" s="30">
        <v>105553231.59</v>
      </c>
      <c r="F8" s="48">
        <f t="shared" si="0"/>
        <v>0.43982186160562359</v>
      </c>
      <c r="G8" s="30">
        <v>103638846.69</v>
      </c>
      <c r="H8" s="280">
        <f t="shared" si="1"/>
        <v>0.4318449544293636</v>
      </c>
      <c r="I8" s="30">
        <v>92187988.010000005</v>
      </c>
      <c r="J8" s="178">
        <f t="shared" si="2"/>
        <v>0.38413122832400726</v>
      </c>
      <c r="K8" s="578">
        <v>122347875.31999999</v>
      </c>
      <c r="L8" s="48">
        <v>0.46880549601068461</v>
      </c>
      <c r="M8" s="626">
        <f t="shared" si="4"/>
        <v>-0.15291666145461591</v>
      </c>
      <c r="N8" s="578">
        <v>111225516.56999999</v>
      </c>
      <c r="O8" s="48">
        <v>0.42618748652776745</v>
      </c>
      <c r="P8" s="626">
        <f t="shared" si="3"/>
        <v>-0.17116152072909174</v>
      </c>
    </row>
    <row r="9" spans="1:16384" ht="15" customHeight="1" x14ac:dyDescent="0.25">
      <c r="A9" s="131" t="s">
        <v>420</v>
      </c>
      <c r="B9" s="23" t="s">
        <v>515</v>
      </c>
      <c r="C9" s="199">
        <v>65215120.890000001</v>
      </c>
      <c r="D9" s="204">
        <v>67602177.959999993</v>
      </c>
      <c r="E9" s="30">
        <v>41849333.689999998</v>
      </c>
      <c r="F9" s="48">
        <f t="shared" si="0"/>
        <v>0.6190530387166242</v>
      </c>
      <c r="G9" s="30">
        <v>38088894.07</v>
      </c>
      <c r="H9" s="280">
        <f t="shared" si="1"/>
        <v>0.56342702586501114</v>
      </c>
      <c r="I9" s="30">
        <v>17329674.850000001</v>
      </c>
      <c r="J9" s="178">
        <f t="shared" si="2"/>
        <v>0.25634787773041745</v>
      </c>
      <c r="K9" s="578">
        <v>33681534.609999999</v>
      </c>
      <c r="L9" s="48">
        <v>0.41786903330236974</v>
      </c>
      <c r="M9" s="627">
        <f t="shared" si="4"/>
        <v>0.13085387916652302</v>
      </c>
      <c r="N9" s="578">
        <v>21557047.940000001</v>
      </c>
      <c r="O9" s="48">
        <v>0.26744692270839027</v>
      </c>
      <c r="P9" s="627">
        <f t="shared" si="3"/>
        <v>-0.19610166947562113</v>
      </c>
    </row>
    <row r="10" spans="1:16384" ht="15" customHeight="1" x14ac:dyDescent="0.25">
      <c r="A10" s="131" t="s">
        <v>419</v>
      </c>
      <c r="B10" s="23" t="s">
        <v>516</v>
      </c>
      <c r="C10" s="199">
        <v>286675054.51999998</v>
      </c>
      <c r="D10" s="204">
        <v>286937157.67000002</v>
      </c>
      <c r="E10" s="30">
        <v>271288926.64999998</v>
      </c>
      <c r="F10" s="48">
        <f t="shared" si="0"/>
        <v>0.94546460574479962</v>
      </c>
      <c r="G10" s="30">
        <v>269963634.61000001</v>
      </c>
      <c r="H10" s="280">
        <f t="shared" si="1"/>
        <v>0.94084585210981675</v>
      </c>
      <c r="I10" s="30">
        <v>68618066.590000004</v>
      </c>
      <c r="J10" s="178">
        <f t="shared" si="2"/>
        <v>0.23913970273907886</v>
      </c>
      <c r="K10" s="578">
        <v>269729319.47000003</v>
      </c>
      <c r="L10" s="48">
        <v>0.91355946384528319</v>
      </c>
      <c r="M10" s="625">
        <f t="shared" si="4"/>
        <v>8.6870474615219351E-4</v>
      </c>
      <c r="N10" s="578">
        <v>70297920.390000001</v>
      </c>
      <c r="O10" s="48">
        <v>0.23809547507522502</v>
      </c>
      <c r="P10" s="625">
        <f t="shared" si="3"/>
        <v>-2.3896209029804494E-2</v>
      </c>
    </row>
    <row r="11" spans="1:16384" ht="15" customHeight="1" x14ac:dyDescent="0.25">
      <c r="A11" s="131" t="s">
        <v>443</v>
      </c>
      <c r="B11" s="23" t="s">
        <v>517</v>
      </c>
      <c r="C11" s="199">
        <v>4757330.3899999997</v>
      </c>
      <c r="D11" s="204">
        <v>4637046.9400000004</v>
      </c>
      <c r="E11" s="30">
        <v>3516942.92</v>
      </c>
      <c r="F11" s="48">
        <f t="shared" si="0"/>
        <v>0.75844453711740933</v>
      </c>
      <c r="G11" s="30">
        <v>3330229.66</v>
      </c>
      <c r="H11" s="280">
        <f t="shared" si="1"/>
        <v>0.71817898397207081</v>
      </c>
      <c r="I11" s="30">
        <v>1164010.8799999999</v>
      </c>
      <c r="J11" s="178">
        <f t="shared" si="2"/>
        <v>0.25102417445012964</v>
      </c>
      <c r="K11" s="566">
        <v>3412493.86</v>
      </c>
      <c r="L11" s="280">
        <v>0.68612764623070244</v>
      </c>
      <c r="M11" s="626">
        <f t="shared" si="4"/>
        <v>-2.41067686492481E-2</v>
      </c>
      <c r="N11" s="566">
        <v>1065042.58</v>
      </c>
      <c r="O11" s="280">
        <v>0.21414109109953816</v>
      </c>
      <c r="P11" s="626">
        <f t="shared" si="3"/>
        <v>9.2924265995073974E-2</v>
      </c>
    </row>
    <row r="12" spans="1:16384" ht="15" customHeight="1" x14ac:dyDescent="0.25">
      <c r="A12" s="131" t="s">
        <v>447</v>
      </c>
      <c r="B12" s="23" t="s">
        <v>518</v>
      </c>
      <c r="C12" s="199">
        <v>60930053.189999998</v>
      </c>
      <c r="D12" s="204">
        <v>52485466.880000003</v>
      </c>
      <c r="E12" s="30">
        <v>43583556.479999997</v>
      </c>
      <c r="F12" s="48">
        <f t="shared" si="0"/>
        <v>0.83039285102764038</v>
      </c>
      <c r="G12" s="30">
        <v>39311533.880000003</v>
      </c>
      <c r="H12" s="280">
        <f t="shared" si="1"/>
        <v>0.74899846027624783</v>
      </c>
      <c r="I12" s="30">
        <v>11440052.220000001</v>
      </c>
      <c r="J12" s="178">
        <f t="shared" si="2"/>
        <v>0.21796609423625651</v>
      </c>
      <c r="K12" s="566">
        <v>29973188.530000001</v>
      </c>
      <c r="L12" s="280">
        <v>0.5363588962196455</v>
      </c>
      <c r="M12" s="626">
        <f t="shared" si="4"/>
        <v>0.31155662136690276</v>
      </c>
      <c r="N12" s="566">
        <v>8124304.2300000004</v>
      </c>
      <c r="O12" s="280">
        <v>0.14538135790905116</v>
      </c>
      <c r="P12" s="626">
        <f t="shared" si="3"/>
        <v>0.4081270095420837</v>
      </c>
    </row>
    <row r="13" spans="1:16384" ht="15" customHeight="1" x14ac:dyDescent="0.25">
      <c r="A13" s="131" t="s">
        <v>510</v>
      </c>
      <c r="B13" s="23" t="s">
        <v>519</v>
      </c>
      <c r="C13" s="199">
        <v>84785705.450000003</v>
      </c>
      <c r="D13" s="204">
        <v>87723591.620000005</v>
      </c>
      <c r="E13" s="30">
        <v>67279830.879999995</v>
      </c>
      <c r="F13" s="48">
        <f t="shared" si="0"/>
        <v>0.76695253394824459</v>
      </c>
      <c r="G13" s="30">
        <v>56782945.549999997</v>
      </c>
      <c r="H13" s="280">
        <f t="shared" si="1"/>
        <v>0.64729389781453173</v>
      </c>
      <c r="I13" s="30">
        <v>28421902.100000001</v>
      </c>
      <c r="J13" s="178">
        <f t="shared" si="2"/>
        <v>0.32399382623453965</v>
      </c>
      <c r="K13" s="566">
        <v>57768441.990000002</v>
      </c>
      <c r="L13" s="280">
        <v>0.63775360040130713</v>
      </c>
      <c r="M13" s="626">
        <f t="shared" si="4"/>
        <v>-1.7059425631915093E-2</v>
      </c>
      <c r="N13" s="566">
        <v>30925029.440000001</v>
      </c>
      <c r="O13" s="280">
        <v>0.34140697218890703</v>
      </c>
      <c r="P13" s="626">
        <f t="shared" si="3"/>
        <v>-8.0941793276430252E-2</v>
      </c>
    </row>
    <row r="14" spans="1:16384" ht="29.4" customHeight="1" x14ac:dyDescent="0.25">
      <c r="A14" s="131" t="s">
        <v>511</v>
      </c>
      <c r="B14" s="728" t="s">
        <v>784</v>
      </c>
      <c r="C14" s="199">
        <v>39445338.359999999</v>
      </c>
      <c r="D14" s="204">
        <v>46560228.119999997</v>
      </c>
      <c r="E14" s="30">
        <v>15868635.92</v>
      </c>
      <c r="F14" s="48">
        <f t="shared" si="0"/>
        <v>0.34081954837295159</v>
      </c>
      <c r="G14" s="30">
        <v>10106634.42</v>
      </c>
      <c r="H14" s="412">
        <f t="shared" si="1"/>
        <v>0.21706582695325508</v>
      </c>
      <c r="I14" s="30">
        <v>9094994.5199999996</v>
      </c>
      <c r="J14" s="427">
        <f t="shared" si="2"/>
        <v>0.19533827232459874</v>
      </c>
      <c r="K14" s="579">
        <v>24414493.34</v>
      </c>
      <c r="L14" s="280">
        <v>0.40251863246925795</v>
      </c>
      <c r="M14" s="626">
        <f t="shared" si="4"/>
        <v>-0.58603955940213659</v>
      </c>
      <c r="N14" s="579">
        <v>20903200.75</v>
      </c>
      <c r="O14" s="280">
        <v>0.34462840014522161</v>
      </c>
      <c r="P14" s="626">
        <f t="shared" si="3"/>
        <v>-0.56489943196857073</v>
      </c>
    </row>
    <row r="15" spans="1:16384" ht="15" customHeight="1" x14ac:dyDescent="0.25">
      <c r="A15" s="716" t="s">
        <v>421</v>
      </c>
      <c r="B15" s="506" t="s">
        <v>23</v>
      </c>
      <c r="C15" s="199">
        <v>820954321.05999994</v>
      </c>
      <c r="D15" s="507">
        <v>813189232.46000004</v>
      </c>
      <c r="E15" s="508">
        <v>420013621.60000002</v>
      </c>
      <c r="F15" s="48">
        <f t="shared" si="0"/>
        <v>0.51650170075347135</v>
      </c>
      <c r="G15" s="508">
        <v>420013621.60000002</v>
      </c>
      <c r="H15" s="412">
        <f t="shared" si="1"/>
        <v>0.51650170075347135</v>
      </c>
      <c r="I15" s="508">
        <v>202198445.38</v>
      </c>
      <c r="J15" s="427">
        <f t="shared" si="2"/>
        <v>0.2486486998460668</v>
      </c>
      <c r="K15" s="622">
        <v>487033577.58999997</v>
      </c>
      <c r="L15" s="495">
        <v>0.54464439554766486</v>
      </c>
      <c r="M15" s="626">
        <f t="shared" si="4"/>
        <v>-0.13760849163960398</v>
      </c>
      <c r="N15" s="622">
        <v>324691669.38</v>
      </c>
      <c r="O15" s="495">
        <v>0.36309919099192589</v>
      </c>
      <c r="P15" s="626">
        <f t="shared" si="3"/>
        <v>-0.37726013800693214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5">
      <c r="A16" s="33">
        <v>8</v>
      </c>
      <c r="B16" s="524" t="s">
        <v>520</v>
      </c>
      <c r="C16" s="200">
        <v>76829628.569999993</v>
      </c>
      <c r="D16" s="526">
        <v>74794737.620000005</v>
      </c>
      <c r="E16" s="180">
        <v>56858035.119999997</v>
      </c>
      <c r="F16" s="78">
        <f t="shared" si="0"/>
        <v>0.76018764059139154</v>
      </c>
      <c r="G16" s="180">
        <v>50969106.840000004</v>
      </c>
      <c r="H16" s="78">
        <f t="shared" si="1"/>
        <v>0.68145311370637041</v>
      </c>
      <c r="I16" s="180">
        <v>19119898.149999999</v>
      </c>
      <c r="J16" s="392">
        <f t="shared" si="2"/>
        <v>0.25563159599730134</v>
      </c>
      <c r="K16" s="580">
        <v>154957060.97</v>
      </c>
      <c r="L16" s="390">
        <v>0.90654266401376171</v>
      </c>
      <c r="M16" s="628">
        <f t="shared" si="4"/>
        <v>-0.67107593212633443</v>
      </c>
      <c r="N16" s="580">
        <v>75498513.989999995</v>
      </c>
      <c r="O16" s="390">
        <v>0.44168767510907736</v>
      </c>
      <c r="P16" s="628">
        <f t="shared" si="3"/>
        <v>-0.74675133139001271</v>
      </c>
    </row>
    <row r="17" spans="1:18" ht="15" customHeight="1" x14ac:dyDescent="0.25">
      <c r="A17" s="527"/>
      <c r="B17" s="2" t="s">
        <v>24</v>
      </c>
      <c r="C17" s="201">
        <f>SUM(C5:C16)</f>
        <v>2400856617.0800004</v>
      </c>
      <c r="D17" s="207">
        <f>SUM(D5:D16)</f>
        <v>2406062746.3299999</v>
      </c>
      <c r="E17" s="203">
        <f>SUM(E5:E16)</f>
        <v>1586894033.3199997</v>
      </c>
      <c r="F17" s="90">
        <f t="shared" ref="F17:F29" si="5">+E17/D17</f>
        <v>0.6595397546221563</v>
      </c>
      <c r="G17" s="203">
        <f>SUM(G5:G16)</f>
        <v>1528246563.6599998</v>
      </c>
      <c r="H17" s="90">
        <f t="shared" ref="H17:H29" si="6">+G17/D17</f>
        <v>0.63516488337266142</v>
      </c>
      <c r="I17" s="203">
        <f>SUM(I5:I16)</f>
        <v>698467265.36000001</v>
      </c>
      <c r="J17" s="170">
        <f>+I17/D17</f>
        <v>0.29029470092805421</v>
      </c>
      <c r="K17" s="568">
        <f>SUM(K5:K16)</f>
        <v>1551280068.54</v>
      </c>
      <c r="L17" s="90">
        <v>0.64591995958955295</v>
      </c>
      <c r="M17" s="629">
        <f t="shared" si="4"/>
        <v>-1.4848063445872972E-2</v>
      </c>
      <c r="N17" s="568">
        <f>SUM(N5:N16)</f>
        <v>850933356.13999999</v>
      </c>
      <c r="O17" s="90">
        <v>0.35431051436678668</v>
      </c>
      <c r="P17" s="629">
        <f t="shared" ref="P17:P29" si="7">+I17/N17-1</f>
        <v>-0.17917512538422042</v>
      </c>
    </row>
    <row r="18" spans="1:18" ht="15" customHeight="1" x14ac:dyDescent="0.25">
      <c r="A18" s="29">
        <v>1</v>
      </c>
      <c r="B18" s="21" t="s">
        <v>25</v>
      </c>
      <c r="C18" s="198">
        <v>48735421.579999998</v>
      </c>
      <c r="D18" s="204">
        <v>52091870.200000003</v>
      </c>
      <c r="E18" s="30">
        <v>44999221.770000003</v>
      </c>
      <c r="F18" s="48">
        <f t="shared" si="5"/>
        <v>0.86384346726718209</v>
      </c>
      <c r="G18" s="30">
        <v>43412635.619999997</v>
      </c>
      <c r="H18" s="48">
        <f t="shared" si="6"/>
        <v>0.8333860054039679</v>
      </c>
      <c r="I18" s="30">
        <v>17467877.989999998</v>
      </c>
      <c r="J18" s="153">
        <f t="shared" ref="J18:J29" si="8">+I18/D18</f>
        <v>0.3353282944715622</v>
      </c>
      <c r="K18" s="578">
        <v>42595096.390000001</v>
      </c>
      <c r="L18" s="48">
        <v>0.86454854267183567</v>
      </c>
      <c r="M18" s="625">
        <f t="shared" si="4"/>
        <v>1.9193271040277127E-2</v>
      </c>
      <c r="N18" s="578">
        <v>17025149.960000001</v>
      </c>
      <c r="O18" s="48">
        <v>0.34555781848501793</v>
      </c>
      <c r="P18" s="625">
        <f t="shared" si="7"/>
        <v>2.6004354207755709E-2</v>
      </c>
    </row>
    <row r="19" spans="1:18" ht="15" customHeight="1" x14ac:dyDescent="0.25">
      <c r="A19" s="31">
        <v>2</v>
      </c>
      <c r="B19" s="23" t="s">
        <v>26</v>
      </c>
      <c r="C19" s="199">
        <v>43192677.759999998</v>
      </c>
      <c r="D19" s="204">
        <v>43670876.600000001</v>
      </c>
      <c r="E19" s="30">
        <v>38593392.740000002</v>
      </c>
      <c r="F19" s="280">
        <f t="shared" si="5"/>
        <v>0.88373295304999677</v>
      </c>
      <c r="G19" s="30">
        <v>37703485.100000001</v>
      </c>
      <c r="H19" s="280">
        <f t="shared" si="6"/>
        <v>0.86335535339357028</v>
      </c>
      <c r="I19" s="30">
        <v>13959097.189999999</v>
      </c>
      <c r="J19" s="178">
        <f t="shared" si="8"/>
        <v>0.31964316443329649</v>
      </c>
      <c r="K19" s="579">
        <v>35241228.990000002</v>
      </c>
      <c r="L19" s="280">
        <v>0.81094729639580609</v>
      </c>
      <c r="M19" s="626">
        <f t="shared" si="4"/>
        <v>6.9868622081786347E-2</v>
      </c>
      <c r="N19" s="579">
        <v>13974546.42</v>
      </c>
      <c r="O19" s="280">
        <v>0.32157279874865941</v>
      </c>
      <c r="P19" s="626">
        <f>+I19/N19-1</f>
        <v>-1.1055264003337895E-3</v>
      </c>
    </row>
    <row r="20" spans="1:18" ht="15" customHeight="1" x14ac:dyDescent="0.25">
      <c r="A20" s="35">
        <v>3</v>
      </c>
      <c r="B20" s="23" t="s">
        <v>27</v>
      </c>
      <c r="C20" s="199">
        <v>37174801.850000001</v>
      </c>
      <c r="D20" s="204">
        <v>37862184</v>
      </c>
      <c r="E20" s="30">
        <v>32348185.75</v>
      </c>
      <c r="F20" s="280">
        <f t="shared" si="5"/>
        <v>0.85436660890982941</v>
      </c>
      <c r="G20" s="30">
        <v>31669659.629999999</v>
      </c>
      <c r="H20" s="280">
        <f t="shared" si="6"/>
        <v>0.83644566383175356</v>
      </c>
      <c r="I20" s="30">
        <v>10555349.779999999</v>
      </c>
      <c r="J20" s="178">
        <f t="shared" si="8"/>
        <v>0.27878343679276396</v>
      </c>
      <c r="K20" s="579">
        <v>29459613.329999998</v>
      </c>
      <c r="L20" s="280">
        <v>0.76642088403961062</v>
      </c>
      <c r="M20" s="626">
        <f t="shared" si="4"/>
        <v>7.5019528438596828E-2</v>
      </c>
      <c r="N20" s="579">
        <v>9510785.5999999996</v>
      </c>
      <c r="O20" s="280">
        <v>0.24743246375335909</v>
      </c>
      <c r="P20" s="626">
        <f t="shared" si="7"/>
        <v>0.10982943196616679</v>
      </c>
    </row>
    <row r="21" spans="1:18" ht="15" customHeight="1" x14ac:dyDescent="0.25">
      <c r="A21" s="35">
        <v>4</v>
      </c>
      <c r="B21" s="23" t="s">
        <v>28</v>
      </c>
      <c r="C21" s="199">
        <v>16159465.359999999</v>
      </c>
      <c r="D21" s="204">
        <v>16902024.309999999</v>
      </c>
      <c r="E21" s="30">
        <v>13506170.880000001</v>
      </c>
      <c r="F21" s="280">
        <f t="shared" si="5"/>
        <v>0.79908599303156502</v>
      </c>
      <c r="G21" s="30">
        <v>12974071.09</v>
      </c>
      <c r="H21" s="280">
        <f t="shared" si="6"/>
        <v>0.76760456925410736</v>
      </c>
      <c r="I21" s="30">
        <v>5336049.33</v>
      </c>
      <c r="J21" s="178">
        <f t="shared" si="8"/>
        <v>0.31570474826751688</v>
      </c>
      <c r="K21" s="579">
        <v>12542330.98</v>
      </c>
      <c r="L21" s="280">
        <v>0.70573844010318409</v>
      </c>
      <c r="M21" s="626">
        <f t="shared" si="4"/>
        <v>3.4422637282372159E-2</v>
      </c>
      <c r="N21" s="579">
        <v>5576790.0800000001</v>
      </c>
      <c r="O21" s="280">
        <v>0.31379774127457377</v>
      </c>
      <c r="P21" s="626">
        <f t="shared" si="7"/>
        <v>-4.3168336363128779E-2</v>
      </c>
      <c r="R21" s="342"/>
    </row>
    <row r="22" spans="1:18" ht="15" customHeight="1" x14ac:dyDescent="0.25">
      <c r="A22" s="35">
        <v>5</v>
      </c>
      <c r="B22" s="23" t="s">
        <v>29</v>
      </c>
      <c r="C22" s="199">
        <v>22086461.75</v>
      </c>
      <c r="D22" s="204">
        <v>23057192</v>
      </c>
      <c r="E22" s="30">
        <v>19001655.030000001</v>
      </c>
      <c r="F22" s="280">
        <f t="shared" si="5"/>
        <v>0.82410967606116137</v>
      </c>
      <c r="G22" s="30">
        <v>17699918.109999999</v>
      </c>
      <c r="H22" s="280">
        <f t="shared" si="6"/>
        <v>0.76765280481682241</v>
      </c>
      <c r="I22" s="30">
        <v>7559194.8200000003</v>
      </c>
      <c r="J22" s="178">
        <f t="shared" si="8"/>
        <v>0.32784542107295633</v>
      </c>
      <c r="K22" s="579">
        <v>17628760.960000001</v>
      </c>
      <c r="L22" s="280">
        <v>0.78408624902368629</v>
      </c>
      <c r="M22" s="626">
        <f t="shared" si="4"/>
        <v>4.0364237827863469E-3</v>
      </c>
      <c r="N22" s="579">
        <v>9832414.0800000001</v>
      </c>
      <c r="O22" s="280">
        <v>0.43732288913144801</v>
      </c>
      <c r="P22" s="626">
        <f t="shared" si="7"/>
        <v>-0.23119645302814584</v>
      </c>
    </row>
    <row r="23" spans="1:18" ht="15" customHeight="1" x14ac:dyDescent="0.25">
      <c r="A23" s="35">
        <v>6</v>
      </c>
      <c r="B23" s="23" t="s">
        <v>30</v>
      </c>
      <c r="C23" s="199">
        <v>25671480.27</v>
      </c>
      <c r="D23" s="204">
        <v>26682364.27</v>
      </c>
      <c r="E23" s="30">
        <v>22088927.809999999</v>
      </c>
      <c r="F23" s="280">
        <f t="shared" si="5"/>
        <v>0.82784747207860521</v>
      </c>
      <c r="G23" s="30">
        <v>21362860.059999999</v>
      </c>
      <c r="H23" s="280">
        <f t="shared" si="6"/>
        <v>0.80063594979171604</v>
      </c>
      <c r="I23" s="30">
        <v>9114450.7699999996</v>
      </c>
      <c r="J23" s="178">
        <f t="shared" si="8"/>
        <v>0.34159082297844662</v>
      </c>
      <c r="K23" s="579">
        <v>21453210.879999999</v>
      </c>
      <c r="L23" s="280">
        <v>0.77552377583009391</v>
      </c>
      <c r="M23" s="626">
        <f t="shared" si="4"/>
        <v>-4.2115290109897563E-3</v>
      </c>
      <c r="N23" s="579">
        <v>7484696.2599999998</v>
      </c>
      <c r="O23" s="280">
        <v>0.27056835160782156</v>
      </c>
      <c r="P23" s="626">
        <f t="shared" si="7"/>
        <v>0.21774490953090453</v>
      </c>
    </row>
    <row r="24" spans="1:18" ht="15" customHeight="1" x14ac:dyDescent="0.25">
      <c r="A24" s="35">
        <v>7</v>
      </c>
      <c r="B24" s="23" t="s">
        <v>31</v>
      </c>
      <c r="C24" s="199">
        <v>31914406.829999998</v>
      </c>
      <c r="D24" s="204">
        <v>32604195.309999999</v>
      </c>
      <c r="E24" s="30">
        <v>28753882.18</v>
      </c>
      <c r="F24" s="280">
        <f t="shared" si="5"/>
        <v>0.88190743266652338</v>
      </c>
      <c r="G24" s="30">
        <v>27599179.510000002</v>
      </c>
      <c r="H24" s="280">
        <f t="shared" si="6"/>
        <v>0.84649166303868528</v>
      </c>
      <c r="I24" s="30">
        <v>10828805.199999999</v>
      </c>
      <c r="J24" s="178">
        <f t="shared" si="8"/>
        <v>0.33212919678096481</v>
      </c>
      <c r="K24" s="579">
        <v>26528785.82</v>
      </c>
      <c r="L24" s="280">
        <v>0.82646126788247654</v>
      </c>
      <c r="M24" s="626">
        <f t="shared" si="4"/>
        <v>4.0348385985800928E-2</v>
      </c>
      <c r="N24" s="579">
        <v>9342157.8100000005</v>
      </c>
      <c r="O24" s="280">
        <v>0.29103976491038597</v>
      </c>
      <c r="P24" s="626">
        <f t="shared" si="7"/>
        <v>0.15913319173528273</v>
      </c>
    </row>
    <row r="25" spans="1:18" ht="15" customHeight="1" x14ac:dyDescent="0.25">
      <c r="A25" s="35">
        <v>8</v>
      </c>
      <c r="B25" s="23" t="s">
        <v>32</v>
      </c>
      <c r="C25" s="199">
        <v>36364709.509999998</v>
      </c>
      <c r="D25" s="204">
        <v>38675804.189999998</v>
      </c>
      <c r="E25" s="30">
        <v>31530519.940000001</v>
      </c>
      <c r="F25" s="280">
        <f t="shared" si="5"/>
        <v>0.81525182476108726</v>
      </c>
      <c r="G25" s="30">
        <v>29691332.34</v>
      </c>
      <c r="H25" s="280">
        <f t="shared" si="6"/>
        <v>0.76769786593544143</v>
      </c>
      <c r="I25" s="30">
        <v>12741724.92</v>
      </c>
      <c r="J25" s="178">
        <f t="shared" si="8"/>
        <v>0.32944951467342715</v>
      </c>
      <c r="K25" s="579">
        <v>27522153.079999998</v>
      </c>
      <c r="L25" s="280">
        <v>0.74141595272885752</v>
      </c>
      <c r="M25" s="626">
        <f t="shared" si="4"/>
        <v>7.8815754483115619E-2</v>
      </c>
      <c r="N25" s="579">
        <v>10641769.4</v>
      </c>
      <c r="O25" s="280">
        <v>0.28667733863290479</v>
      </c>
      <c r="P25" s="626">
        <f t="shared" si="7"/>
        <v>0.19733142497900769</v>
      </c>
    </row>
    <row r="26" spans="1:18" ht="15" customHeight="1" x14ac:dyDescent="0.25">
      <c r="A26" s="35">
        <v>9</v>
      </c>
      <c r="B26" s="23" t="s">
        <v>33</v>
      </c>
      <c r="C26" s="199">
        <v>29247888.579999998</v>
      </c>
      <c r="D26" s="204">
        <v>30118280.510000002</v>
      </c>
      <c r="E26" s="30">
        <v>23769810.07</v>
      </c>
      <c r="F26" s="280">
        <f t="shared" si="5"/>
        <v>0.78921537576183487</v>
      </c>
      <c r="G26" s="30">
        <v>22735516.829999998</v>
      </c>
      <c r="H26" s="280">
        <f t="shared" si="6"/>
        <v>0.7548743303075105</v>
      </c>
      <c r="I26" s="30">
        <v>8996533.7899999991</v>
      </c>
      <c r="J26" s="178">
        <f t="shared" si="8"/>
        <v>0.29870675342879988</v>
      </c>
      <c r="K26" s="579">
        <v>22931173.239999998</v>
      </c>
      <c r="L26" s="280">
        <v>0.7400391754629384</v>
      </c>
      <c r="M26" s="626">
        <f t="shared" si="4"/>
        <v>-8.5323331672670921E-3</v>
      </c>
      <c r="N26" s="579">
        <v>8791599.4600000009</v>
      </c>
      <c r="O26" s="280">
        <v>0.28372416654329091</v>
      </c>
      <c r="P26" s="626">
        <f t="shared" si="7"/>
        <v>2.3310244163466276E-2</v>
      </c>
    </row>
    <row r="27" spans="1:18" ht="15" customHeight="1" x14ac:dyDescent="0.25">
      <c r="A27" s="36">
        <v>10</v>
      </c>
      <c r="B27" s="24" t="s">
        <v>34</v>
      </c>
      <c r="C27" s="200">
        <v>44779723.270000003</v>
      </c>
      <c r="D27" s="206">
        <v>45333000.119999997</v>
      </c>
      <c r="E27" s="180">
        <v>40886062.399999999</v>
      </c>
      <c r="F27" s="390">
        <f t="shared" si="5"/>
        <v>0.90190506456160835</v>
      </c>
      <c r="G27" s="180">
        <v>39592495.770000003</v>
      </c>
      <c r="H27" s="390">
        <f t="shared" si="6"/>
        <v>0.87337029680796707</v>
      </c>
      <c r="I27" s="180">
        <v>14705490.810000001</v>
      </c>
      <c r="J27" s="392">
        <f t="shared" si="8"/>
        <v>0.32438821103993593</v>
      </c>
      <c r="K27" s="580">
        <v>37993442.829999998</v>
      </c>
      <c r="L27" s="390">
        <v>0.85539513171416393</v>
      </c>
      <c r="M27" s="628">
        <f t="shared" si="4"/>
        <v>4.2087603041264243E-2</v>
      </c>
      <c r="N27" s="580">
        <v>12251230.960000001</v>
      </c>
      <c r="O27" s="390">
        <v>0.27582768341317604</v>
      </c>
      <c r="P27" s="628">
        <f t="shared" si="7"/>
        <v>0.20032761263036369</v>
      </c>
    </row>
    <row r="28" spans="1:18" ht="15" customHeight="1" thickBot="1" x14ac:dyDescent="0.3">
      <c r="A28" s="10">
        <v>6</v>
      </c>
      <c r="B28" s="2" t="s">
        <v>35</v>
      </c>
      <c r="C28" s="528">
        <f>SUM(C18:C27)</f>
        <v>335327036.75999999</v>
      </c>
      <c r="D28" s="207">
        <f>SUM(D18:D27)</f>
        <v>346997791.50999999</v>
      </c>
      <c r="E28" s="529">
        <f>SUM(E18:E27)</f>
        <v>295477828.56999999</v>
      </c>
      <c r="F28" s="90">
        <f t="shared" si="5"/>
        <v>0.85152653935978939</v>
      </c>
      <c r="G28" s="529">
        <f>SUM(G18:G27)</f>
        <v>284441154.06</v>
      </c>
      <c r="H28" s="90">
        <f t="shared" si="6"/>
        <v>0.81972035851358671</v>
      </c>
      <c r="I28" s="529">
        <f>SUM(I18:I27)</f>
        <v>111264574.59999999</v>
      </c>
      <c r="J28" s="170">
        <f t="shared" si="8"/>
        <v>0.32064922982886912</v>
      </c>
      <c r="K28" s="568">
        <f>SUM(K18:K27)</f>
        <v>273895796.5</v>
      </c>
      <c r="L28" s="90">
        <v>0.79689358925251386</v>
      </c>
      <c r="M28" s="629">
        <f t="shared" si="4"/>
        <v>3.8501348668927182E-2</v>
      </c>
      <c r="N28" s="568">
        <f>SUM(N18:N27)</f>
        <v>104431140.03</v>
      </c>
      <c r="O28" s="90">
        <v>0.30384002628619594</v>
      </c>
      <c r="P28" s="629">
        <f t="shared" si="7"/>
        <v>6.5434836467713975E-2</v>
      </c>
      <c r="R28" s="342"/>
    </row>
    <row r="29" spans="1:18" s="6" customFormat="1" ht="19.5" customHeight="1" thickBot="1" x14ac:dyDescent="0.3">
      <c r="A29" s="5"/>
      <c r="B29" s="4" t="s">
        <v>11</v>
      </c>
      <c r="C29" s="202">
        <f>+C17+C28</f>
        <v>2736183653.8400002</v>
      </c>
      <c r="D29" s="208">
        <f>+D17+D28</f>
        <v>2753060537.8400002</v>
      </c>
      <c r="E29" s="209">
        <f>+E17+E28</f>
        <v>1882371861.8899996</v>
      </c>
      <c r="F29" s="181">
        <f t="shared" si="5"/>
        <v>0.68373791132354589</v>
      </c>
      <c r="G29" s="209">
        <f>+G17+G28</f>
        <v>1812687717.7199998</v>
      </c>
      <c r="H29" s="181">
        <f t="shared" si="6"/>
        <v>0.65842639230236499</v>
      </c>
      <c r="I29" s="209">
        <f>+I17+I28</f>
        <v>809731839.96000004</v>
      </c>
      <c r="J29" s="173">
        <f t="shared" si="8"/>
        <v>0.29412060825778297</v>
      </c>
      <c r="K29" s="576">
        <f>K17+K28</f>
        <v>1825175865.04</v>
      </c>
      <c r="L29" s="181">
        <v>0.66482101933943283</v>
      </c>
      <c r="M29" s="630">
        <f t="shared" si="4"/>
        <v>-6.8421611085277556E-3</v>
      </c>
      <c r="N29" s="576">
        <f>+N28+N17</f>
        <v>955364496.16999996</v>
      </c>
      <c r="O29" s="181">
        <v>0.34799188963115257</v>
      </c>
      <c r="P29" s="630">
        <f t="shared" si="7"/>
        <v>-0.15243674722457523</v>
      </c>
    </row>
    <row r="30" spans="1:18" ht="33.6" customHeight="1" x14ac:dyDescent="0.25">
      <c r="A30" s="718" t="s">
        <v>772</v>
      </c>
      <c r="B30" s="770" t="s">
        <v>773</v>
      </c>
      <c r="C30" s="771"/>
      <c r="D30" s="771"/>
      <c r="E30" s="771"/>
      <c r="F30" s="771"/>
      <c r="G30" s="771"/>
      <c r="H30" s="771"/>
      <c r="I30" s="771"/>
      <c r="J30" s="771"/>
      <c r="K30" s="771"/>
      <c r="L30" s="771"/>
      <c r="M30" s="771"/>
      <c r="N30" s="771"/>
      <c r="O30" s="771"/>
      <c r="P30" s="771"/>
    </row>
    <row r="32" spans="1:18" ht="14.4" thickBot="1" x14ac:dyDescent="0.3">
      <c r="A32" s="7" t="s">
        <v>19</v>
      </c>
    </row>
    <row r="33" spans="1:16" ht="26.25" customHeight="1" x14ac:dyDescent="0.25">
      <c r="A33" s="772" t="s">
        <v>464</v>
      </c>
      <c r="B33" s="771"/>
      <c r="C33" s="164" t="s">
        <v>765</v>
      </c>
      <c r="D33" s="746" t="s">
        <v>780</v>
      </c>
      <c r="E33" s="744"/>
      <c r="F33" s="744"/>
      <c r="G33" s="744"/>
      <c r="H33" s="744"/>
      <c r="I33" s="744"/>
      <c r="J33" s="745"/>
      <c r="K33" s="755" t="s">
        <v>781</v>
      </c>
      <c r="L33" s="753"/>
      <c r="M33" s="753"/>
      <c r="N33" s="753"/>
      <c r="O33" s="753"/>
      <c r="P33" s="756"/>
    </row>
    <row r="34" spans="1:16" x14ac:dyDescent="0.25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543</v>
      </c>
      <c r="L34" s="88" t="s">
        <v>544</v>
      </c>
      <c r="M34" s="88" t="s">
        <v>545</v>
      </c>
      <c r="N34" s="87" t="s">
        <v>39</v>
      </c>
      <c r="O34" s="88" t="s">
        <v>40</v>
      </c>
      <c r="P34" s="611" t="s">
        <v>362</v>
      </c>
    </row>
    <row r="35" spans="1:16" ht="26.4" x14ac:dyDescent="0.25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764</v>
      </c>
      <c r="N35" s="564" t="s">
        <v>17</v>
      </c>
      <c r="O35" s="89" t="s">
        <v>18</v>
      </c>
      <c r="P35" s="587" t="s">
        <v>764</v>
      </c>
    </row>
    <row r="36" spans="1:16" ht="15" customHeight="1" x14ac:dyDescent="0.25">
      <c r="A36" s="29">
        <v>1</v>
      </c>
      <c r="B36" s="21" t="s">
        <v>512</v>
      </c>
      <c r="C36" s="198">
        <v>147387289.73999998</v>
      </c>
      <c r="D36" s="204">
        <v>150048245.19000003</v>
      </c>
      <c r="E36" s="30">
        <v>106941202.66</v>
      </c>
      <c r="F36" s="48">
        <f t="shared" ref="F36:F47" si="9">+E36/D36</f>
        <v>0.71271211818961744</v>
      </c>
      <c r="G36" s="30">
        <v>98184997.810000002</v>
      </c>
      <c r="H36" s="48">
        <f t="shared" ref="H36:H47" si="10">+G36/D36</f>
        <v>0.65435618847572863</v>
      </c>
      <c r="I36" s="30">
        <v>50191672.940000005</v>
      </c>
      <c r="J36" s="153">
        <f t="shared" ref="J36:J47" si="11">+I36/D36</f>
        <v>0.33450356501300177</v>
      </c>
      <c r="K36" s="578">
        <v>97253244.030000001</v>
      </c>
      <c r="L36" s="48">
        <v>0.63886720177884448</v>
      </c>
      <c r="M36" s="210">
        <f t="shared" ref="M36:M60" si="12">+G36/K36-1</f>
        <v>9.5806961432831628E-3</v>
      </c>
      <c r="N36" s="578">
        <v>49970210.059999995</v>
      </c>
      <c r="O36" s="48">
        <v>0.32825977777651788</v>
      </c>
      <c r="P36" s="210">
        <f t="shared" ref="P36:P43" si="13">+I36/N36-1</f>
        <v>4.4318981195816676E-3</v>
      </c>
    </row>
    <row r="37" spans="1:16" ht="15" customHeight="1" x14ac:dyDescent="0.25">
      <c r="A37" s="31">
        <v>2</v>
      </c>
      <c r="B37" s="23" t="s">
        <v>513</v>
      </c>
      <c r="C37" s="199">
        <v>347088506.07999998</v>
      </c>
      <c r="D37" s="204">
        <v>349954321.37</v>
      </c>
      <c r="E37" s="30">
        <v>307867286.38999999</v>
      </c>
      <c r="F37" s="48">
        <f t="shared" si="9"/>
        <v>0.87973563288134915</v>
      </c>
      <c r="G37" s="30">
        <v>295362108.55000001</v>
      </c>
      <c r="H37" s="280">
        <f t="shared" si="10"/>
        <v>0.84400188971439882</v>
      </c>
      <c r="I37" s="30">
        <v>129268341.63</v>
      </c>
      <c r="J37" s="178">
        <f t="shared" si="11"/>
        <v>0.36938632768968455</v>
      </c>
      <c r="K37" s="579">
        <v>269220419.82999998</v>
      </c>
      <c r="L37" s="280">
        <v>0.82582319576928986</v>
      </c>
      <c r="M37" s="211">
        <f t="shared" si="12"/>
        <v>9.7101433600420339E-2</v>
      </c>
      <c r="N37" s="579">
        <v>136434376.18000001</v>
      </c>
      <c r="O37" s="280">
        <v>0.41850715714990455</v>
      </c>
      <c r="P37" s="211">
        <f t="shared" si="13"/>
        <v>-5.2523672923499465E-2</v>
      </c>
    </row>
    <row r="38" spans="1:16" ht="15" customHeight="1" x14ac:dyDescent="0.25">
      <c r="A38" s="31">
        <v>3</v>
      </c>
      <c r="B38" s="23" t="s">
        <v>771</v>
      </c>
      <c r="C38" s="199">
        <v>220166239.43000001</v>
      </c>
      <c r="D38" s="204">
        <v>222666768.93000001</v>
      </c>
      <c r="E38" s="30">
        <v>141394879.84</v>
      </c>
      <c r="F38" s="48">
        <f t="shared" si="9"/>
        <v>0.63500665375195908</v>
      </c>
      <c r="G38" s="30">
        <v>139163372.09999999</v>
      </c>
      <c r="H38" s="280">
        <f t="shared" si="10"/>
        <v>0.6249849170073013</v>
      </c>
      <c r="I38" s="30">
        <v>69179147.829999998</v>
      </c>
      <c r="J38" s="178">
        <f t="shared" si="11"/>
        <v>0.31068465295666964</v>
      </c>
      <c r="K38" s="579">
        <v>0</v>
      </c>
      <c r="L38" s="280" t="s">
        <v>129</v>
      </c>
      <c r="M38" s="211" t="s">
        <v>129</v>
      </c>
      <c r="N38" s="579">
        <v>0</v>
      </c>
      <c r="O38" s="280" t="s">
        <v>129</v>
      </c>
      <c r="P38" s="211" t="s">
        <v>129</v>
      </c>
    </row>
    <row r="39" spans="1:16" ht="15" customHeight="1" x14ac:dyDescent="0.25">
      <c r="A39" s="31">
        <v>4</v>
      </c>
      <c r="B39" s="23" t="s">
        <v>514</v>
      </c>
      <c r="C39" s="199">
        <v>239984203.19</v>
      </c>
      <c r="D39" s="204">
        <v>237863043.52000001</v>
      </c>
      <c r="E39" s="30">
        <v>104210335.38</v>
      </c>
      <c r="F39" s="48">
        <f t="shared" si="9"/>
        <v>0.43811066165575979</v>
      </c>
      <c r="G39" s="30">
        <v>102578378.41</v>
      </c>
      <c r="H39" s="280">
        <f t="shared" si="10"/>
        <v>0.43124975150406247</v>
      </c>
      <c r="I39" s="30">
        <v>91997737.150000006</v>
      </c>
      <c r="J39" s="178">
        <f t="shared" si="11"/>
        <v>0.38676767852869354</v>
      </c>
      <c r="K39" s="579">
        <v>120435344.77999999</v>
      </c>
      <c r="L39" s="280">
        <v>0.47216287365142934</v>
      </c>
      <c r="M39" s="211">
        <f t="shared" si="12"/>
        <v>-0.14827014779273828</v>
      </c>
      <c r="N39" s="579">
        <v>110679438.33999999</v>
      </c>
      <c r="O39" s="280">
        <v>0.43391515801446762</v>
      </c>
      <c r="P39" s="211">
        <f t="shared" si="13"/>
        <v>-0.16879107330316423</v>
      </c>
    </row>
    <row r="40" spans="1:16" ht="15" customHeight="1" x14ac:dyDescent="0.25">
      <c r="A40" s="131" t="s">
        <v>420</v>
      </c>
      <c r="B40" s="23" t="s">
        <v>515</v>
      </c>
      <c r="C40" s="199">
        <v>50177184.560000002</v>
      </c>
      <c r="D40" s="204">
        <v>54804138.759999998</v>
      </c>
      <c r="E40" s="30">
        <v>34816771.530000001</v>
      </c>
      <c r="F40" s="48">
        <f t="shared" si="9"/>
        <v>0.63529456566174136</v>
      </c>
      <c r="G40" s="30">
        <v>31170198.960000001</v>
      </c>
      <c r="H40" s="280">
        <f t="shared" si="10"/>
        <v>0.56875629587943188</v>
      </c>
      <c r="I40" s="30">
        <v>17285734.75</v>
      </c>
      <c r="J40" s="178">
        <f t="shared" si="11"/>
        <v>0.3154092946464907</v>
      </c>
      <c r="K40" s="579">
        <v>31427441.609999999</v>
      </c>
      <c r="L40" s="280">
        <v>0.67134442565755104</v>
      </c>
      <c r="M40" s="211">
        <f t="shared" si="12"/>
        <v>-8.1852876601367086E-3</v>
      </c>
      <c r="N40" s="579">
        <v>19736210.210000001</v>
      </c>
      <c r="O40" s="280">
        <v>0.42159953306135967</v>
      </c>
      <c r="P40" s="211">
        <f t="shared" si="13"/>
        <v>-0.1241613984613108</v>
      </c>
    </row>
    <row r="41" spans="1:16" ht="15" customHeight="1" x14ac:dyDescent="0.25">
      <c r="A41" s="131" t="s">
        <v>419</v>
      </c>
      <c r="B41" s="23" t="s">
        <v>516</v>
      </c>
      <c r="C41" s="199">
        <v>283222598.26999998</v>
      </c>
      <c r="D41" s="204">
        <v>283723738.50999999</v>
      </c>
      <c r="E41" s="30">
        <v>268512930.33999997</v>
      </c>
      <c r="F41" s="48">
        <f t="shared" si="9"/>
        <v>0.94638866578496073</v>
      </c>
      <c r="G41" s="30">
        <v>267412788.30000001</v>
      </c>
      <c r="H41" s="280">
        <f t="shared" si="10"/>
        <v>0.94251115435155919</v>
      </c>
      <c r="I41" s="30">
        <v>68589594.569999993</v>
      </c>
      <c r="J41" s="178">
        <f t="shared" si="11"/>
        <v>0.24174781754323499</v>
      </c>
      <c r="K41" s="579">
        <v>269521533.18000001</v>
      </c>
      <c r="L41" s="280">
        <v>0.92660784945088959</v>
      </c>
      <c r="M41" s="211">
        <f t="shared" si="12"/>
        <v>-7.8240311826649478E-3</v>
      </c>
      <c r="N41" s="579">
        <v>70290440.370000005</v>
      </c>
      <c r="O41" s="280">
        <v>0.24165666104571873</v>
      </c>
      <c r="P41" s="211">
        <f t="shared" si="13"/>
        <v>-2.4197398551594973E-2</v>
      </c>
    </row>
    <row r="42" spans="1:16" ht="15" customHeight="1" x14ac:dyDescent="0.25">
      <c r="A42" s="131" t="s">
        <v>443</v>
      </c>
      <c r="B42" s="23" t="s">
        <v>517</v>
      </c>
      <c r="C42" s="199">
        <v>4757330.3899999997</v>
      </c>
      <c r="D42" s="204">
        <v>4637046.9400000004</v>
      </c>
      <c r="E42" s="30">
        <v>3516942.92</v>
      </c>
      <c r="F42" s="48">
        <f t="shared" si="9"/>
        <v>0.75844453711740933</v>
      </c>
      <c r="G42" s="30">
        <v>3330229.66</v>
      </c>
      <c r="H42" s="280">
        <f t="shared" si="10"/>
        <v>0.71817898397207081</v>
      </c>
      <c r="I42" s="30">
        <v>1164010.8799999999</v>
      </c>
      <c r="J42" s="178">
        <f t="shared" si="11"/>
        <v>0.25102417445012964</v>
      </c>
      <c r="K42" s="566">
        <v>3412493.86</v>
      </c>
      <c r="L42" s="280">
        <v>0.68612764623070244</v>
      </c>
      <c r="M42" s="211">
        <f t="shared" si="12"/>
        <v>-2.41067686492481E-2</v>
      </c>
      <c r="N42" s="566">
        <v>1065042.58</v>
      </c>
      <c r="O42" s="280">
        <v>0.21414109109953816</v>
      </c>
      <c r="P42" s="211">
        <f t="shared" si="13"/>
        <v>9.2924265995073974E-2</v>
      </c>
    </row>
    <row r="43" spans="1:16" ht="15" customHeight="1" x14ac:dyDescent="0.25">
      <c r="A43" s="131" t="s">
        <v>447</v>
      </c>
      <c r="B43" s="23" t="s">
        <v>518</v>
      </c>
      <c r="C43" s="199">
        <v>36983581.259999998</v>
      </c>
      <c r="D43" s="204">
        <v>36905388.020000003</v>
      </c>
      <c r="E43" s="30">
        <v>30405845.850000001</v>
      </c>
      <c r="F43" s="48">
        <f t="shared" si="9"/>
        <v>0.82388636134979187</v>
      </c>
      <c r="G43" s="30">
        <v>29914124.609999999</v>
      </c>
      <c r="H43" s="280">
        <f t="shared" si="10"/>
        <v>0.81056252799154271</v>
      </c>
      <c r="I43" s="30">
        <v>10191285.640000001</v>
      </c>
      <c r="J43" s="178">
        <f t="shared" si="11"/>
        <v>0.27614628071318675</v>
      </c>
      <c r="K43" s="566">
        <v>26585270.600000001</v>
      </c>
      <c r="L43" s="280">
        <v>0.72706710230322757</v>
      </c>
      <c r="M43" s="211">
        <f t="shared" si="12"/>
        <v>0.12521422332259413</v>
      </c>
      <c r="N43" s="566">
        <v>6491184.8500000006</v>
      </c>
      <c r="O43" s="280">
        <v>0.17752412719109623</v>
      </c>
      <c r="P43" s="211">
        <f t="shared" si="13"/>
        <v>0.5700193224354102</v>
      </c>
    </row>
    <row r="44" spans="1:16" ht="15" customHeight="1" x14ac:dyDescent="0.25">
      <c r="A44" s="131" t="s">
        <v>510</v>
      </c>
      <c r="B44" s="23" t="s">
        <v>519</v>
      </c>
      <c r="C44" s="199">
        <v>82667330.079999998</v>
      </c>
      <c r="D44" s="204">
        <v>82735954.120000005</v>
      </c>
      <c r="E44" s="30">
        <v>62970230.880000003</v>
      </c>
      <c r="F44" s="48">
        <f t="shared" si="9"/>
        <v>0.76109874539753475</v>
      </c>
      <c r="G44" s="30">
        <v>52508345.549999997</v>
      </c>
      <c r="H44" s="280">
        <f t="shared" si="10"/>
        <v>0.63464966481007801</v>
      </c>
      <c r="I44" s="30">
        <v>24147302.100000001</v>
      </c>
      <c r="J44" s="178">
        <f t="shared" si="11"/>
        <v>0.29185983719939723</v>
      </c>
      <c r="K44" s="566">
        <v>57230941.990000002</v>
      </c>
      <c r="L44" s="280">
        <v>0.63559123267921136</v>
      </c>
      <c r="M44" s="211">
        <f t="shared" si="12"/>
        <v>-8.2518237089740487E-2</v>
      </c>
      <c r="N44" s="566">
        <v>30387529.440000001</v>
      </c>
      <c r="O44" s="280">
        <v>0.33747561412181859</v>
      </c>
      <c r="P44" s="211">
        <f t="shared" ref="P44:P45" si="14">+I44/N44-1</f>
        <v>-0.20535487599678981</v>
      </c>
    </row>
    <row r="45" spans="1:16" ht="26.4" x14ac:dyDescent="0.25">
      <c r="A45" s="717" t="s">
        <v>511</v>
      </c>
      <c r="B45" s="728" t="s">
        <v>784</v>
      </c>
      <c r="C45" s="199">
        <v>39407700.859999999</v>
      </c>
      <c r="D45" s="204">
        <v>46560228.119999997</v>
      </c>
      <c r="E45" s="30">
        <v>15868635.92</v>
      </c>
      <c r="F45" s="48">
        <f t="shared" si="9"/>
        <v>0.34081954837295159</v>
      </c>
      <c r="G45" s="30">
        <v>10106634.42</v>
      </c>
      <c r="H45" s="390">
        <f t="shared" si="10"/>
        <v>0.21706582695325508</v>
      </c>
      <c r="I45" s="30">
        <v>9094994.5199999996</v>
      </c>
      <c r="J45" s="392">
        <f t="shared" si="11"/>
        <v>0.19533827232459874</v>
      </c>
      <c r="K45" s="579">
        <v>24412100.530000001</v>
      </c>
      <c r="L45" s="280">
        <v>0.40256080023818375</v>
      </c>
      <c r="M45" s="211">
        <f t="shared" si="12"/>
        <v>-0.58599898408660211</v>
      </c>
      <c r="N45" s="579">
        <v>20900807.940000001</v>
      </c>
      <c r="O45" s="280">
        <v>0.34465882850233309</v>
      </c>
      <c r="P45" s="211">
        <f t="shared" si="14"/>
        <v>-0.56484961987550808</v>
      </c>
    </row>
    <row r="46" spans="1:16" ht="15" customHeight="1" x14ac:dyDescent="0.25">
      <c r="A46" s="717" t="s">
        <v>421</v>
      </c>
      <c r="B46" s="24" t="s">
        <v>23</v>
      </c>
      <c r="C46" s="199">
        <v>298770260.13</v>
      </c>
      <c r="D46" s="204">
        <v>293399525.05000001</v>
      </c>
      <c r="E46" s="30">
        <v>216984016.83000001</v>
      </c>
      <c r="F46" s="48">
        <f>+E46/D46</f>
        <v>0.73955135678226624</v>
      </c>
      <c r="G46" s="30">
        <v>216984016.83000001</v>
      </c>
      <c r="H46" s="390">
        <f t="shared" si="10"/>
        <v>0.73955135678226624</v>
      </c>
      <c r="I46" s="30">
        <v>97535360.180000007</v>
      </c>
      <c r="J46" s="392">
        <f t="shared" si="11"/>
        <v>0.33243189525742556</v>
      </c>
      <c r="K46" s="580">
        <v>212708883.61000001</v>
      </c>
      <c r="L46" s="390">
        <v>0.521329820735002</v>
      </c>
      <c r="M46" s="211">
        <f t="shared" si="12"/>
        <v>2.0098517501687452E-2</v>
      </c>
      <c r="N46" s="580">
        <v>112333367.26000002</v>
      </c>
      <c r="O46" s="390">
        <v>0.27531870424175253</v>
      </c>
      <c r="P46" s="211">
        <f>+I46/N46-1</f>
        <v>-0.13173296092646669</v>
      </c>
    </row>
    <row r="47" spans="1:16" ht="15" customHeight="1" x14ac:dyDescent="0.25">
      <c r="A47" s="31">
        <v>8</v>
      </c>
      <c r="B47" s="524" t="s">
        <v>520</v>
      </c>
      <c r="C47" s="200">
        <v>72658648.889999986</v>
      </c>
      <c r="D47" s="516">
        <v>73958737.620000005</v>
      </c>
      <c r="E47" s="180">
        <v>56314530.850000001</v>
      </c>
      <c r="F47" s="78">
        <f t="shared" si="9"/>
        <v>0.76143174778542144</v>
      </c>
      <c r="G47" s="180">
        <v>50725602.57</v>
      </c>
      <c r="H47" s="390">
        <f t="shared" si="10"/>
        <v>0.68586355314267455</v>
      </c>
      <c r="I47" s="180">
        <v>19066848.059999999</v>
      </c>
      <c r="J47" s="392">
        <f t="shared" si="11"/>
        <v>0.25780386028173524</v>
      </c>
      <c r="K47" s="580">
        <v>150568143.77000001</v>
      </c>
      <c r="L47" s="390">
        <v>0.91035180438246577</v>
      </c>
      <c r="M47" s="520">
        <f t="shared" si="12"/>
        <v>-0.66310534685553568</v>
      </c>
      <c r="N47" s="580">
        <v>73498513.989999995</v>
      </c>
      <c r="O47" s="390">
        <v>0.44438021984539999</v>
      </c>
      <c r="P47" s="520">
        <f>+I47/N47-1</f>
        <v>-0.74058185635434504</v>
      </c>
    </row>
    <row r="48" spans="1:16" ht="15" customHeight="1" x14ac:dyDescent="0.25">
      <c r="A48" s="9"/>
      <c r="B48" s="2" t="s">
        <v>24</v>
      </c>
      <c r="C48" s="525">
        <f>SUM(C36:C47)</f>
        <v>1823270872.8799996</v>
      </c>
      <c r="D48" s="207">
        <f>SUM(D36:D47)</f>
        <v>1837257136.1500001</v>
      </c>
      <c r="E48" s="203">
        <f>SUM(E36:E47)</f>
        <v>1349803609.3899996</v>
      </c>
      <c r="F48" s="90">
        <f t="shared" ref="F48:F60" si="15">+E48/D48</f>
        <v>0.73468410209500312</v>
      </c>
      <c r="G48" s="203">
        <f>SUM(G36:G47)</f>
        <v>1297440797.77</v>
      </c>
      <c r="H48" s="90">
        <f t="shared" ref="H48:H60" si="16">+G48/D48</f>
        <v>0.7061835669278208</v>
      </c>
      <c r="I48" s="203">
        <f>SUM(I36:I47)</f>
        <v>587712030.24999988</v>
      </c>
      <c r="J48" s="170">
        <f t="shared" ref="J48:J60" si="17">+I48/D48</f>
        <v>0.3198855613001233</v>
      </c>
      <c r="K48" s="619">
        <f>SUM(K36:K47)</f>
        <v>1262775817.79</v>
      </c>
      <c r="L48" s="90">
        <v>0.68755592073219751</v>
      </c>
      <c r="M48" s="213">
        <f t="shared" si="12"/>
        <v>2.7451412587760515E-2</v>
      </c>
      <c r="N48" s="619">
        <f>SUM(N36:N47)</f>
        <v>631787121.22000003</v>
      </c>
      <c r="O48" s="90">
        <v>0.34399532341171318</v>
      </c>
      <c r="P48" s="213">
        <f t="shared" ref="P48:P60" si="18">+I48/N48-1</f>
        <v>-6.9762566360785927E-2</v>
      </c>
    </row>
    <row r="49" spans="1:16" ht="15" customHeight="1" x14ac:dyDescent="0.25">
      <c r="A49" s="29">
        <v>1</v>
      </c>
      <c r="B49" s="21" t="s">
        <v>25</v>
      </c>
      <c r="C49" s="199">
        <v>48396785.019999996</v>
      </c>
      <c r="D49" s="204">
        <v>49228383.079999998</v>
      </c>
      <c r="E49" s="30">
        <v>44684051.049999997</v>
      </c>
      <c r="F49" s="48">
        <f t="shared" si="15"/>
        <v>0.9076887814370197</v>
      </c>
      <c r="G49" s="30">
        <v>43100086.439999998</v>
      </c>
      <c r="H49" s="48">
        <f t="shared" si="16"/>
        <v>0.87551294077562869</v>
      </c>
      <c r="I49" s="30">
        <v>17361274.370000001</v>
      </c>
      <c r="J49" s="153">
        <f t="shared" si="17"/>
        <v>0.35266797899469016</v>
      </c>
      <c r="K49" s="578">
        <v>42323595.219999999</v>
      </c>
      <c r="L49" s="48">
        <v>0.88085342991311044</v>
      </c>
      <c r="M49" s="210">
        <f t="shared" si="12"/>
        <v>1.8346532612925737E-2</v>
      </c>
      <c r="N49" s="578">
        <v>16966258.280000001</v>
      </c>
      <c r="O49" s="48">
        <v>0.35310768664727132</v>
      </c>
      <c r="P49" s="210">
        <f>+I49/N49-1</f>
        <v>2.3282451762840939E-2</v>
      </c>
    </row>
    <row r="50" spans="1:16" ht="15" customHeight="1" x14ac:dyDescent="0.25">
      <c r="A50" s="31">
        <v>2</v>
      </c>
      <c r="B50" s="23" t="s">
        <v>26</v>
      </c>
      <c r="C50" s="199">
        <v>42470037.759999998</v>
      </c>
      <c r="D50" s="204">
        <v>42798236.600000001</v>
      </c>
      <c r="E50" s="30">
        <v>37955262.439999998</v>
      </c>
      <c r="F50" s="280">
        <f t="shared" si="15"/>
        <v>0.88684173590460491</v>
      </c>
      <c r="G50" s="30">
        <v>37390329.159999996</v>
      </c>
      <c r="H50" s="280">
        <f t="shared" si="16"/>
        <v>0.87364181635464844</v>
      </c>
      <c r="I50" s="30">
        <v>13838746</v>
      </c>
      <c r="J50" s="178">
        <f t="shared" si="17"/>
        <v>0.3233485091766608</v>
      </c>
      <c r="K50" s="579">
        <v>35180929.719999999</v>
      </c>
      <c r="L50" s="280">
        <v>0.83050483158192967</v>
      </c>
      <c r="M50" s="211">
        <f t="shared" si="12"/>
        <v>6.2801053229243564E-2</v>
      </c>
      <c r="N50" s="579">
        <v>13974119.77</v>
      </c>
      <c r="O50" s="280">
        <v>0.32988252665454471</v>
      </c>
      <c r="P50" s="211">
        <f>+I50/N50-1</f>
        <v>-9.6874631267025446E-3</v>
      </c>
    </row>
    <row r="51" spans="1:16" ht="15" customHeight="1" x14ac:dyDescent="0.25">
      <c r="A51" s="35">
        <v>3</v>
      </c>
      <c r="B51" s="23" t="s">
        <v>27</v>
      </c>
      <c r="C51" s="199">
        <v>36541747.380000003</v>
      </c>
      <c r="D51" s="204">
        <v>36996831.32</v>
      </c>
      <c r="E51" s="30">
        <v>32215526.800000001</v>
      </c>
      <c r="F51" s="280">
        <f t="shared" si="15"/>
        <v>0.87076448578407606</v>
      </c>
      <c r="G51" s="30">
        <v>31537000.68</v>
      </c>
      <c r="H51" s="280">
        <f t="shared" si="16"/>
        <v>0.8524243713528924</v>
      </c>
      <c r="I51" s="30">
        <v>10542084.960000001</v>
      </c>
      <c r="J51" s="178">
        <f t="shared" si="17"/>
        <v>0.28494561787785022</v>
      </c>
      <c r="K51" s="579">
        <v>29386914.619999997</v>
      </c>
      <c r="L51" s="280">
        <v>0.80898106191579378</v>
      </c>
      <c r="M51" s="211">
        <f t="shared" si="12"/>
        <v>7.3164743145124556E-2</v>
      </c>
      <c r="N51" s="579">
        <v>9510785.5999999996</v>
      </c>
      <c r="O51" s="280">
        <v>0.26181875619923251</v>
      </c>
      <c r="P51" s="211">
        <f t="shared" si="18"/>
        <v>0.10843471857887343</v>
      </c>
    </row>
    <row r="52" spans="1:16" ht="15" customHeight="1" x14ac:dyDescent="0.25">
      <c r="A52" s="35">
        <v>4</v>
      </c>
      <c r="B52" s="23" t="s">
        <v>28</v>
      </c>
      <c r="C52" s="199">
        <v>15926491.469999999</v>
      </c>
      <c r="D52" s="204">
        <v>16144050.42</v>
      </c>
      <c r="E52" s="30">
        <v>13363098.199999999</v>
      </c>
      <c r="F52" s="280">
        <f t="shared" si="15"/>
        <v>0.82774135686823502</v>
      </c>
      <c r="G52" s="30">
        <v>12844030.68</v>
      </c>
      <c r="H52" s="280">
        <f t="shared" si="16"/>
        <v>0.79558910842400599</v>
      </c>
      <c r="I52" s="30">
        <v>5328303.12</v>
      </c>
      <c r="J52" s="178">
        <f t="shared" si="17"/>
        <v>0.33004747763913389</v>
      </c>
      <c r="K52" s="579">
        <v>12207532.66</v>
      </c>
      <c r="L52" s="280">
        <v>0.75809391481750921</v>
      </c>
      <c r="M52" s="211">
        <f t="shared" si="12"/>
        <v>5.2139776130650128E-2</v>
      </c>
      <c r="N52" s="579">
        <v>5503781.8200000003</v>
      </c>
      <c r="O52" s="280">
        <v>0.34178761773021837</v>
      </c>
      <c r="P52" s="211">
        <f t="shared" si="18"/>
        <v>-3.1883295112159815E-2</v>
      </c>
    </row>
    <row r="53" spans="1:16" ht="15" customHeight="1" x14ac:dyDescent="0.25">
      <c r="A53" s="35">
        <v>5</v>
      </c>
      <c r="B53" s="23" t="s">
        <v>29</v>
      </c>
      <c r="C53" s="199">
        <v>21490346.219999999</v>
      </c>
      <c r="D53" s="204">
        <v>21910071.16</v>
      </c>
      <c r="E53" s="30">
        <v>18425932.629999999</v>
      </c>
      <c r="F53" s="280">
        <f t="shared" si="15"/>
        <v>0.84098004499589218</v>
      </c>
      <c r="G53" s="30">
        <v>17523718.82</v>
      </c>
      <c r="H53" s="280">
        <f t="shared" si="16"/>
        <v>0.79980200392922873</v>
      </c>
      <c r="I53" s="30">
        <v>7528324.29</v>
      </c>
      <c r="J53" s="178">
        <f t="shared" si="17"/>
        <v>0.34360108805780804</v>
      </c>
      <c r="K53" s="579">
        <v>17509795.630000003</v>
      </c>
      <c r="L53" s="280">
        <v>0.79940957823057879</v>
      </c>
      <c r="M53" s="211">
        <f t="shared" si="12"/>
        <v>7.9516576287974594E-4</v>
      </c>
      <c r="N53" s="579">
        <v>9775404</v>
      </c>
      <c r="O53" s="280">
        <v>0.44629599075871745</v>
      </c>
      <c r="P53" s="211">
        <f t="shared" si="18"/>
        <v>-0.22987077669628797</v>
      </c>
    </row>
    <row r="54" spans="1:16" ht="15" customHeight="1" x14ac:dyDescent="0.25">
      <c r="A54" s="35">
        <v>6</v>
      </c>
      <c r="B54" s="23" t="s">
        <v>30</v>
      </c>
      <c r="C54" s="199">
        <v>25137763.800000001</v>
      </c>
      <c r="D54" s="204">
        <v>25461847.800000001</v>
      </c>
      <c r="E54" s="30">
        <v>21795991.07</v>
      </c>
      <c r="F54" s="280">
        <f t="shared" si="15"/>
        <v>0.85602550298804314</v>
      </c>
      <c r="G54" s="30">
        <v>21198292.949999999</v>
      </c>
      <c r="H54" s="280">
        <f t="shared" si="16"/>
        <v>0.83255123966297528</v>
      </c>
      <c r="I54" s="30">
        <v>9109723.1099999994</v>
      </c>
      <c r="J54" s="178">
        <f t="shared" si="17"/>
        <v>0.35777934035093867</v>
      </c>
      <c r="K54" s="579">
        <v>20891639.719999999</v>
      </c>
      <c r="L54" s="280">
        <v>0.83377132804491361</v>
      </c>
      <c r="M54" s="211">
        <f t="shared" si="12"/>
        <v>1.4678274855871365E-2</v>
      </c>
      <c r="N54" s="579">
        <v>7484696.2599999998</v>
      </c>
      <c r="O54" s="280">
        <v>0.29870920733611994</v>
      </c>
      <c r="P54" s="211">
        <f t="shared" si="18"/>
        <v>0.21711326599644809</v>
      </c>
    </row>
    <row r="55" spans="1:16" ht="15" customHeight="1" x14ac:dyDescent="0.25">
      <c r="A55" s="35">
        <v>7</v>
      </c>
      <c r="B55" s="23" t="s">
        <v>31</v>
      </c>
      <c r="C55" s="199">
        <v>31142719.069999997</v>
      </c>
      <c r="D55" s="204">
        <v>31446371.219999999</v>
      </c>
      <c r="E55" s="30">
        <v>27946888.870000001</v>
      </c>
      <c r="F55" s="280">
        <f t="shared" si="15"/>
        <v>0.88871586086936749</v>
      </c>
      <c r="G55" s="30">
        <v>26848905.84</v>
      </c>
      <c r="H55" s="280">
        <f t="shared" si="16"/>
        <v>0.85379981213616163</v>
      </c>
      <c r="I55" s="30">
        <v>10674390.550000001</v>
      </c>
      <c r="J55" s="178">
        <f t="shared" si="17"/>
        <v>0.33944745087824479</v>
      </c>
      <c r="K55" s="579">
        <v>26170302.870000001</v>
      </c>
      <c r="L55" s="280">
        <v>0.84336298090287476</v>
      </c>
      <c r="M55" s="211">
        <f t="shared" si="12"/>
        <v>2.593026811233079E-2</v>
      </c>
      <c r="N55" s="579">
        <v>9234772.7300000004</v>
      </c>
      <c r="O55" s="280">
        <v>0.29759936276707594</v>
      </c>
      <c r="P55" s="211">
        <f t="shared" si="18"/>
        <v>0.15589098531069112</v>
      </c>
    </row>
    <row r="56" spans="1:16" ht="15" customHeight="1" x14ac:dyDescent="0.25">
      <c r="A56" s="35">
        <v>8</v>
      </c>
      <c r="B56" s="23" t="s">
        <v>32</v>
      </c>
      <c r="C56" s="199">
        <v>34307400.759999998</v>
      </c>
      <c r="D56" s="204">
        <v>34810717.240000002</v>
      </c>
      <c r="E56" s="30">
        <v>29598666.859999999</v>
      </c>
      <c r="F56" s="280">
        <f t="shared" si="15"/>
        <v>0.85027454780474954</v>
      </c>
      <c r="G56" s="30">
        <v>28522309.82</v>
      </c>
      <c r="H56" s="280">
        <f t="shared" si="16"/>
        <v>0.81935427021956986</v>
      </c>
      <c r="I56" s="30">
        <v>12478522.039999999</v>
      </c>
      <c r="J56" s="178">
        <f t="shared" si="17"/>
        <v>0.35846782339955024</v>
      </c>
      <c r="K56" s="579">
        <v>26881545.889999997</v>
      </c>
      <c r="L56" s="280">
        <v>0.80318723950233561</v>
      </c>
      <c r="M56" s="211">
        <f t="shared" si="12"/>
        <v>6.1036814501444825E-2</v>
      </c>
      <c r="N56" s="579">
        <v>10616934.58</v>
      </c>
      <c r="O56" s="280">
        <v>0.31722083291568803</v>
      </c>
      <c r="P56" s="211">
        <f t="shared" si="18"/>
        <v>0.17534133284637776</v>
      </c>
    </row>
    <row r="57" spans="1:16" ht="15" customHeight="1" x14ac:dyDescent="0.25">
      <c r="A57" s="35">
        <v>9</v>
      </c>
      <c r="B57" s="23" t="s">
        <v>33</v>
      </c>
      <c r="C57" s="199">
        <v>28673688.939999998</v>
      </c>
      <c r="D57" s="204">
        <v>28987307.600000001</v>
      </c>
      <c r="E57" s="30">
        <v>23521933.879999999</v>
      </c>
      <c r="F57" s="280">
        <f t="shared" si="15"/>
        <v>0.81145631752291469</v>
      </c>
      <c r="G57" s="30">
        <v>22487640.640000001</v>
      </c>
      <c r="H57" s="280">
        <f t="shared" si="16"/>
        <v>0.77577541696214658</v>
      </c>
      <c r="I57" s="30">
        <v>8849136.25</v>
      </c>
      <c r="J57" s="178">
        <f t="shared" si="17"/>
        <v>0.3052762392461727</v>
      </c>
      <c r="K57" s="579">
        <v>22183405.639999997</v>
      </c>
      <c r="L57" s="280">
        <v>0.75782086026682083</v>
      </c>
      <c r="M57" s="211">
        <f t="shared" si="12"/>
        <v>1.3714530804567859E-2</v>
      </c>
      <c r="N57" s="579">
        <v>8750169.620000001</v>
      </c>
      <c r="O57" s="280">
        <v>0.298919885274613</v>
      </c>
      <c r="P57" s="211">
        <f t="shared" si="18"/>
        <v>1.1310252749134664E-2</v>
      </c>
    </row>
    <row r="58" spans="1:16" ht="15" customHeight="1" x14ac:dyDescent="0.25">
      <c r="A58" s="36">
        <v>10</v>
      </c>
      <c r="B58" s="24" t="s">
        <v>34</v>
      </c>
      <c r="C58" s="200">
        <v>44042057.960000001</v>
      </c>
      <c r="D58" s="516">
        <v>44329787.079999998</v>
      </c>
      <c r="E58" s="34">
        <v>40435894.700000003</v>
      </c>
      <c r="F58" s="390">
        <f t="shared" si="15"/>
        <v>0.91216081473676247</v>
      </c>
      <c r="G58" s="180">
        <v>39202101.649999999</v>
      </c>
      <c r="H58" s="390">
        <f t="shared" si="16"/>
        <v>0.8843286700036187</v>
      </c>
      <c r="I58" s="180">
        <v>14617633.539999999</v>
      </c>
      <c r="J58" s="392">
        <f t="shared" si="17"/>
        <v>0.32974743401361717</v>
      </c>
      <c r="K58" s="580">
        <v>37755925.659999996</v>
      </c>
      <c r="L58" s="390">
        <v>0.86641340845268944</v>
      </c>
      <c r="M58" s="520">
        <f t="shared" si="12"/>
        <v>3.8303285238537654E-2</v>
      </c>
      <c r="N58" s="580">
        <v>12233699.030000001</v>
      </c>
      <c r="O58" s="390">
        <v>0.28073582329875429</v>
      </c>
      <c r="P58" s="520">
        <f t="shared" si="18"/>
        <v>0.19486620556497347</v>
      </c>
    </row>
    <row r="59" spans="1:16" ht="15" customHeight="1" thickBot="1" x14ac:dyDescent="0.3">
      <c r="A59" s="10">
        <v>6</v>
      </c>
      <c r="B59" s="2" t="s">
        <v>35</v>
      </c>
      <c r="C59" s="528">
        <f>SUM(C49:C58)</f>
        <v>328129038.37999994</v>
      </c>
      <c r="D59" s="558">
        <f>SUM(D49:D58)</f>
        <v>332113603.51999998</v>
      </c>
      <c r="E59" s="203">
        <f>SUM(E49:E58)</f>
        <v>289943246.5</v>
      </c>
      <c r="F59" s="90">
        <f t="shared" si="15"/>
        <v>0.87302430080235938</v>
      </c>
      <c r="G59" s="529">
        <f>SUM(G49:G58)</f>
        <v>280654416.67999995</v>
      </c>
      <c r="H59" s="90">
        <f t="shared" si="16"/>
        <v>0.84505546808503085</v>
      </c>
      <c r="I59" s="529">
        <f>SUM(I49:I58)</f>
        <v>110328138.22999999</v>
      </c>
      <c r="J59" s="170">
        <f t="shared" si="17"/>
        <v>0.33219999741249984</v>
      </c>
      <c r="K59" s="619">
        <f>SUM(K49:K58)</f>
        <v>270491587.63</v>
      </c>
      <c r="L59" s="90">
        <v>0.82681809808748397</v>
      </c>
      <c r="M59" s="213">
        <f t="shared" si="12"/>
        <v>3.7571700987246492E-2</v>
      </c>
      <c r="N59" s="619">
        <f>SUM(N49:N58)</f>
        <v>104050621.69</v>
      </c>
      <c r="O59" s="90">
        <v>0.31805402114104225</v>
      </c>
      <c r="P59" s="213">
        <f t="shared" si="18"/>
        <v>6.0331369847099303E-2</v>
      </c>
    </row>
    <row r="60" spans="1:16" s="6" customFormat="1" ht="23.25" customHeight="1" thickBot="1" x14ac:dyDescent="0.3">
      <c r="A60" s="5"/>
      <c r="B60" s="4" t="s">
        <v>130</v>
      </c>
      <c r="C60" s="202">
        <f>+C48+C59</f>
        <v>2151399911.2599998</v>
      </c>
      <c r="D60" s="208">
        <f>+D48+D59</f>
        <v>2169370739.6700001</v>
      </c>
      <c r="E60" s="209">
        <f>+E48+E59</f>
        <v>1639746855.8899996</v>
      </c>
      <c r="F60" s="181">
        <f t="shared" si="15"/>
        <v>0.75586289881435131</v>
      </c>
      <c r="G60" s="209">
        <f>+G48+G59</f>
        <v>1578095214.4499998</v>
      </c>
      <c r="H60" s="181">
        <f t="shared" si="16"/>
        <v>0.72744376311171977</v>
      </c>
      <c r="I60" s="209">
        <f>+I48+I59</f>
        <v>698040168.4799999</v>
      </c>
      <c r="J60" s="173">
        <f t="shared" si="17"/>
        <v>0.32177080464641294</v>
      </c>
      <c r="K60" s="620">
        <f>K48+K59</f>
        <v>1533267405.4200001</v>
      </c>
      <c r="L60" s="181">
        <v>0.70861150342561585</v>
      </c>
      <c r="M60" s="607">
        <f t="shared" si="12"/>
        <v>2.923678470665747E-2</v>
      </c>
      <c r="N60" s="620">
        <f>+N59+N48</f>
        <v>735837742.91000009</v>
      </c>
      <c r="O60" s="181">
        <v>0.34007315843118457</v>
      </c>
      <c r="P60" s="607">
        <f t="shared" si="18"/>
        <v>-5.1366724246194595E-2</v>
      </c>
    </row>
    <row r="61" spans="1:16" ht="32.4" customHeight="1" x14ac:dyDescent="0.25">
      <c r="A61" s="718" t="s">
        <v>772</v>
      </c>
      <c r="B61" s="770" t="s">
        <v>773</v>
      </c>
      <c r="C61" s="771"/>
      <c r="D61" s="771"/>
      <c r="E61" s="771"/>
      <c r="F61" s="771"/>
      <c r="G61" s="771"/>
      <c r="H61" s="771"/>
      <c r="I61" s="771"/>
      <c r="J61" s="771"/>
      <c r="K61" s="771"/>
      <c r="L61" s="771"/>
      <c r="M61" s="771"/>
      <c r="N61" s="771"/>
      <c r="O61" s="771"/>
      <c r="P61" s="771"/>
    </row>
    <row r="65" spans="3:14" x14ac:dyDescent="0.25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5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5">
      <c r="L138" s="686"/>
      <c r="O138" s="686"/>
    </row>
    <row r="139" spans="12:15" x14ac:dyDescent="0.25">
      <c r="L139" s="686"/>
      <c r="N139" s="46"/>
      <c r="O139" s="686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31"/>
  <sheetViews>
    <sheetView zoomScale="110" zoomScaleNormal="110" workbookViewId="0">
      <selection activeCell="F2" sqref="F2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97" customWidth="1"/>
    <col min="7" max="7" width="12.6640625" customWidth="1"/>
    <col min="8" max="8" width="6.33203125" style="97" customWidth="1"/>
    <col min="9" max="9" width="12.6640625" customWidth="1"/>
    <col min="10" max="10" width="6.33203125" style="97" customWidth="1"/>
    <col min="11" max="11" width="12.6640625" customWidth="1"/>
    <col min="12" max="12" width="6.33203125" style="97" customWidth="1"/>
    <col min="13" max="13" width="8.109375" style="97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74" t="s">
        <v>505</v>
      </c>
      <c r="C18" s="775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138"/>
  <sheetViews>
    <sheetView topLeftCell="C1" workbookViewId="0">
      <selection activeCell="O22" sqref="O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46" bestFit="1" customWidth="1"/>
    <col min="5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9.21875" style="442" bestFit="1" customWidth="1"/>
    <col min="16" max="16" width="9" style="97" bestFit="1" customWidth="1"/>
  </cols>
  <sheetData>
    <row r="1" spans="1:16384" ht="14.4" thickBot="1" x14ac:dyDescent="0.3">
      <c r="A1" s="7" t="s">
        <v>776</v>
      </c>
    </row>
    <row r="2" spans="1:16384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43" t="s">
        <v>544</v>
      </c>
      <c r="M3" s="88" t="s">
        <v>545</v>
      </c>
      <c r="N3" s="217" t="s">
        <v>39</v>
      </c>
      <c r="O3" s="643" t="s">
        <v>40</v>
      </c>
      <c r="P3" s="611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31" t="s">
        <v>17</v>
      </c>
      <c r="O4" s="644" t="s">
        <v>18</v>
      </c>
      <c r="P4" s="587" t="s">
        <v>764</v>
      </c>
    </row>
    <row r="5" spans="1:16384" ht="15" customHeight="1" x14ac:dyDescent="0.25">
      <c r="A5" s="21">
        <v>1</v>
      </c>
      <c r="B5" s="21" t="s">
        <v>0</v>
      </c>
      <c r="C5" s="159">
        <v>331387995.62</v>
      </c>
      <c r="D5" s="204">
        <v>331140328.32999998</v>
      </c>
      <c r="E5" s="30">
        <v>128651726.75</v>
      </c>
      <c r="F5" s="48">
        <f t="shared" ref="F5:F13" si="0">E5/D5</f>
        <v>0.38851120127473965</v>
      </c>
      <c r="G5" s="30">
        <v>128208952.73</v>
      </c>
      <c r="H5" s="48">
        <f t="shared" ref="H5:H13" si="1">G5/D5</f>
        <v>0.38717408228886141</v>
      </c>
      <c r="I5" s="30">
        <v>127550314.45</v>
      </c>
      <c r="J5" s="153">
        <f t="shared" ref="J5:J13" si="2">I5/D5</f>
        <v>0.38518508178468958</v>
      </c>
      <c r="K5" s="30">
        <v>165456954.93000001</v>
      </c>
      <c r="L5" s="48">
        <v>0.42111123201185574</v>
      </c>
      <c r="M5" s="210">
        <f>+G5/K5-1</f>
        <v>-0.22512200962334006</v>
      </c>
      <c r="N5" s="689">
        <v>165011741.65000001</v>
      </c>
      <c r="O5" s="48">
        <v>0.41997810156757698</v>
      </c>
      <c r="P5" s="210">
        <f>+I5/N5-1</f>
        <v>-0.22702279744103293</v>
      </c>
    </row>
    <row r="6" spans="1:16384" ht="15" customHeight="1" x14ac:dyDescent="0.25">
      <c r="A6" s="23">
        <v>2</v>
      </c>
      <c r="B6" s="23" t="s">
        <v>1</v>
      </c>
      <c r="C6" s="160">
        <v>489247858.38999999</v>
      </c>
      <c r="D6" s="205">
        <v>480382664.62</v>
      </c>
      <c r="E6" s="32">
        <v>413872642.42000002</v>
      </c>
      <c r="F6" s="48">
        <f t="shared" si="0"/>
        <v>0.86154783030605031</v>
      </c>
      <c r="G6" s="32">
        <v>386855324.82999998</v>
      </c>
      <c r="H6" s="48">
        <f t="shared" si="1"/>
        <v>0.80530658852149983</v>
      </c>
      <c r="I6" s="32">
        <v>106319431.01000001</v>
      </c>
      <c r="J6" s="153">
        <f t="shared" si="2"/>
        <v>0.22132237243428113</v>
      </c>
      <c r="K6" s="32">
        <v>365636113.02999997</v>
      </c>
      <c r="L6" s="280">
        <v>0.79836646172079018</v>
      </c>
      <c r="M6" s="210">
        <f>+G6/K6-1</f>
        <v>5.8033687165520709E-2</v>
      </c>
      <c r="N6" s="32">
        <v>96922082.090000004</v>
      </c>
      <c r="O6" s="280">
        <v>0.21162936860795364</v>
      </c>
      <c r="P6" s="210">
        <f>+I6/N6-1</f>
        <v>9.6957769760598111E-2</v>
      </c>
    </row>
    <row r="7" spans="1:16384" ht="15" customHeight="1" x14ac:dyDescent="0.25">
      <c r="A7" s="23">
        <v>3</v>
      </c>
      <c r="B7" s="23" t="s">
        <v>2</v>
      </c>
      <c r="C7" s="160">
        <v>22100000</v>
      </c>
      <c r="D7" s="205">
        <v>22100000</v>
      </c>
      <c r="E7" s="32">
        <v>5261110.22</v>
      </c>
      <c r="F7" s="48">
        <f t="shared" si="0"/>
        <v>0.23805928597285067</v>
      </c>
      <c r="G7" s="32">
        <v>5261110.22</v>
      </c>
      <c r="H7" s="48">
        <f t="shared" si="1"/>
        <v>0.23805928597285067</v>
      </c>
      <c r="I7" s="32">
        <v>5261110.22</v>
      </c>
      <c r="J7" s="153">
        <f t="shared" si="2"/>
        <v>0.23805928597285067</v>
      </c>
      <c r="K7" s="32">
        <v>6644486.8600000003</v>
      </c>
      <c r="L7" s="280">
        <v>0.26736899548407422</v>
      </c>
      <c r="M7" s="210">
        <f>+G7/K7-1</f>
        <v>-0.20819916859614351</v>
      </c>
      <c r="N7" s="32">
        <v>6644486.8600000003</v>
      </c>
      <c r="O7" s="280">
        <v>0.26736899548407422</v>
      </c>
      <c r="P7" s="210">
        <f>+I7/N7-1</f>
        <v>-0.20819916859614351</v>
      </c>
    </row>
    <row r="8" spans="1:16384" ht="15" customHeight="1" x14ac:dyDescent="0.25">
      <c r="A8" s="24">
        <v>4</v>
      </c>
      <c r="B8" s="24" t="s">
        <v>3</v>
      </c>
      <c r="C8" s="161">
        <v>967337199.97000003</v>
      </c>
      <c r="D8" s="206">
        <v>994539529.83000004</v>
      </c>
      <c r="E8" s="34">
        <v>802018130</v>
      </c>
      <c r="F8" s="390">
        <f t="shared" si="0"/>
        <v>0.80642157093252154</v>
      </c>
      <c r="G8" s="34">
        <v>777115409.99000001</v>
      </c>
      <c r="H8" s="390">
        <f t="shared" si="1"/>
        <v>0.78138212376820748</v>
      </c>
      <c r="I8" s="34">
        <v>348581174.56999999</v>
      </c>
      <c r="J8" s="392">
        <f t="shared" si="2"/>
        <v>0.35049504229317474</v>
      </c>
      <c r="K8" s="34">
        <v>725038262.97000003</v>
      </c>
      <c r="L8" s="390">
        <v>0.76725397583085631</v>
      </c>
      <c r="M8" s="520">
        <f>+G8/K8-1</f>
        <v>7.1826756848217155E-2</v>
      </c>
      <c r="N8" s="34">
        <v>363208810.62</v>
      </c>
      <c r="O8" s="390">
        <v>0.38435682396050624</v>
      </c>
      <c r="P8" s="520">
        <f>+I8/N8-1</f>
        <v>-4.0273351367855148E-2</v>
      </c>
    </row>
    <row r="9" spans="1:16384" ht="15" customHeight="1" x14ac:dyDescent="0.25">
      <c r="A9" s="24">
        <v>5</v>
      </c>
      <c r="B9" s="24" t="s">
        <v>453</v>
      </c>
      <c r="C9" s="161">
        <v>13197818.9</v>
      </c>
      <c r="D9" s="206">
        <v>9094613.3699999992</v>
      </c>
      <c r="E9" s="34">
        <v>0</v>
      </c>
      <c r="F9" s="390">
        <f t="shared" si="0"/>
        <v>0</v>
      </c>
      <c r="G9" s="34">
        <v>0</v>
      </c>
      <c r="H9" s="390">
        <f t="shared" si="1"/>
        <v>0</v>
      </c>
      <c r="I9" s="34">
        <v>0</v>
      </c>
      <c r="J9" s="392">
        <f t="shared" si="2"/>
        <v>0</v>
      </c>
      <c r="K9" s="34">
        <v>0</v>
      </c>
      <c r="L9" s="390">
        <v>0</v>
      </c>
      <c r="M9" s="520" t="s">
        <v>129</v>
      </c>
      <c r="N9" s="34">
        <v>0</v>
      </c>
      <c r="O9" s="390">
        <v>0</v>
      </c>
      <c r="P9" s="520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20"/>
      <c r="AD9" s="34"/>
      <c r="AE9" s="390"/>
      <c r="AF9" s="520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20"/>
      <c r="AT9" s="34"/>
      <c r="AU9" s="390"/>
      <c r="AV9" s="520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20"/>
      <c r="BJ9" s="34"/>
      <c r="BK9" s="390"/>
      <c r="BL9" s="520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20"/>
      <c r="BZ9" s="34"/>
      <c r="CA9" s="390"/>
      <c r="CB9" s="520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20"/>
      <c r="CP9" s="34"/>
      <c r="CQ9" s="390"/>
      <c r="CR9" s="520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20"/>
      <c r="DF9" s="34"/>
      <c r="DG9" s="390"/>
      <c r="DH9" s="520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20"/>
      <c r="DV9" s="34"/>
      <c r="DW9" s="390"/>
      <c r="DX9" s="520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20"/>
      <c r="EL9" s="34"/>
      <c r="EM9" s="390"/>
      <c r="EN9" s="520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20"/>
      <c r="FB9" s="34"/>
      <c r="FC9" s="390"/>
      <c r="FD9" s="520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20"/>
      <c r="FR9" s="34"/>
      <c r="FS9" s="390"/>
      <c r="FT9" s="520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20"/>
      <c r="GH9" s="34"/>
      <c r="GI9" s="390"/>
      <c r="GJ9" s="520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20"/>
      <c r="GX9" s="34"/>
      <c r="GY9" s="390"/>
      <c r="GZ9" s="520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20"/>
      <c r="HN9" s="34"/>
      <c r="HO9" s="390"/>
      <c r="HP9" s="520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20"/>
      <c r="ID9" s="34"/>
      <c r="IE9" s="390"/>
      <c r="IF9" s="520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20"/>
      <c r="IT9" s="34"/>
      <c r="IU9" s="390"/>
      <c r="IV9" s="520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20"/>
      <c r="JJ9" s="34"/>
      <c r="JK9" s="390"/>
      <c r="JL9" s="520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20"/>
      <c r="JZ9" s="34"/>
      <c r="KA9" s="390"/>
      <c r="KB9" s="520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20"/>
      <c r="KP9" s="34"/>
      <c r="KQ9" s="390"/>
      <c r="KR9" s="520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20"/>
      <c r="LF9" s="34"/>
      <c r="LG9" s="390"/>
      <c r="LH9" s="520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20"/>
      <c r="LV9" s="34"/>
      <c r="LW9" s="390"/>
      <c r="LX9" s="520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20"/>
      <c r="ML9" s="34"/>
      <c r="MM9" s="390"/>
      <c r="MN9" s="520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20"/>
      <c r="NB9" s="34"/>
      <c r="NC9" s="390"/>
      <c r="ND9" s="520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20"/>
      <c r="NR9" s="34"/>
      <c r="NS9" s="390"/>
      <c r="NT9" s="520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20"/>
      <c r="OH9" s="34"/>
      <c r="OI9" s="390"/>
      <c r="OJ9" s="520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20"/>
      <c r="OX9" s="34"/>
      <c r="OY9" s="390"/>
      <c r="OZ9" s="520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20"/>
      <c r="PN9" s="34"/>
      <c r="PO9" s="390"/>
      <c r="PP9" s="520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20"/>
      <c r="QD9" s="34"/>
      <c r="QE9" s="390"/>
      <c r="QF9" s="520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20"/>
      <c r="QT9" s="34"/>
      <c r="QU9" s="390"/>
      <c r="QV9" s="520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20"/>
      <c r="RJ9" s="34"/>
      <c r="RK9" s="390"/>
      <c r="RL9" s="520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20"/>
      <c r="RZ9" s="34"/>
      <c r="SA9" s="390"/>
      <c r="SB9" s="520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20"/>
      <c r="SP9" s="34"/>
      <c r="SQ9" s="390"/>
      <c r="SR9" s="520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20"/>
      <c r="TF9" s="34"/>
      <c r="TG9" s="390"/>
      <c r="TH9" s="520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20"/>
      <c r="TV9" s="34"/>
      <c r="TW9" s="390"/>
      <c r="TX9" s="520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20"/>
      <c r="UL9" s="34"/>
      <c r="UM9" s="390"/>
      <c r="UN9" s="520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20"/>
      <c r="VB9" s="34"/>
      <c r="VC9" s="390"/>
      <c r="VD9" s="520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20"/>
      <c r="VR9" s="34"/>
      <c r="VS9" s="390"/>
      <c r="VT9" s="520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20"/>
      <c r="WH9" s="34"/>
      <c r="WI9" s="390"/>
      <c r="WJ9" s="520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20"/>
      <c r="WX9" s="34"/>
      <c r="WY9" s="390"/>
      <c r="WZ9" s="520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20"/>
      <c r="XN9" s="34"/>
      <c r="XO9" s="390"/>
      <c r="XP9" s="520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20"/>
      <c r="YD9" s="34"/>
      <c r="YE9" s="390"/>
      <c r="YF9" s="520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20"/>
      <c r="YT9" s="34"/>
      <c r="YU9" s="390"/>
      <c r="YV9" s="520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20"/>
      <c r="ZJ9" s="34"/>
      <c r="ZK9" s="390"/>
      <c r="ZL9" s="520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20"/>
      <c r="ZZ9" s="34"/>
      <c r="AAA9" s="390"/>
      <c r="AAB9" s="520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20"/>
      <c r="AAP9" s="34"/>
      <c r="AAQ9" s="390"/>
      <c r="AAR9" s="520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20"/>
      <c r="ABF9" s="34"/>
      <c r="ABG9" s="390"/>
      <c r="ABH9" s="520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20"/>
      <c r="ABV9" s="34"/>
      <c r="ABW9" s="390"/>
      <c r="ABX9" s="520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20"/>
      <c r="ACL9" s="34"/>
      <c r="ACM9" s="390"/>
      <c r="ACN9" s="520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20"/>
      <c r="ADB9" s="34"/>
      <c r="ADC9" s="390"/>
      <c r="ADD9" s="520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20"/>
      <c r="ADR9" s="34"/>
      <c r="ADS9" s="390"/>
      <c r="ADT9" s="520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20"/>
      <c r="AEH9" s="34"/>
      <c r="AEI9" s="390"/>
      <c r="AEJ9" s="520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20"/>
      <c r="AEX9" s="34"/>
      <c r="AEY9" s="390"/>
      <c r="AEZ9" s="520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20"/>
      <c r="AFN9" s="34"/>
      <c r="AFO9" s="390"/>
      <c r="AFP9" s="520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20"/>
      <c r="AGD9" s="34"/>
      <c r="AGE9" s="390"/>
      <c r="AGF9" s="520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20"/>
      <c r="AGT9" s="34"/>
      <c r="AGU9" s="390"/>
      <c r="AGV9" s="520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20"/>
      <c r="AHJ9" s="34"/>
      <c r="AHK9" s="390"/>
      <c r="AHL9" s="520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20"/>
      <c r="AHZ9" s="34"/>
      <c r="AIA9" s="390"/>
      <c r="AIB9" s="520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20"/>
      <c r="AIP9" s="34"/>
      <c r="AIQ9" s="390"/>
      <c r="AIR9" s="520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20"/>
      <c r="AJF9" s="34"/>
      <c r="AJG9" s="390"/>
      <c r="AJH9" s="520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20"/>
      <c r="AJV9" s="34"/>
      <c r="AJW9" s="390"/>
      <c r="AJX9" s="520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20"/>
      <c r="AKL9" s="34"/>
      <c r="AKM9" s="390"/>
      <c r="AKN9" s="520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20"/>
      <c r="ALB9" s="34"/>
      <c r="ALC9" s="390"/>
      <c r="ALD9" s="520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20"/>
      <c r="ALR9" s="34"/>
      <c r="ALS9" s="390"/>
      <c r="ALT9" s="520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20"/>
      <c r="AMH9" s="34"/>
      <c r="AMI9" s="390"/>
      <c r="AMJ9" s="520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20"/>
      <c r="AMX9" s="34"/>
      <c r="AMY9" s="390"/>
      <c r="AMZ9" s="520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20"/>
      <c r="ANN9" s="34"/>
      <c r="ANO9" s="390"/>
      <c r="ANP9" s="520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20"/>
      <c r="AOD9" s="34"/>
      <c r="AOE9" s="390"/>
      <c r="AOF9" s="520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20"/>
      <c r="AOT9" s="34"/>
      <c r="AOU9" s="390"/>
      <c r="AOV9" s="520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20"/>
      <c r="APJ9" s="34"/>
      <c r="APK9" s="390"/>
      <c r="APL9" s="520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20"/>
      <c r="APZ9" s="34"/>
      <c r="AQA9" s="390"/>
      <c r="AQB9" s="520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20"/>
      <c r="AQP9" s="34"/>
      <c r="AQQ9" s="390"/>
      <c r="AQR9" s="520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20"/>
      <c r="ARF9" s="34"/>
      <c r="ARG9" s="390"/>
      <c r="ARH9" s="520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20"/>
      <c r="ARV9" s="34"/>
      <c r="ARW9" s="390"/>
      <c r="ARX9" s="520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20"/>
      <c r="ASL9" s="34"/>
      <c r="ASM9" s="390"/>
      <c r="ASN9" s="520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20"/>
      <c r="ATB9" s="34"/>
      <c r="ATC9" s="390"/>
      <c r="ATD9" s="520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20"/>
      <c r="ATR9" s="34"/>
      <c r="ATS9" s="390"/>
      <c r="ATT9" s="520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20"/>
      <c r="AUH9" s="34"/>
      <c r="AUI9" s="390"/>
      <c r="AUJ9" s="520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20"/>
      <c r="AUX9" s="34"/>
      <c r="AUY9" s="390"/>
      <c r="AUZ9" s="520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20"/>
      <c r="AVN9" s="34"/>
      <c r="AVO9" s="390"/>
      <c r="AVP9" s="520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20"/>
      <c r="AWD9" s="34"/>
      <c r="AWE9" s="390"/>
      <c r="AWF9" s="520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20"/>
      <c r="AWT9" s="34"/>
      <c r="AWU9" s="390"/>
      <c r="AWV9" s="520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20"/>
      <c r="AXJ9" s="34"/>
      <c r="AXK9" s="390"/>
      <c r="AXL9" s="520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20"/>
      <c r="AXZ9" s="34"/>
      <c r="AYA9" s="390"/>
      <c r="AYB9" s="520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20"/>
      <c r="AYP9" s="34"/>
      <c r="AYQ9" s="390"/>
      <c r="AYR9" s="520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20"/>
      <c r="AZF9" s="34"/>
      <c r="AZG9" s="390"/>
      <c r="AZH9" s="520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20"/>
      <c r="AZV9" s="34"/>
      <c r="AZW9" s="390"/>
      <c r="AZX9" s="520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20"/>
      <c r="BAL9" s="34"/>
      <c r="BAM9" s="390"/>
      <c r="BAN9" s="520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20"/>
      <c r="BBB9" s="34"/>
      <c r="BBC9" s="390"/>
      <c r="BBD9" s="520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20"/>
      <c r="BBR9" s="34"/>
      <c r="BBS9" s="390"/>
      <c r="BBT9" s="520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20"/>
      <c r="BCH9" s="34"/>
      <c r="BCI9" s="390"/>
      <c r="BCJ9" s="520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20"/>
      <c r="BCX9" s="34"/>
      <c r="BCY9" s="390"/>
      <c r="BCZ9" s="520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20"/>
      <c r="BDN9" s="34"/>
      <c r="BDO9" s="390"/>
      <c r="BDP9" s="520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20"/>
      <c r="BED9" s="34"/>
      <c r="BEE9" s="390"/>
      <c r="BEF9" s="520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20"/>
      <c r="BET9" s="34"/>
      <c r="BEU9" s="390"/>
      <c r="BEV9" s="520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20"/>
      <c r="BFJ9" s="34"/>
      <c r="BFK9" s="390"/>
      <c r="BFL9" s="520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20"/>
      <c r="BFZ9" s="34"/>
      <c r="BGA9" s="390"/>
      <c r="BGB9" s="520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20"/>
      <c r="BGP9" s="34"/>
      <c r="BGQ9" s="390"/>
      <c r="BGR9" s="520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20"/>
      <c r="BHF9" s="34"/>
      <c r="BHG9" s="390"/>
      <c r="BHH9" s="520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20"/>
      <c r="BHV9" s="34"/>
      <c r="BHW9" s="390"/>
      <c r="BHX9" s="520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20"/>
      <c r="BIL9" s="34"/>
      <c r="BIM9" s="390"/>
      <c r="BIN9" s="520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20"/>
      <c r="BJB9" s="34"/>
      <c r="BJC9" s="390"/>
      <c r="BJD9" s="520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20"/>
      <c r="BJR9" s="34"/>
      <c r="BJS9" s="390"/>
      <c r="BJT9" s="520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20"/>
      <c r="BKH9" s="34"/>
      <c r="BKI9" s="390"/>
      <c r="BKJ9" s="520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20"/>
      <c r="BKX9" s="34"/>
      <c r="BKY9" s="390"/>
      <c r="BKZ9" s="520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20"/>
      <c r="BLN9" s="34"/>
      <c r="BLO9" s="390"/>
      <c r="BLP9" s="520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20"/>
      <c r="BMD9" s="34"/>
      <c r="BME9" s="390"/>
      <c r="BMF9" s="520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20"/>
      <c r="BMT9" s="34"/>
      <c r="BMU9" s="390"/>
      <c r="BMV9" s="520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20"/>
      <c r="BNJ9" s="34"/>
      <c r="BNK9" s="390"/>
      <c r="BNL9" s="520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20"/>
      <c r="BNZ9" s="34"/>
      <c r="BOA9" s="390"/>
      <c r="BOB9" s="520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20"/>
      <c r="BOP9" s="34"/>
      <c r="BOQ9" s="390"/>
      <c r="BOR9" s="520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20"/>
      <c r="BPF9" s="34"/>
      <c r="BPG9" s="390"/>
      <c r="BPH9" s="520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20"/>
      <c r="BPV9" s="34"/>
      <c r="BPW9" s="390"/>
      <c r="BPX9" s="520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20"/>
      <c r="BQL9" s="34"/>
      <c r="BQM9" s="390"/>
      <c r="BQN9" s="520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20"/>
      <c r="BRB9" s="34"/>
      <c r="BRC9" s="390"/>
      <c r="BRD9" s="520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20"/>
      <c r="BRR9" s="34"/>
      <c r="BRS9" s="390"/>
      <c r="BRT9" s="520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20"/>
      <c r="BSH9" s="34"/>
      <c r="BSI9" s="390"/>
      <c r="BSJ9" s="520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20"/>
      <c r="BSX9" s="34"/>
      <c r="BSY9" s="390"/>
      <c r="BSZ9" s="520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20"/>
      <c r="BTN9" s="34"/>
      <c r="BTO9" s="390"/>
      <c r="BTP9" s="520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20"/>
      <c r="BUD9" s="34"/>
      <c r="BUE9" s="390"/>
      <c r="BUF9" s="520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20"/>
      <c r="BUT9" s="34"/>
      <c r="BUU9" s="390"/>
      <c r="BUV9" s="520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20"/>
      <c r="BVJ9" s="34"/>
      <c r="BVK9" s="390"/>
      <c r="BVL9" s="520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20"/>
      <c r="BVZ9" s="34"/>
      <c r="BWA9" s="390"/>
      <c r="BWB9" s="520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20"/>
      <c r="BWP9" s="34"/>
      <c r="BWQ9" s="390"/>
      <c r="BWR9" s="520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20"/>
      <c r="BXF9" s="34"/>
      <c r="BXG9" s="390"/>
      <c r="BXH9" s="520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20"/>
      <c r="BXV9" s="34"/>
      <c r="BXW9" s="390"/>
      <c r="BXX9" s="520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20"/>
      <c r="BYL9" s="34"/>
      <c r="BYM9" s="390"/>
      <c r="BYN9" s="520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20"/>
      <c r="BZB9" s="34"/>
      <c r="BZC9" s="390"/>
      <c r="BZD9" s="520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20"/>
      <c r="BZR9" s="34"/>
      <c r="BZS9" s="390"/>
      <c r="BZT9" s="520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20"/>
      <c r="CAH9" s="34"/>
      <c r="CAI9" s="390"/>
      <c r="CAJ9" s="520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20"/>
      <c r="CAX9" s="34"/>
      <c r="CAY9" s="390"/>
      <c r="CAZ9" s="520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20"/>
      <c r="CBN9" s="34"/>
      <c r="CBO9" s="390"/>
      <c r="CBP9" s="520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20"/>
      <c r="CCD9" s="34"/>
      <c r="CCE9" s="390"/>
      <c r="CCF9" s="520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20"/>
      <c r="CCT9" s="34"/>
      <c r="CCU9" s="390"/>
      <c r="CCV9" s="520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20"/>
      <c r="CDJ9" s="34"/>
      <c r="CDK9" s="390"/>
      <c r="CDL9" s="520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20"/>
      <c r="CDZ9" s="34"/>
      <c r="CEA9" s="390"/>
      <c r="CEB9" s="520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20"/>
      <c r="CEP9" s="34"/>
      <c r="CEQ9" s="390"/>
      <c r="CER9" s="520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20"/>
      <c r="CFF9" s="34"/>
      <c r="CFG9" s="390"/>
      <c r="CFH9" s="520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20"/>
      <c r="CFV9" s="34"/>
      <c r="CFW9" s="390"/>
      <c r="CFX9" s="520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20"/>
      <c r="CGL9" s="34"/>
      <c r="CGM9" s="390"/>
      <c r="CGN9" s="520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20"/>
      <c r="CHB9" s="34"/>
      <c r="CHC9" s="390"/>
      <c r="CHD9" s="520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20"/>
      <c r="CHR9" s="34"/>
      <c r="CHS9" s="390"/>
      <c r="CHT9" s="520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20"/>
      <c r="CIH9" s="34"/>
      <c r="CII9" s="390"/>
      <c r="CIJ9" s="520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20"/>
      <c r="CIX9" s="34"/>
      <c r="CIY9" s="390"/>
      <c r="CIZ9" s="520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20"/>
      <c r="CJN9" s="34"/>
      <c r="CJO9" s="390"/>
      <c r="CJP9" s="520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20"/>
      <c r="CKD9" s="34"/>
      <c r="CKE9" s="390"/>
      <c r="CKF9" s="520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20"/>
      <c r="CKT9" s="34"/>
      <c r="CKU9" s="390"/>
      <c r="CKV9" s="520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20"/>
      <c r="CLJ9" s="34"/>
      <c r="CLK9" s="390"/>
      <c r="CLL9" s="520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20"/>
      <c r="CLZ9" s="34"/>
      <c r="CMA9" s="390"/>
      <c r="CMB9" s="520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20"/>
      <c r="CMP9" s="34"/>
      <c r="CMQ9" s="390"/>
      <c r="CMR9" s="520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20"/>
      <c r="CNF9" s="34"/>
      <c r="CNG9" s="390"/>
      <c r="CNH9" s="520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20"/>
      <c r="CNV9" s="34"/>
      <c r="CNW9" s="390"/>
      <c r="CNX9" s="520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20"/>
      <c r="COL9" s="34"/>
      <c r="COM9" s="390"/>
      <c r="CON9" s="520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20"/>
      <c r="CPB9" s="34"/>
      <c r="CPC9" s="390"/>
      <c r="CPD9" s="520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20"/>
      <c r="CPR9" s="34"/>
      <c r="CPS9" s="390"/>
      <c r="CPT9" s="520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20"/>
      <c r="CQH9" s="34"/>
      <c r="CQI9" s="390"/>
      <c r="CQJ9" s="520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20"/>
      <c r="CQX9" s="34"/>
      <c r="CQY9" s="390"/>
      <c r="CQZ9" s="520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20"/>
      <c r="CRN9" s="34"/>
      <c r="CRO9" s="390"/>
      <c r="CRP9" s="520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20"/>
      <c r="CSD9" s="34"/>
      <c r="CSE9" s="390"/>
      <c r="CSF9" s="520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20"/>
      <c r="CST9" s="34"/>
      <c r="CSU9" s="390"/>
      <c r="CSV9" s="520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20"/>
      <c r="CTJ9" s="34"/>
      <c r="CTK9" s="390"/>
      <c r="CTL9" s="520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20"/>
      <c r="CTZ9" s="34"/>
      <c r="CUA9" s="390"/>
      <c r="CUB9" s="520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20"/>
      <c r="CUP9" s="34"/>
      <c r="CUQ9" s="390"/>
      <c r="CUR9" s="520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20"/>
      <c r="CVF9" s="34"/>
      <c r="CVG9" s="390"/>
      <c r="CVH9" s="520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20"/>
      <c r="CVV9" s="34"/>
      <c r="CVW9" s="390"/>
      <c r="CVX9" s="520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20"/>
      <c r="CWL9" s="34"/>
      <c r="CWM9" s="390"/>
      <c r="CWN9" s="520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20"/>
      <c r="CXB9" s="34"/>
      <c r="CXC9" s="390"/>
      <c r="CXD9" s="520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20"/>
      <c r="CXR9" s="34"/>
      <c r="CXS9" s="390"/>
      <c r="CXT9" s="520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20"/>
      <c r="CYH9" s="34"/>
      <c r="CYI9" s="390"/>
      <c r="CYJ9" s="520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20"/>
      <c r="CYX9" s="34"/>
      <c r="CYY9" s="390"/>
      <c r="CYZ9" s="520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20"/>
      <c r="CZN9" s="34"/>
      <c r="CZO9" s="390"/>
      <c r="CZP9" s="520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20"/>
      <c r="DAD9" s="34"/>
      <c r="DAE9" s="390"/>
      <c r="DAF9" s="520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20"/>
      <c r="DAT9" s="34"/>
      <c r="DAU9" s="390"/>
      <c r="DAV9" s="520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20"/>
      <c r="DBJ9" s="34"/>
      <c r="DBK9" s="390"/>
      <c r="DBL9" s="520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20"/>
      <c r="DBZ9" s="34"/>
      <c r="DCA9" s="390"/>
      <c r="DCB9" s="520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20"/>
      <c r="DCP9" s="34"/>
      <c r="DCQ9" s="390"/>
      <c r="DCR9" s="520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20"/>
      <c r="DDF9" s="34"/>
      <c r="DDG9" s="390"/>
      <c r="DDH9" s="520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20"/>
      <c r="DDV9" s="34"/>
      <c r="DDW9" s="390"/>
      <c r="DDX9" s="520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20"/>
      <c r="DEL9" s="34"/>
      <c r="DEM9" s="390"/>
      <c r="DEN9" s="520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20"/>
      <c r="DFB9" s="34"/>
      <c r="DFC9" s="390"/>
      <c r="DFD9" s="520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20"/>
      <c r="DFR9" s="34"/>
      <c r="DFS9" s="390"/>
      <c r="DFT9" s="520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20"/>
      <c r="DGH9" s="34"/>
      <c r="DGI9" s="390"/>
      <c r="DGJ9" s="520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20"/>
      <c r="DGX9" s="34"/>
      <c r="DGY9" s="390"/>
      <c r="DGZ9" s="520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20"/>
      <c r="DHN9" s="34"/>
      <c r="DHO9" s="390"/>
      <c r="DHP9" s="520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20"/>
      <c r="DID9" s="34"/>
      <c r="DIE9" s="390"/>
      <c r="DIF9" s="520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20"/>
      <c r="DIT9" s="34"/>
      <c r="DIU9" s="390"/>
      <c r="DIV9" s="520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20"/>
      <c r="DJJ9" s="34"/>
      <c r="DJK9" s="390"/>
      <c r="DJL9" s="520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20"/>
      <c r="DJZ9" s="34"/>
      <c r="DKA9" s="390"/>
      <c r="DKB9" s="520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20"/>
      <c r="DKP9" s="34"/>
      <c r="DKQ9" s="390"/>
      <c r="DKR9" s="520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20"/>
      <c r="DLF9" s="34"/>
      <c r="DLG9" s="390"/>
      <c r="DLH9" s="520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20"/>
      <c r="DLV9" s="34"/>
      <c r="DLW9" s="390"/>
      <c r="DLX9" s="520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20"/>
      <c r="DML9" s="34"/>
      <c r="DMM9" s="390"/>
      <c r="DMN9" s="520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20"/>
      <c r="DNB9" s="34"/>
      <c r="DNC9" s="390"/>
      <c r="DND9" s="520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20"/>
      <c r="DNR9" s="34"/>
      <c r="DNS9" s="390"/>
      <c r="DNT9" s="520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20"/>
      <c r="DOH9" s="34"/>
      <c r="DOI9" s="390"/>
      <c r="DOJ9" s="520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20"/>
      <c r="DOX9" s="34"/>
      <c r="DOY9" s="390"/>
      <c r="DOZ9" s="520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20"/>
      <c r="DPN9" s="34"/>
      <c r="DPO9" s="390"/>
      <c r="DPP9" s="520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20"/>
      <c r="DQD9" s="34"/>
      <c r="DQE9" s="390"/>
      <c r="DQF9" s="520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20"/>
      <c r="DQT9" s="34"/>
      <c r="DQU9" s="390"/>
      <c r="DQV9" s="520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20"/>
      <c r="DRJ9" s="34"/>
      <c r="DRK9" s="390"/>
      <c r="DRL9" s="520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20"/>
      <c r="DRZ9" s="34"/>
      <c r="DSA9" s="390"/>
      <c r="DSB9" s="520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20"/>
      <c r="DSP9" s="34"/>
      <c r="DSQ9" s="390"/>
      <c r="DSR9" s="520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20"/>
      <c r="DTF9" s="34"/>
      <c r="DTG9" s="390"/>
      <c r="DTH9" s="520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20"/>
      <c r="DTV9" s="34"/>
      <c r="DTW9" s="390"/>
      <c r="DTX9" s="520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20"/>
      <c r="DUL9" s="34"/>
      <c r="DUM9" s="390"/>
      <c r="DUN9" s="520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20"/>
      <c r="DVB9" s="34"/>
      <c r="DVC9" s="390"/>
      <c r="DVD9" s="520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20"/>
      <c r="DVR9" s="34"/>
      <c r="DVS9" s="390"/>
      <c r="DVT9" s="520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20"/>
      <c r="DWH9" s="34"/>
      <c r="DWI9" s="390"/>
      <c r="DWJ9" s="520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20"/>
      <c r="DWX9" s="34"/>
      <c r="DWY9" s="390"/>
      <c r="DWZ9" s="520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20"/>
      <c r="DXN9" s="34"/>
      <c r="DXO9" s="390"/>
      <c r="DXP9" s="520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20"/>
      <c r="DYD9" s="34"/>
      <c r="DYE9" s="390"/>
      <c r="DYF9" s="520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20"/>
      <c r="DYT9" s="34"/>
      <c r="DYU9" s="390"/>
      <c r="DYV9" s="520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20"/>
      <c r="DZJ9" s="34"/>
      <c r="DZK9" s="390"/>
      <c r="DZL9" s="520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20"/>
      <c r="DZZ9" s="34"/>
      <c r="EAA9" s="390"/>
      <c r="EAB9" s="520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20"/>
      <c r="EAP9" s="34"/>
      <c r="EAQ9" s="390"/>
      <c r="EAR9" s="520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20"/>
      <c r="EBF9" s="34"/>
      <c r="EBG9" s="390"/>
      <c r="EBH9" s="520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20"/>
      <c r="EBV9" s="34"/>
      <c r="EBW9" s="390"/>
      <c r="EBX9" s="520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20"/>
      <c r="ECL9" s="34"/>
      <c r="ECM9" s="390"/>
      <c r="ECN9" s="520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20"/>
      <c r="EDB9" s="34"/>
      <c r="EDC9" s="390"/>
      <c r="EDD9" s="520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20"/>
      <c r="EDR9" s="34"/>
      <c r="EDS9" s="390"/>
      <c r="EDT9" s="520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20"/>
      <c r="EEH9" s="34"/>
      <c r="EEI9" s="390"/>
      <c r="EEJ9" s="520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20"/>
      <c r="EEX9" s="34"/>
      <c r="EEY9" s="390"/>
      <c r="EEZ9" s="520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20"/>
      <c r="EFN9" s="34"/>
      <c r="EFO9" s="390"/>
      <c r="EFP9" s="520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20"/>
      <c r="EGD9" s="34"/>
      <c r="EGE9" s="390"/>
      <c r="EGF9" s="520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20"/>
      <c r="EGT9" s="34"/>
      <c r="EGU9" s="390"/>
      <c r="EGV9" s="520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20"/>
      <c r="EHJ9" s="34"/>
      <c r="EHK9" s="390"/>
      <c r="EHL9" s="520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20"/>
      <c r="EHZ9" s="34"/>
      <c r="EIA9" s="390"/>
      <c r="EIB9" s="520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20"/>
      <c r="EIP9" s="34"/>
      <c r="EIQ9" s="390"/>
      <c r="EIR9" s="520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20"/>
      <c r="EJF9" s="34"/>
      <c r="EJG9" s="390"/>
      <c r="EJH9" s="520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20"/>
      <c r="EJV9" s="34"/>
      <c r="EJW9" s="390"/>
      <c r="EJX9" s="520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20"/>
      <c r="EKL9" s="34"/>
      <c r="EKM9" s="390"/>
      <c r="EKN9" s="520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20"/>
      <c r="ELB9" s="34"/>
      <c r="ELC9" s="390"/>
      <c r="ELD9" s="520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20"/>
      <c r="ELR9" s="34"/>
      <c r="ELS9" s="390"/>
      <c r="ELT9" s="520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20"/>
      <c r="EMH9" s="34"/>
      <c r="EMI9" s="390"/>
      <c r="EMJ9" s="520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20"/>
      <c r="EMX9" s="34"/>
      <c r="EMY9" s="390"/>
      <c r="EMZ9" s="520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20"/>
      <c r="ENN9" s="34"/>
      <c r="ENO9" s="390"/>
      <c r="ENP9" s="520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20"/>
      <c r="EOD9" s="34"/>
      <c r="EOE9" s="390"/>
      <c r="EOF9" s="520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20"/>
      <c r="EOT9" s="34"/>
      <c r="EOU9" s="390"/>
      <c r="EOV9" s="520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20"/>
      <c r="EPJ9" s="34"/>
      <c r="EPK9" s="390"/>
      <c r="EPL9" s="520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20"/>
      <c r="EPZ9" s="34"/>
      <c r="EQA9" s="390"/>
      <c r="EQB9" s="520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20"/>
      <c r="EQP9" s="34"/>
      <c r="EQQ9" s="390"/>
      <c r="EQR9" s="520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20"/>
      <c r="ERF9" s="34"/>
      <c r="ERG9" s="390"/>
      <c r="ERH9" s="520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20"/>
      <c r="ERV9" s="34"/>
      <c r="ERW9" s="390"/>
      <c r="ERX9" s="520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20"/>
      <c r="ESL9" s="34"/>
      <c r="ESM9" s="390"/>
      <c r="ESN9" s="520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20"/>
      <c r="ETB9" s="34"/>
      <c r="ETC9" s="390"/>
      <c r="ETD9" s="520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20"/>
      <c r="ETR9" s="34"/>
      <c r="ETS9" s="390"/>
      <c r="ETT9" s="520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20"/>
      <c r="EUH9" s="34"/>
      <c r="EUI9" s="390"/>
      <c r="EUJ9" s="520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20"/>
      <c r="EUX9" s="34"/>
      <c r="EUY9" s="390"/>
      <c r="EUZ9" s="520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20"/>
      <c r="EVN9" s="34"/>
      <c r="EVO9" s="390"/>
      <c r="EVP9" s="520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20"/>
      <c r="EWD9" s="34"/>
      <c r="EWE9" s="390"/>
      <c r="EWF9" s="520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20"/>
      <c r="EWT9" s="34"/>
      <c r="EWU9" s="390"/>
      <c r="EWV9" s="520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20"/>
      <c r="EXJ9" s="34"/>
      <c r="EXK9" s="390"/>
      <c r="EXL9" s="520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20"/>
      <c r="EXZ9" s="34"/>
      <c r="EYA9" s="390"/>
      <c r="EYB9" s="520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20"/>
      <c r="EYP9" s="34"/>
      <c r="EYQ9" s="390"/>
      <c r="EYR9" s="520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20"/>
      <c r="EZF9" s="34"/>
      <c r="EZG9" s="390"/>
      <c r="EZH9" s="520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20"/>
      <c r="EZV9" s="34"/>
      <c r="EZW9" s="390"/>
      <c r="EZX9" s="520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20"/>
      <c r="FAL9" s="34"/>
      <c r="FAM9" s="390"/>
      <c r="FAN9" s="520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20"/>
      <c r="FBB9" s="34"/>
      <c r="FBC9" s="390"/>
      <c r="FBD9" s="520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20"/>
      <c r="FBR9" s="34"/>
      <c r="FBS9" s="390"/>
      <c r="FBT9" s="520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20"/>
      <c r="FCH9" s="34"/>
      <c r="FCI9" s="390"/>
      <c r="FCJ9" s="520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20"/>
      <c r="FCX9" s="34"/>
      <c r="FCY9" s="390"/>
      <c r="FCZ9" s="520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20"/>
      <c r="FDN9" s="34"/>
      <c r="FDO9" s="390"/>
      <c r="FDP9" s="520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20"/>
      <c r="FED9" s="34"/>
      <c r="FEE9" s="390"/>
      <c r="FEF9" s="520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20"/>
      <c r="FET9" s="34"/>
      <c r="FEU9" s="390"/>
      <c r="FEV9" s="520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20"/>
      <c r="FFJ9" s="34"/>
      <c r="FFK9" s="390"/>
      <c r="FFL9" s="520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20"/>
      <c r="FFZ9" s="34"/>
      <c r="FGA9" s="390"/>
      <c r="FGB9" s="520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20"/>
      <c r="FGP9" s="34"/>
      <c r="FGQ9" s="390"/>
      <c r="FGR9" s="520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20"/>
      <c r="FHF9" s="34"/>
      <c r="FHG9" s="390"/>
      <c r="FHH9" s="520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20"/>
      <c r="FHV9" s="34"/>
      <c r="FHW9" s="390"/>
      <c r="FHX9" s="520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20"/>
      <c r="FIL9" s="34"/>
      <c r="FIM9" s="390"/>
      <c r="FIN9" s="520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20"/>
      <c r="FJB9" s="34"/>
      <c r="FJC9" s="390"/>
      <c r="FJD9" s="520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20"/>
      <c r="FJR9" s="34"/>
      <c r="FJS9" s="390"/>
      <c r="FJT9" s="520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20"/>
      <c r="FKH9" s="34"/>
      <c r="FKI9" s="390"/>
      <c r="FKJ9" s="520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20"/>
      <c r="FKX9" s="34"/>
      <c r="FKY9" s="390"/>
      <c r="FKZ9" s="520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20"/>
      <c r="FLN9" s="34"/>
      <c r="FLO9" s="390"/>
      <c r="FLP9" s="520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20"/>
      <c r="FMD9" s="34"/>
      <c r="FME9" s="390"/>
      <c r="FMF9" s="520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20"/>
      <c r="FMT9" s="34"/>
      <c r="FMU9" s="390"/>
      <c r="FMV9" s="520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20"/>
      <c r="FNJ9" s="34"/>
      <c r="FNK9" s="390"/>
      <c r="FNL9" s="520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20"/>
      <c r="FNZ9" s="34"/>
      <c r="FOA9" s="390"/>
      <c r="FOB9" s="520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20"/>
      <c r="FOP9" s="34"/>
      <c r="FOQ9" s="390"/>
      <c r="FOR9" s="520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20"/>
      <c r="FPF9" s="34"/>
      <c r="FPG9" s="390"/>
      <c r="FPH9" s="520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20"/>
      <c r="FPV9" s="34"/>
      <c r="FPW9" s="390"/>
      <c r="FPX9" s="520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20"/>
      <c r="FQL9" s="34"/>
      <c r="FQM9" s="390"/>
      <c r="FQN9" s="520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20"/>
      <c r="FRB9" s="34"/>
      <c r="FRC9" s="390"/>
      <c r="FRD9" s="520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20"/>
      <c r="FRR9" s="34"/>
      <c r="FRS9" s="390"/>
      <c r="FRT9" s="520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20"/>
      <c r="FSH9" s="34"/>
      <c r="FSI9" s="390"/>
      <c r="FSJ9" s="520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20"/>
      <c r="FSX9" s="34"/>
      <c r="FSY9" s="390"/>
      <c r="FSZ9" s="520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20"/>
      <c r="FTN9" s="34"/>
      <c r="FTO9" s="390"/>
      <c r="FTP9" s="520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20"/>
      <c r="FUD9" s="34"/>
      <c r="FUE9" s="390"/>
      <c r="FUF9" s="520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20"/>
      <c r="FUT9" s="34"/>
      <c r="FUU9" s="390"/>
      <c r="FUV9" s="520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20"/>
      <c r="FVJ9" s="34"/>
      <c r="FVK9" s="390"/>
      <c r="FVL9" s="520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20"/>
      <c r="FVZ9" s="34"/>
      <c r="FWA9" s="390"/>
      <c r="FWB9" s="520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20"/>
      <c r="FWP9" s="34"/>
      <c r="FWQ9" s="390"/>
      <c r="FWR9" s="520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20"/>
      <c r="FXF9" s="34"/>
      <c r="FXG9" s="390"/>
      <c r="FXH9" s="520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20"/>
      <c r="FXV9" s="34"/>
      <c r="FXW9" s="390"/>
      <c r="FXX9" s="520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20"/>
      <c r="FYL9" s="34"/>
      <c r="FYM9" s="390"/>
      <c r="FYN9" s="520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20"/>
      <c r="FZB9" s="34"/>
      <c r="FZC9" s="390"/>
      <c r="FZD9" s="520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20"/>
      <c r="FZR9" s="34"/>
      <c r="FZS9" s="390"/>
      <c r="FZT9" s="520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20"/>
      <c r="GAH9" s="34"/>
      <c r="GAI9" s="390"/>
      <c r="GAJ9" s="520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20"/>
      <c r="GAX9" s="34"/>
      <c r="GAY9" s="390"/>
      <c r="GAZ9" s="520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20"/>
      <c r="GBN9" s="34"/>
      <c r="GBO9" s="390"/>
      <c r="GBP9" s="520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20"/>
      <c r="GCD9" s="34"/>
      <c r="GCE9" s="390"/>
      <c r="GCF9" s="520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20"/>
      <c r="GCT9" s="34"/>
      <c r="GCU9" s="390"/>
      <c r="GCV9" s="520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20"/>
      <c r="GDJ9" s="34"/>
      <c r="GDK9" s="390"/>
      <c r="GDL9" s="520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20"/>
      <c r="GDZ9" s="34"/>
      <c r="GEA9" s="390"/>
      <c r="GEB9" s="520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20"/>
      <c r="GEP9" s="34"/>
      <c r="GEQ9" s="390"/>
      <c r="GER9" s="520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20"/>
      <c r="GFF9" s="34"/>
      <c r="GFG9" s="390"/>
      <c r="GFH9" s="520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20"/>
      <c r="GFV9" s="34"/>
      <c r="GFW9" s="390"/>
      <c r="GFX9" s="520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20"/>
      <c r="GGL9" s="34"/>
      <c r="GGM9" s="390"/>
      <c r="GGN9" s="520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20"/>
      <c r="GHB9" s="34"/>
      <c r="GHC9" s="390"/>
      <c r="GHD9" s="520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20"/>
      <c r="GHR9" s="34"/>
      <c r="GHS9" s="390"/>
      <c r="GHT9" s="520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20"/>
      <c r="GIH9" s="34"/>
      <c r="GII9" s="390"/>
      <c r="GIJ9" s="520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20"/>
      <c r="GIX9" s="34"/>
      <c r="GIY9" s="390"/>
      <c r="GIZ9" s="520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20"/>
      <c r="GJN9" s="34"/>
      <c r="GJO9" s="390"/>
      <c r="GJP9" s="520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20"/>
      <c r="GKD9" s="34"/>
      <c r="GKE9" s="390"/>
      <c r="GKF9" s="520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20"/>
      <c r="GKT9" s="34"/>
      <c r="GKU9" s="390"/>
      <c r="GKV9" s="520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20"/>
      <c r="GLJ9" s="34"/>
      <c r="GLK9" s="390"/>
      <c r="GLL9" s="520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20"/>
      <c r="GLZ9" s="34"/>
      <c r="GMA9" s="390"/>
      <c r="GMB9" s="520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20"/>
      <c r="GMP9" s="34"/>
      <c r="GMQ9" s="390"/>
      <c r="GMR9" s="520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20"/>
      <c r="GNF9" s="34"/>
      <c r="GNG9" s="390"/>
      <c r="GNH9" s="520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20"/>
      <c r="GNV9" s="34"/>
      <c r="GNW9" s="390"/>
      <c r="GNX9" s="520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20"/>
      <c r="GOL9" s="34"/>
      <c r="GOM9" s="390"/>
      <c r="GON9" s="520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20"/>
      <c r="GPB9" s="34"/>
      <c r="GPC9" s="390"/>
      <c r="GPD9" s="520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20"/>
      <c r="GPR9" s="34"/>
      <c r="GPS9" s="390"/>
      <c r="GPT9" s="520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20"/>
      <c r="GQH9" s="34"/>
      <c r="GQI9" s="390"/>
      <c r="GQJ9" s="520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20"/>
      <c r="GQX9" s="34"/>
      <c r="GQY9" s="390"/>
      <c r="GQZ9" s="520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20"/>
      <c r="GRN9" s="34"/>
      <c r="GRO9" s="390"/>
      <c r="GRP9" s="520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20"/>
      <c r="GSD9" s="34"/>
      <c r="GSE9" s="390"/>
      <c r="GSF9" s="520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20"/>
      <c r="GST9" s="34"/>
      <c r="GSU9" s="390"/>
      <c r="GSV9" s="520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20"/>
      <c r="GTJ9" s="34"/>
      <c r="GTK9" s="390"/>
      <c r="GTL9" s="520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20"/>
      <c r="GTZ9" s="34"/>
      <c r="GUA9" s="390"/>
      <c r="GUB9" s="520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20"/>
      <c r="GUP9" s="34"/>
      <c r="GUQ9" s="390"/>
      <c r="GUR9" s="520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20"/>
      <c r="GVF9" s="34"/>
      <c r="GVG9" s="390"/>
      <c r="GVH9" s="520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20"/>
      <c r="GVV9" s="34"/>
      <c r="GVW9" s="390"/>
      <c r="GVX9" s="520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20"/>
      <c r="GWL9" s="34"/>
      <c r="GWM9" s="390"/>
      <c r="GWN9" s="520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20"/>
      <c r="GXB9" s="34"/>
      <c r="GXC9" s="390"/>
      <c r="GXD9" s="520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20"/>
      <c r="GXR9" s="34"/>
      <c r="GXS9" s="390"/>
      <c r="GXT9" s="520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20"/>
      <c r="GYH9" s="34"/>
      <c r="GYI9" s="390"/>
      <c r="GYJ9" s="520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20"/>
      <c r="GYX9" s="34"/>
      <c r="GYY9" s="390"/>
      <c r="GYZ9" s="520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20"/>
      <c r="GZN9" s="34"/>
      <c r="GZO9" s="390"/>
      <c r="GZP9" s="520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20"/>
      <c r="HAD9" s="34"/>
      <c r="HAE9" s="390"/>
      <c r="HAF9" s="520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20"/>
      <c r="HAT9" s="34"/>
      <c r="HAU9" s="390"/>
      <c r="HAV9" s="520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20"/>
      <c r="HBJ9" s="34"/>
      <c r="HBK9" s="390"/>
      <c r="HBL9" s="520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20"/>
      <c r="HBZ9" s="34"/>
      <c r="HCA9" s="390"/>
      <c r="HCB9" s="520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20"/>
      <c r="HCP9" s="34"/>
      <c r="HCQ9" s="390"/>
      <c r="HCR9" s="520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20"/>
      <c r="HDF9" s="34"/>
      <c r="HDG9" s="390"/>
      <c r="HDH9" s="520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20"/>
      <c r="HDV9" s="34"/>
      <c r="HDW9" s="390"/>
      <c r="HDX9" s="520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20"/>
      <c r="HEL9" s="34"/>
      <c r="HEM9" s="390"/>
      <c r="HEN9" s="520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20"/>
      <c r="HFB9" s="34"/>
      <c r="HFC9" s="390"/>
      <c r="HFD9" s="520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20"/>
      <c r="HFR9" s="34"/>
      <c r="HFS9" s="390"/>
      <c r="HFT9" s="520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20"/>
      <c r="HGH9" s="34"/>
      <c r="HGI9" s="390"/>
      <c r="HGJ9" s="520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20"/>
      <c r="HGX9" s="34"/>
      <c r="HGY9" s="390"/>
      <c r="HGZ9" s="520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20"/>
      <c r="HHN9" s="34"/>
      <c r="HHO9" s="390"/>
      <c r="HHP9" s="520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20"/>
      <c r="HID9" s="34"/>
      <c r="HIE9" s="390"/>
      <c r="HIF9" s="520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20"/>
      <c r="HIT9" s="34"/>
      <c r="HIU9" s="390"/>
      <c r="HIV9" s="520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20"/>
      <c r="HJJ9" s="34"/>
      <c r="HJK9" s="390"/>
      <c r="HJL9" s="520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20"/>
      <c r="HJZ9" s="34"/>
      <c r="HKA9" s="390"/>
      <c r="HKB9" s="520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20"/>
      <c r="HKP9" s="34"/>
      <c r="HKQ9" s="390"/>
      <c r="HKR9" s="520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20"/>
      <c r="HLF9" s="34"/>
      <c r="HLG9" s="390"/>
      <c r="HLH9" s="520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20"/>
      <c r="HLV9" s="34"/>
      <c r="HLW9" s="390"/>
      <c r="HLX9" s="520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20"/>
      <c r="HML9" s="34"/>
      <c r="HMM9" s="390"/>
      <c r="HMN9" s="520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20"/>
      <c r="HNB9" s="34"/>
      <c r="HNC9" s="390"/>
      <c r="HND9" s="520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20"/>
      <c r="HNR9" s="34"/>
      <c r="HNS9" s="390"/>
      <c r="HNT9" s="520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20"/>
      <c r="HOH9" s="34"/>
      <c r="HOI9" s="390"/>
      <c r="HOJ9" s="520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20"/>
      <c r="HOX9" s="34"/>
      <c r="HOY9" s="390"/>
      <c r="HOZ9" s="520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20"/>
      <c r="HPN9" s="34"/>
      <c r="HPO9" s="390"/>
      <c r="HPP9" s="520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20"/>
      <c r="HQD9" s="34"/>
      <c r="HQE9" s="390"/>
      <c r="HQF9" s="520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20"/>
      <c r="HQT9" s="34"/>
      <c r="HQU9" s="390"/>
      <c r="HQV9" s="520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20"/>
      <c r="HRJ9" s="34"/>
      <c r="HRK9" s="390"/>
      <c r="HRL9" s="520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20"/>
      <c r="HRZ9" s="34"/>
      <c r="HSA9" s="390"/>
      <c r="HSB9" s="520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20"/>
      <c r="HSP9" s="34"/>
      <c r="HSQ9" s="390"/>
      <c r="HSR9" s="520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20"/>
      <c r="HTF9" s="34"/>
      <c r="HTG9" s="390"/>
      <c r="HTH9" s="520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20"/>
      <c r="HTV9" s="34"/>
      <c r="HTW9" s="390"/>
      <c r="HTX9" s="520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20"/>
      <c r="HUL9" s="34"/>
      <c r="HUM9" s="390"/>
      <c r="HUN9" s="520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20"/>
      <c r="HVB9" s="34"/>
      <c r="HVC9" s="390"/>
      <c r="HVD9" s="520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20"/>
      <c r="HVR9" s="34"/>
      <c r="HVS9" s="390"/>
      <c r="HVT9" s="520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20"/>
      <c r="HWH9" s="34"/>
      <c r="HWI9" s="390"/>
      <c r="HWJ9" s="520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20"/>
      <c r="HWX9" s="34"/>
      <c r="HWY9" s="390"/>
      <c r="HWZ9" s="520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20"/>
      <c r="HXN9" s="34"/>
      <c r="HXO9" s="390"/>
      <c r="HXP9" s="520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20"/>
      <c r="HYD9" s="34"/>
      <c r="HYE9" s="390"/>
      <c r="HYF9" s="520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20"/>
      <c r="HYT9" s="34"/>
      <c r="HYU9" s="390"/>
      <c r="HYV9" s="520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20"/>
      <c r="HZJ9" s="34"/>
      <c r="HZK9" s="390"/>
      <c r="HZL9" s="520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20"/>
      <c r="HZZ9" s="34"/>
      <c r="IAA9" s="390"/>
      <c r="IAB9" s="520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20"/>
      <c r="IAP9" s="34"/>
      <c r="IAQ9" s="390"/>
      <c r="IAR9" s="520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20"/>
      <c r="IBF9" s="34"/>
      <c r="IBG9" s="390"/>
      <c r="IBH9" s="520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20"/>
      <c r="IBV9" s="34"/>
      <c r="IBW9" s="390"/>
      <c r="IBX9" s="520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20"/>
      <c r="ICL9" s="34"/>
      <c r="ICM9" s="390"/>
      <c r="ICN9" s="520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20"/>
      <c r="IDB9" s="34"/>
      <c r="IDC9" s="390"/>
      <c r="IDD9" s="520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20"/>
      <c r="IDR9" s="34"/>
      <c r="IDS9" s="390"/>
      <c r="IDT9" s="520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20"/>
      <c r="IEH9" s="34"/>
      <c r="IEI9" s="390"/>
      <c r="IEJ9" s="520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20"/>
      <c r="IEX9" s="34"/>
      <c r="IEY9" s="390"/>
      <c r="IEZ9" s="520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20"/>
      <c r="IFN9" s="34"/>
      <c r="IFO9" s="390"/>
      <c r="IFP9" s="520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20"/>
      <c r="IGD9" s="34"/>
      <c r="IGE9" s="390"/>
      <c r="IGF9" s="520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20"/>
      <c r="IGT9" s="34"/>
      <c r="IGU9" s="390"/>
      <c r="IGV9" s="520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20"/>
      <c r="IHJ9" s="34"/>
      <c r="IHK9" s="390"/>
      <c r="IHL9" s="520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20"/>
      <c r="IHZ9" s="34"/>
      <c r="IIA9" s="390"/>
      <c r="IIB9" s="520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20"/>
      <c r="IIP9" s="34"/>
      <c r="IIQ9" s="390"/>
      <c r="IIR9" s="520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20"/>
      <c r="IJF9" s="34"/>
      <c r="IJG9" s="390"/>
      <c r="IJH9" s="520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20"/>
      <c r="IJV9" s="34"/>
      <c r="IJW9" s="390"/>
      <c r="IJX9" s="520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20"/>
      <c r="IKL9" s="34"/>
      <c r="IKM9" s="390"/>
      <c r="IKN9" s="520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20"/>
      <c r="ILB9" s="34"/>
      <c r="ILC9" s="390"/>
      <c r="ILD9" s="520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20"/>
      <c r="ILR9" s="34"/>
      <c r="ILS9" s="390"/>
      <c r="ILT9" s="520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20"/>
      <c r="IMH9" s="34"/>
      <c r="IMI9" s="390"/>
      <c r="IMJ9" s="520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20"/>
      <c r="IMX9" s="34"/>
      <c r="IMY9" s="390"/>
      <c r="IMZ9" s="520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20"/>
      <c r="INN9" s="34"/>
      <c r="INO9" s="390"/>
      <c r="INP9" s="520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20"/>
      <c r="IOD9" s="34"/>
      <c r="IOE9" s="390"/>
      <c r="IOF9" s="520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20"/>
      <c r="IOT9" s="34"/>
      <c r="IOU9" s="390"/>
      <c r="IOV9" s="520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20"/>
      <c r="IPJ9" s="34"/>
      <c r="IPK9" s="390"/>
      <c r="IPL9" s="520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20"/>
      <c r="IPZ9" s="34"/>
      <c r="IQA9" s="390"/>
      <c r="IQB9" s="520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20"/>
      <c r="IQP9" s="34"/>
      <c r="IQQ9" s="390"/>
      <c r="IQR9" s="520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20"/>
      <c r="IRF9" s="34"/>
      <c r="IRG9" s="390"/>
      <c r="IRH9" s="520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20"/>
      <c r="IRV9" s="34"/>
      <c r="IRW9" s="390"/>
      <c r="IRX9" s="520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20"/>
      <c r="ISL9" s="34"/>
      <c r="ISM9" s="390"/>
      <c r="ISN9" s="520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20"/>
      <c r="ITB9" s="34"/>
      <c r="ITC9" s="390"/>
      <c r="ITD9" s="520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20"/>
      <c r="ITR9" s="34"/>
      <c r="ITS9" s="390"/>
      <c r="ITT9" s="520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20"/>
      <c r="IUH9" s="34"/>
      <c r="IUI9" s="390"/>
      <c r="IUJ9" s="520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20"/>
      <c r="IUX9" s="34"/>
      <c r="IUY9" s="390"/>
      <c r="IUZ9" s="520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20"/>
      <c r="IVN9" s="34"/>
      <c r="IVO9" s="390"/>
      <c r="IVP9" s="520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20"/>
      <c r="IWD9" s="34"/>
      <c r="IWE9" s="390"/>
      <c r="IWF9" s="520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20"/>
      <c r="IWT9" s="34"/>
      <c r="IWU9" s="390"/>
      <c r="IWV9" s="520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20"/>
      <c r="IXJ9" s="34"/>
      <c r="IXK9" s="390"/>
      <c r="IXL9" s="520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20"/>
      <c r="IXZ9" s="34"/>
      <c r="IYA9" s="390"/>
      <c r="IYB9" s="520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20"/>
      <c r="IYP9" s="34"/>
      <c r="IYQ9" s="390"/>
      <c r="IYR9" s="520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20"/>
      <c r="IZF9" s="34"/>
      <c r="IZG9" s="390"/>
      <c r="IZH9" s="520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20"/>
      <c r="IZV9" s="34"/>
      <c r="IZW9" s="390"/>
      <c r="IZX9" s="520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20"/>
      <c r="JAL9" s="34"/>
      <c r="JAM9" s="390"/>
      <c r="JAN9" s="520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20"/>
      <c r="JBB9" s="34"/>
      <c r="JBC9" s="390"/>
      <c r="JBD9" s="520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20"/>
      <c r="JBR9" s="34"/>
      <c r="JBS9" s="390"/>
      <c r="JBT9" s="520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20"/>
      <c r="JCH9" s="34"/>
      <c r="JCI9" s="390"/>
      <c r="JCJ9" s="520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20"/>
      <c r="JCX9" s="34"/>
      <c r="JCY9" s="390"/>
      <c r="JCZ9" s="520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20"/>
      <c r="JDN9" s="34"/>
      <c r="JDO9" s="390"/>
      <c r="JDP9" s="520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20"/>
      <c r="JED9" s="34"/>
      <c r="JEE9" s="390"/>
      <c r="JEF9" s="520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20"/>
      <c r="JET9" s="34"/>
      <c r="JEU9" s="390"/>
      <c r="JEV9" s="520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20"/>
      <c r="JFJ9" s="34"/>
      <c r="JFK9" s="390"/>
      <c r="JFL9" s="520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20"/>
      <c r="JFZ9" s="34"/>
      <c r="JGA9" s="390"/>
      <c r="JGB9" s="520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20"/>
      <c r="JGP9" s="34"/>
      <c r="JGQ9" s="390"/>
      <c r="JGR9" s="520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20"/>
      <c r="JHF9" s="34"/>
      <c r="JHG9" s="390"/>
      <c r="JHH9" s="520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20"/>
      <c r="JHV9" s="34"/>
      <c r="JHW9" s="390"/>
      <c r="JHX9" s="520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20"/>
      <c r="JIL9" s="34"/>
      <c r="JIM9" s="390"/>
      <c r="JIN9" s="520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20"/>
      <c r="JJB9" s="34"/>
      <c r="JJC9" s="390"/>
      <c r="JJD9" s="520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20"/>
      <c r="JJR9" s="34"/>
      <c r="JJS9" s="390"/>
      <c r="JJT9" s="520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20"/>
      <c r="JKH9" s="34"/>
      <c r="JKI9" s="390"/>
      <c r="JKJ9" s="520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20"/>
      <c r="JKX9" s="34"/>
      <c r="JKY9" s="390"/>
      <c r="JKZ9" s="520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20"/>
      <c r="JLN9" s="34"/>
      <c r="JLO9" s="390"/>
      <c r="JLP9" s="520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20"/>
      <c r="JMD9" s="34"/>
      <c r="JME9" s="390"/>
      <c r="JMF9" s="520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20"/>
      <c r="JMT9" s="34"/>
      <c r="JMU9" s="390"/>
      <c r="JMV9" s="520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20"/>
      <c r="JNJ9" s="34"/>
      <c r="JNK9" s="390"/>
      <c r="JNL9" s="520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20"/>
      <c r="JNZ9" s="34"/>
      <c r="JOA9" s="390"/>
      <c r="JOB9" s="520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20"/>
      <c r="JOP9" s="34"/>
      <c r="JOQ9" s="390"/>
      <c r="JOR9" s="520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20"/>
      <c r="JPF9" s="34"/>
      <c r="JPG9" s="390"/>
      <c r="JPH9" s="520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20"/>
      <c r="JPV9" s="34"/>
      <c r="JPW9" s="390"/>
      <c r="JPX9" s="520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20"/>
      <c r="JQL9" s="34"/>
      <c r="JQM9" s="390"/>
      <c r="JQN9" s="520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20"/>
      <c r="JRB9" s="34"/>
      <c r="JRC9" s="390"/>
      <c r="JRD9" s="520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20"/>
      <c r="JRR9" s="34"/>
      <c r="JRS9" s="390"/>
      <c r="JRT9" s="520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20"/>
      <c r="JSH9" s="34"/>
      <c r="JSI9" s="390"/>
      <c r="JSJ9" s="520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20"/>
      <c r="JSX9" s="34"/>
      <c r="JSY9" s="390"/>
      <c r="JSZ9" s="520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20"/>
      <c r="JTN9" s="34"/>
      <c r="JTO9" s="390"/>
      <c r="JTP9" s="520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20"/>
      <c r="JUD9" s="34"/>
      <c r="JUE9" s="390"/>
      <c r="JUF9" s="520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20"/>
      <c r="JUT9" s="34"/>
      <c r="JUU9" s="390"/>
      <c r="JUV9" s="520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20"/>
      <c r="JVJ9" s="34"/>
      <c r="JVK9" s="390"/>
      <c r="JVL9" s="520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20"/>
      <c r="JVZ9" s="34"/>
      <c r="JWA9" s="390"/>
      <c r="JWB9" s="520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20"/>
      <c r="JWP9" s="34"/>
      <c r="JWQ9" s="390"/>
      <c r="JWR9" s="520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20"/>
      <c r="JXF9" s="34"/>
      <c r="JXG9" s="390"/>
      <c r="JXH9" s="520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20"/>
      <c r="JXV9" s="34"/>
      <c r="JXW9" s="390"/>
      <c r="JXX9" s="520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20"/>
      <c r="JYL9" s="34"/>
      <c r="JYM9" s="390"/>
      <c r="JYN9" s="520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20"/>
      <c r="JZB9" s="34"/>
      <c r="JZC9" s="390"/>
      <c r="JZD9" s="520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20"/>
      <c r="JZR9" s="34"/>
      <c r="JZS9" s="390"/>
      <c r="JZT9" s="520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20"/>
      <c r="KAH9" s="34"/>
      <c r="KAI9" s="390"/>
      <c r="KAJ9" s="520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20"/>
      <c r="KAX9" s="34"/>
      <c r="KAY9" s="390"/>
      <c r="KAZ9" s="520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20"/>
      <c r="KBN9" s="34"/>
      <c r="KBO9" s="390"/>
      <c r="KBP9" s="520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20"/>
      <c r="KCD9" s="34"/>
      <c r="KCE9" s="390"/>
      <c r="KCF9" s="520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20"/>
      <c r="KCT9" s="34"/>
      <c r="KCU9" s="390"/>
      <c r="KCV9" s="520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20"/>
      <c r="KDJ9" s="34"/>
      <c r="KDK9" s="390"/>
      <c r="KDL9" s="520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20"/>
      <c r="KDZ9" s="34"/>
      <c r="KEA9" s="390"/>
      <c r="KEB9" s="520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20"/>
      <c r="KEP9" s="34"/>
      <c r="KEQ9" s="390"/>
      <c r="KER9" s="520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20"/>
      <c r="KFF9" s="34"/>
      <c r="KFG9" s="390"/>
      <c r="KFH9" s="520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20"/>
      <c r="KFV9" s="34"/>
      <c r="KFW9" s="390"/>
      <c r="KFX9" s="520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20"/>
      <c r="KGL9" s="34"/>
      <c r="KGM9" s="390"/>
      <c r="KGN9" s="520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20"/>
      <c r="KHB9" s="34"/>
      <c r="KHC9" s="390"/>
      <c r="KHD9" s="520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20"/>
      <c r="KHR9" s="34"/>
      <c r="KHS9" s="390"/>
      <c r="KHT9" s="520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20"/>
      <c r="KIH9" s="34"/>
      <c r="KII9" s="390"/>
      <c r="KIJ9" s="520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20"/>
      <c r="KIX9" s="34"/>
      <c r="KIY9" s="390"/>
      <c r="KIZ9" s="520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20"/>
      <c r="KJN9" s="34"/>
      <c r="KJO9" s="390"/>
      <c r="KJP9" s="520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20"/>
      <c r="KKD9" s="34"/>
      <c r="KKE9" s="390"/>
      <c r="KKF9" s="520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20"/>
      <c r="KKT9" s="34"/>
      <c r="KKU9" s="390"/>
      <c r="KKV9" s="520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20"/>
      <c r="KLJ9" s="34"/>
      <c r="KLK9" s="390"/>
      <c r="KLL9" s="520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20"/>
      <c r="KLZ9" s="34"/>
      <c r="KMA9" s="390"/>
      <c r="KMB9" s="520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20"/>
      <c r="KMP9" s="34"/>
      <c r="KMQ9" s="390"/>
      <c r="KMR9" s="520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20"/>
      <c r="KNF9" s="34"/>
      <c r="KNG9" s="390"/>
      <c r="KNH9" s="520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20"/>
      <c r="KNV9" s="34"/>
      <c r="KNW9" s="390"/>
      <c r="KNX9" s="520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20"/>
      <c r="KOL9" s="34"/>
      <c r="KOM9" s="390"/>
      <c r="KON9" s="520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20"/>
      <c r="KPB9" s="34"/>
      <c r="KPC9" s="390"/>
      <c r="KPD9" s="520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20"/>
      <c r="KPR9" s="34"/>
      <c r="KPS9" s="390"/>
      <c r="KPT9" s="520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20"/>
      <c r="KQH9" s="34"/>
      <c r="KQI9" s="390"/>
      <c r="KQJ9" s="520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20"/>
      <c r="KQX9" s="34"/>
      <c r="KQY9" s="390"/>
      <c r="KQZ9" s="520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20"/>
      <c r="KRN9" s="34"/>
      <c r="KRO9" s="390"/>
      <c r="KRP9" s="520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20"/>
      <c r="KSD9" s="34"/>
      <c r="KSE9" s="390"/>
      <c r="KSF9" s="520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20"/>
      <c r="KST9" s="34"/>
      <c r="KSU9" s="390"/>
      <c r="KSV9" s="520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20"/>
      <c r="KTJ9" s="34"/>
      <c r="KTK9" s="390"/>
      <c r="KTL9" s="520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20"/>
      <c r="KTZ9" s="34"/>
      <c r="KUA9" s="390"/>
      <c r="KUB9" s="520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20"/>
      <c r="KUP9" s="34"/>
      <c r="KUQ9" s="390"/>
      <c r="KUR9" s="520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20"/>
      <c r="KVF9" s="34"/>
      <c r="KVG9" s="390"/>
      <c r="KVH9" s="520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20"/>
      <c r="KVV9" s="34"/>
      <c r="KVW9" s="390"/>
      <c r="KVX9" s="520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20"/>
      <c r="KWL9" s="34"/>
      <c r="KWM9" s="390"/>
      <c r="KWN9" s="520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20"/>
      <c r="KXB9" s="34"/>
      <c r="KXC9" s="390"/>
      <c r="KXD9" s="520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20"/>
      <c r="KXR9" s="34"/>
      <c r="KXS9" s="390"/>
      <c r="KXT9" s="520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20"/>
      <c r="KYH9" s="34"/>
      <c r="KYI9" s="390"/>
      <c r="KYJ9" s="520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20"/>
      <c r="KYX9" s="34"/>
      <c r="KYY9" s="390"/>
      <c r="KYZ9" s="520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20"/>
      <c r="KZN9" s="34"/>
      <c r="KZO9" s="390"/>
      <c r="KZP9" s="520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20"/>
      <c r="LAD9" s="34"/>
      <c r="LAE9" s="390"/>
      <c r="LAF9" s="520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20"/>
      <c r="LAT9" s="34"/>
      <c r="LAU9" s="390"/>
      <c r="LAV9" s="520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20"/>
      <c r="LBJ9" s="34"/>
      <c r="LBK9" s="390"/>
      <c r="LBL9" s="520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20"/>
      <c r="LBZ9" s="34"/>
      <c r="LCA9" s="390"/>
      <c r="LCB9" s="520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20"/>
      <c r="LCP9" s="34"/>
      <c r="LCQ9" s="390"/>
      <c r="LCR9" s="520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20"/>
      <c r="LDF9" s="34"/>
      <c r="LDG9" s="390"/>
      <c r="LDH9" s="520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20"/>
      <c r="LDV9" s="34"/>
      <c r="LDW9" s="390"/>
      <c r="LDX9" s="520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20"/>
      <c r="LEL9" s="34"/>
      <c r="LEM9" s="390"/>
      <c r="LEN9" s="520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20"/>
      <c r="LFB9" s="34"/>
      <c r="LFC9" s="390"/>
      <c r="LFD9" s="520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20"/>
      <c r="LFR9" s="34"/>
      <c r="LFS9" s="390"/>
      <c r="LFT9" s="520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20"/>
      <c r="LGH9" s="34"/>
      <c r="LGI9" s="390"/>
      <c r="LGJ9" s="520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20"/>
      <c r="LGX9" s="34"/>
      <c r="LGY9" s="390"/>
      <c r="LGZ9" s="520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20"/>
      <c r="LHN9" s="34"/>
      <c r="LHO9" s="390"/>
      <c r="LHP9" s="520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20"/>
      <c r="LID9" s="34"/>
      <c r="LIE9" s="390"/>
      <c r="LIF9" s="520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20"/>
      <c r="LIT9" s="34"/>
      <c r="LIU9" s="390"/>
      <c r="LIV9" s="520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20"/>
      <c r="LJJ9" s="34"/>
      <c r="LJK9" s="390"/>
      <c r="LJL9" s="520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20"/>
      <c r="LJZ9" s="34"/>
      <c r="LKA9" s="390"/>
      <c r="LKB9" s="520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20"/>
      <c r="LKP9" s="34"/>
      <c r="LKQ9" s="390"/>
      <c r="LKR9" s="520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20"/>
      <c r="LLF9" s="34"/>
      <c r="LLG9" s="390"/>
      <c r="LLH9" s="520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20"/>
      <c r="LLV9" s="34"/>
      <c r="LLW9" s="390"/>
      <c r="LLX9" s="520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20"/>
      <c r="LML9" s="34"/>
      <c r="LMM9" s="390"/>
      <c r="LMN9" s="520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20"/>
      <c r="LNB9" s="34"/>
      <c r="LNC9" s="390"/>
      <c r="LND9" s="520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20"/>
      <c r="LNR9" s="34"/>
      <c r="LNS9" s="390"/>
      <c r="LNT9" s="520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20"/>
      <c r="LOH9" s="34"/>
      <c r="LOI9" s="390"/>
      <c r="LOJ9" s="520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20"/>
      <c r="LOX9" s="34"/>
      <c r="LOY9" s="390"/>
      <c r="LOZ9" s="520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20"/>
      <c r="LPN9" s="34"/>
      <c r="LPO9" s="390"/>
      <c r="LPP9" s="520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20"/>
      <c r="LQD9" s="34"/>
      <c r="LQE9" s="390"/>
      <c r="LQF9" s="520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20"/>
      <c r="LQT9" s="34"/>
      <c r="LQU9" s="390"/>
      <c r="LQV9" s="520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20"/>
      <c r="LRJ9" s="34"/>
      <c r="LRK9" s="390"/>
      <c r="LRL9" s="520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20"/>
      <c r="LRZ9" s="34"/>
      <c r="LSA9" s="390"/>
      <c r="LSB9" s="520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20"/>
      <c r="LSP9" s="34"/>
      <c r="LSQ9" s="390"/>
      <c r="LSR9" s="520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20"/>
      <c r="LTF9" s="34"/>
      <c r="LTG9" s="390"/>
      <c r="LTH9" s="520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20"/>
      <c r="LTV9" s="34"/>
      <c r="LTW9" s="390"/>
      <c r="LTX9" s="520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20"/>
      <c r="LUL9" s="34"/>
      <c r="LUM9" s="390"/>
      <c r="LUN9" s="520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20"/>
      <c r="LVB9" s="34"/>
      <c r="LVC9" s="390"/>
      <c r="LVD9" s="520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20"/>
      <c r="LVR9" s="34"/>
      <c r="LVS9" s="390"/>
      <c r="LVT9" s="520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20"/>
      <c r="LWH9" s="34"/>
      <c r="LWI9" s="390"/>
      <c r="LWJ9" s="520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20"/>
      <c r="LWX9" s="34"/>
      <c r="LWY9" s="390"/>
      <c r="LWZ9" s="520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20"/>
      <c r="LXN9" s="34"/>
      <c r="LXO9" s="390"/>
      <c r="LXP9" s="520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20"/>
      <c r="LYD9" s="34"/>
      <c r="LYE9" s="390"/>
      <c r="LYF9" s="520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20"/>
      <c r="LYT9" s="34"/>
      <c r="LYU9" s="390"/>
      <c r="LYV9" s="520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20"/>
      <c r="LZJ9" s="34"/>
      <c r="LZK9" s="390"/>
      <c r="LZL9" s="520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20"/>
      <c r="LZZ9" s="34"/>
      <c r="MAA9" s="390"/>
      <c r="MAB9" s="520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20"/>
      <c r="MAP9" s="34"/>
      <c r="MAQ9" s="390"/>
      <c r="MAR9" s="520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20"/>
      <c r="MBF9" s="34"/>
      <c r="MBG9" s="390"/>
      <c r="MBH9" s="520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20"/>
      <c r="MBV9" s="34"/>
      <c r="MBW9" s="390"/>
      <c r="MBX9" s="520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20"/>
      <c r="MCL9" s="34"/>
      <c r="MCM9" s="390"/>
      <c r="MCN9" s="520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20"/>
      <c r="MDB9" s="34"/>
      <c r="MDC9" s="390"/>
      <c r="MDD9" s="520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20"/>
      <c r="MDR9" s="34"/>
      <c r="MDS9" s="390"/>
      <c r="MDT9" s="520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20"/>
      <c r="MEH9" s="34"/>
      <c r="MEI9" s="390"/>
      <c r="MEJ9" s="520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20"/>
      <c r="MEX9" s="34"/>
      <c r="MEY9" s="390"/>
      <c r="MEZ9" s="520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20"/>
      <c r="MFN9" s="34"/>
      <c r="MFO9" s="390"/>
      <c r="MFP9" s="520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20"/>
      <c r="MGD9" s="34"/>
      <c r="MGE9" s="390"/>
      <c r="MGF9" s="520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20"/>
      <c r="MGT9" s="34"/>
      <c r="MGU9" s="390"/>
      <c r="MGV9" s="520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20"/>
      <c r="MHJ9" s="34"/>
      <c r="MHK9" s="390"/>
      <c r="MHL9" s="520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20"/>
      <c r="MHZ9" s="34"/>
      <c r="MIA9" s="390"/>
      <c r="MIB9" s="520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20"/>
      <c r="MIP9" s="34"/>
      <c r="MIQ9" s="390"/>
      <c r="MIR9" s="520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20"/>
      <c r="MJF9" s="34"/>
      <c r="MJG9" s="390"/>
      <c r="MJH9" s="520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20"/>
      <c r="MJV9" s="34"/>
      <c r="MJW9" s="390"/>
      <c r="MJX9" s="520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20"/>
      <c r="MKL9" s="34"/>
      <c r="MKM9" s="390"/>
      <c r="MKN9" s="520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20"/>
      <c r="MLB9" s="34"/>
      <c r="MLC9" s="390"/>
      <c r="MLD9" s="520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20"/>
      <c r="MLR9" s="34"/>
      <c r="MLS9" s="390"/>
      <c r="MLT9" s="520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20"/>
      <c r="MMH9" s="34"/>
      <c r="MMI9" s="390"/>
      <c r="MMJ9" s="520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20"/>
      <c r="MMX9" s="34"/>
      <c r="MMY9" s="390"/>
      <c r="MMZ9" s="520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20"/>
      <c r="MNN9" s="34"/>
      <c r="MNO9" s="390"/>
      <c r="MNP9" s="520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20"/>
      <c r="MOD9" s="34"/>
      <c r="MOE9" s="390"/>
      <c r="MOF9" s="520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20"/>
      <c r="MOT9" s="34"/>
      <c r="MOU9" s="390"/>
      <c r="MOV9" s="520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20"/>
      <c r="MPJ9" s="34"/>
      <c r="MPK9" s="390"/>
      <c r="MPL9" s="520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20"/>
      <c r="MPZ9" s="34"/>
      <c r="MQA9" s="390"/>
      <c r="MQB9" s="520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20"/>
      <c r="MQP9" s="34"/>
      <c r="MQQ9" s="390"/>
      <c r="MQR9" s="520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20"/>
      <c r="MRF9" s="34"/>
      <c r="MRG9" s="390"/>
      <c r="MRH9" s="520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20"/>
      <c r="MRV9" s="34"/>
      <c r="MRW9" s="390"/>
      <c r="MRX9" s="520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20"/>
      <c r="MSL9" s="34"/>
      <c r="MSM9" s="390"/>
      <c r="MSN9" s="520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20"/>
      <c r="MTB9" s="34"/>
      <c r="MTC9" s="390"/>
      <c r="MTD9" s="520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20"/>
      <c r="MTR9" s="34"/>
      <c r="MTS9" s="390"/>
      <c r="MTT9" s="520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20"/>
      <c r="MUH9" s="34"/>
      <c r="MUI9" s="390"/>
      <c r="MUJ9" s="520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20"/>
      <c r="MUX9" s="34"/>
      <c r="MUY9" s="390"/>
      <c r="MUZ9" s="520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20"/>
      <c r="MVN9" s="34"/>
      <c r="MVO9" s="390"/>
      <c r="MVP9" s="520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20"/>
      <c r="MWD9" s="34"/>
      <c r="MWE9" s="390"/>
      <c r="MWF9" s="520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20"/>
      <c r="MWT9" s="34"/>
      <c r="MWU9" s="390"/>
      <c r="MWV9" s="520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20"/>
      <c r="MXJ9" s="34"/>
      <c r="MXK9" s="390"/>
      <c r="MXL9" s="520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20"/>
      <c r="MXZ9" s="34"/>
      <c r="MYA9" s="390"/>
      <c r="MYB9" s="520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20"/>
      <c r="MYP9" s="34"/>
      <c r="MYQ9" s="390"/>
      <c r="MYR9" s="520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20"/>
      <c r="MZF9" s="34"/>
      <c r="MZG9" s="390"/>
      <c r="MZH9" s="520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20"/>
      <c r="MZV9" s="34"/>
      <c r="MZW9" s="390"/>
      <c r="MZX9" s="520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20"/>
      <c r="NAL9" s="34"/>
      <c r="NAM9" s="390"/>
      <c r="NAN9" s="520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20"/>
      <c r="NBB9" s="34"/>
      <c r="NBC9" s="390"/>
      <c r="NBD9" s="520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20"/>
      <c r="NBR9" s="34"/>
      <c r="NBS9" s="390"/>
      <c r="NBT9" s="520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20"/>
      <c r="NCH9" s="34"/>
      <c r="NCI9" s="390"/>
      <c r="NCJ9" s="520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20"/>
      <c r="NCX9" s="34"/>
      <c r="NCY9" s="390"/>
      <c r="NCZ9" s="520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20"/>
      <c r="NDN9" s="34"/>
      <c r="NDO9" s="390"/>
      <c r="NDP9" s="520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20"/>
      <c r="NED9" s="34"/>
      <c r="NEE9" s="390"/>
      <c r="NEF9" s="520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20"/>
      <c r="NET9" s="34"/>
      <c r="NEU9" s="390"/>
      <c r="NEV9" s="520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20"/>
      <c r="NFJ9" s="34"/>
      <c r="NFK9" s="390"/>
      <c r="NFL9" s="520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20"/>
      <c r="NFZ9" s="34"/>
      <c r="NGA9" s="390"/>
      <c r="NGB9" s="520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20"/>
      <c r="NGP9" s="34"/>
      <c r="NGQ9" s="390"/>
      <c r="NGR9" s="520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20"/>
      <c r="NHF9" s="34"/>
      <c r="NHG9" s="390"/>
      <c r="NHH9" s="520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20"/>
      <c r="NHV9" s="34"/>
      <c r="NHW9" s="390"/>
      <c r="NHX9" s="520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20"/>
      <c r="NIL9" s="34"/>
      <c r="NIM9" s="390"/>
      <c r="NIN9" s="520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20"/>
      <c r="NJB9" s="34"/>
      <c r="NJC9" s="390"/>
      <c r="NJD9" s="520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20"/>
      <c r="NJR9" s="34"/>
      <c r="NJS9" s="390"/>
      <c r="NJT9" s="520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20"/>
      <c r="NKH9" s="34"/>
      <c r="NKI9" s="390"/>
      <c r="NKJ9" s="520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20"/>
      <c r="NKX9" s="34"/>
      <c r="NKY9" s="390"/>
      <c r="NKZ9" s="520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20"/>
      <c r="NLN9" s="34"/>
      <c r="NLO9" s="390"/>
      <c r="NLP9" s="520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20"/>
      <c r="NMD9" s="34"/>
      <c r="NME9" s="390"/>
      <c r="NMF9" s="520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20"/>
      <c r="NMT9" s="34"/>
      <c r="NMU9" s="390"/>
      <c r="NMV9" s="520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20"/>
      <c r="NNJ9" s="34"/>
      <c r="NNK9" s="390"/>
      <c r="NNL9" s="520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20"/>
      <c r="NNZ9" s="34"/>
      <c r="NOA9" s="390"/>
      <c r="NOB9" s="520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20"/>
      <c r="NOP9" s="34"/>
      <c r="NOQ9" s="390"/>
      <c r="NOR9" s="520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20"/>
      <c r="NPF9" s="34"/>
      <c r="NPG9" s="390"/>
      <c r="NPH9" s="520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20"/>
      <c r="NPV9" s="34"/>
      <c r="NPW9" s="390"/>
      <c r="NPX9" s="520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20"/>
      <c r="NQL9" s="34"/>
      <c r="NQM9" s="390"/>
      <c r="NQN9" s="520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20"/>
      <c r="NRB9" s="34"/>
      <c r="NRC9" s="390"/>
      <c r="NRD9" s="520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20"/>
      <c r="NRR9" s="34"/>
      <c r="NRS9" s="390"/>
      <c r="NRT9" s="520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20"/>
      <c r="NSH9" s="34"/>
      <c r="NSI9" s="390"/>
      <c r="NSJ9" s="520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20"/>
      <c r="NSX9" s="34"/>
      <c r="NSY9" s="390"/>
      <c r="NSZ9" s="520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20"/>
      <c r="NTN9" s="34"/>
      <c r="NTO9" s="390"/>
      <c r="NTP9" s="520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20"/>
      <c r="NUD9" s="34"/>
      <c r="NUE9" s="390"/>
      <c r="NUF9" s="520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20"/>
      <c r="NUT9" s="34"/>
      <c r="NUU9" s="390"/>
      <c r="NUV9" s="520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20"/>
      <c r="NVJ9" s="34"/>
      <c r="NVK9" s="390"/>
      <c r="NVL9" s="520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20"/>
      <c r="NVZ9" s="34"/>
      <c r="NWA9" s="390"/>
      <c r="NWB9" s="520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20"/>
      <c r="NWP9" s="34"/>
      <c r="NWQ9" s="390"/>
      <c r="NWR9" s="520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20"/>
      <c r="NXF9" s="34"/>
      <c r="NXG9" s="390"/>
      <c r="NXH9" s="520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20"/>
      <c r="NXV9" s="34"/>
      <c r="NXW9" s="390"/>
      <c r="NXX9" s="520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20"/>
      <c r="NYL9" s="34"/>
      <c r="NYM9" s="390"/>
      <c r="NYN9" s="520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20"/>
      <c r="NZB9" s="34"/>
      <c r="NZC9" s="390"/>
      <c r="NZD9" s="520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20"/>
      <c r="NZR9" s="34"/>
      <c r="NZS9" s="390"/>
      <c r="NZT9" s="520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20"/>
      <c r="OAH9" s="34"/>
      <c r="OAI9" s="390"/>
      <c r="OAJ9" s="520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20"/>
      <c r="OAX9" s="34"/>
      <c r="OAY9" s="390"/>
      <c r="OAZ9" s="520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20"/>
      <c r="OBN9" s="34"/>
      <c r="OBO9" s="390"/>
      <c r="OBP9" s="520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20"/>
      <c r="OCD9" s="34"/>
      <c r="OCE9" s="390"/>
      <c r="OCF9" s="520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20"/>
      <c r="OCT9" s="34"/>
      <c r="OCU9" s="390"/>
      <c r="OCV9" s="520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20"/>
      <c r="ODJ9" s="34"/>
      <c r="ODK9" s="390"/>
      <c r="ODL9" s="520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20"/>
      <c r="ODZ9" s="34"/>
      <c r="OEA9" s="390"/>
      <c r="OEB9" s="520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20"/>
      <c r="OEP9" s="34"/>
      <c r="OEQ9" s="390"/>
      <c r="OER9" s="520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20"/>
      <c r="OFF9" s="34"/>
      <c r="OFG9" s="390"/>
      <c r="OFH9" s="520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20"/>
      <c r="OFV9" s="34"/>
      <c r="OFW9" s="390"/>
      <c r="OFX9" s="520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20"/>
      <c r="OGL9" s="34"/>
      <c r="OGM9" s="390"/>
      <c r="OGN9" s="520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20"/>
      <c r="OHB9" s="34"/>
      <c r="OHC9" s="390"/>
      <c r="OHD9" s="520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20"/>
      <c r="OHR9" s="34"/>
      <c r="OHS9" s="390"/>
      <c r="OHT9" s="520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20"/>
      <c r="OIH9" s="34"/>
      <c r="OII9" s="390"/>
      <c r="OIJ9" s="520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20"/>
      <c r="OIX9" s="34"/>
      <c r="OIY9" s="390"/>
      <c r="OIZ9" s="520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20"/>
      <c r="OJN9" s="34"/>
      <c r="OJO9" s="390"/>
      <c r="OJP9" s="520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20"/>
      <c r="OKD9" s="34"/>
      <c r="OKE9" s="390"/>
      <c r="OKF9" s="520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20"/>
      <c r="OKT9" s="34"/>
      <c r="OKU9" s="390"/>
      <c r="OKV9" s="520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20"/>
      <c r="OLJ9" s="34"/>
      <c r="OLK9" s="390"/>
      <c r="OLL9" s="520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20"/>
      <c r="OLZ9" s="34"/>
      <c r="OMA9" s="390"/>
      <c r="OMB9" s="520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20"/>
      <c r="OMP9" s="34"/>
      <c r="OMQ9" s="390"/>
      <c r="OMR9" s="520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20"/>
      <c r="ONF9" s="34"/>
      <c r="ONG9" s="390"/>
      <c r="ONH9" s="520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20"/>
      <c r="ONV9" s="34"/>
      <c r="ONW9" s="390"/>
      <c r="ONX9" s="520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20"/>
      <c r="OOL9" s="34"/>
      <c r="OOM9" s="390"/>
      <c r="OON9" s="520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20"/>
      <c r="OPB9" s="34"/>
      <c r="OPC9" s="390"/>
      <c r="OPD9" s="520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20"/>
      <c r="OPR9" s="34"/>
      <c r="OPS9" s="390"/>
      <c r="OPT9" s="520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20"/>
      <c r="OQH9" s="34"/>
      <c r="OQI9" s="390"/>
      <c r="OQJ9" s="520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20"/>
      <c r="OQX9" s="34"/>
      <c r="OQY9" s="390"/>
      <c r="OQZ9" s="520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20"/>
      <c r="ORN9" s="34"/>
      <c r="ORO9" s="390"/>
      <c r="ORP9" s="520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20"/>
      <c r="OSD9" s="34"/>
      <c r="OSE9" s="390"/>
      <c r="OSF9" s="520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20"/>
      <c r="OST9" s="34"/>
      <c r="OSU9" s="390"/>
      <c r="OSV9" s="520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20"/>
      <c r="OTJ9" s="34"/>
      <c r="OTK9" s="390"/>
      <c r="OTL9" s="520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20"/>
      <c r="OTZ9" s="34"/>
      <c r="OUA9" s="390"/>
      <c r="OUB9" s="520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20"/>
      <c r="OUP9" s="34"/>
      <c r="OUQ9" s="390"/>
      <c r="OUR9" s="520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20"/>
      <c r="OVF9" s="34"/>
      <c r="OVG9" s="390"/>
      <c r="OVH9" s="520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20"/>
      <c r="OVV9" s="34"/>
      <c r="OVW9" s="390"/>
      <c r="OVX9" s="520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20"/>
      <c r="OWL9" s="34"/>
      <c r="OWM9" s="390"/>
      <c r="OWN9" s="520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20"/>
      <c r="OXB9" s="34"/>
      <c r="OXC9" s="390"/>
      <c r="OXD9" s="520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20"/>
      <c r="OXR9" s="34"/>
      <c r="OXS9" s="390"/>
      <c r="OXT9" s="520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20"/>
      <c r="OYH9" s="34"/>
      <c r="OYI9" s="390"/>
      <c r="OYJ9" s="520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20"/>
      <c r="OYX9" s="34"/>
      <c r="OYY9" s="390"/>
      <c r="OYZ9" s="520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20"/>
      <c r="OZN9" s="34"/>
      <c r="OZO9" s="390"/>
      <c r="OZP9" s="520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20"/>
      <c r="PAD9" s="34"/>
      <c r="PAE9" s="390"/>
      <c r="PAF9" s="520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20"/>
      <c r="PAT9" s="34"/>
      <c r="PAU9" s="390"/>
      <c r="PAV9" s="520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20"/>
      <c r="PBJ9" s="34"/>
      <c r="PBK9" s="390"/>
      <c r="PBL9" s="520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20"/>
      <c r="PBZ9" s="34"/>
      <c r="PCA9" s="390"/>
      <c r="PCB9" s="520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20"/>
      <c r="PCP9" s="34"/>
      <c r="PCQ9" s="390"/>
      <c r="PCR9" s="520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20"/>
      <c r="PDF9" s="34"/>
      <c r="PDG9" s="390"/>
      <c r="PDH9" s="520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20"/>
      <c r="PDV9" s="34"/>
      <c r="PDW9" s="390"/>
      <c r="PDX9" s="520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20"/>
      <c r="PEL9" s="34"/>
      <c r="PEM9" s="390"/>
      <c r="PEN9" s="520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20"/>
      <c r="PFB9" s="34"/>
      <c r="PFC9" s="390"/>
      <c r="PFD9" s="520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20"/>
      <c r="PFR9" s="34"/>
      <c r="PFS9" s="390"/>
      <c r="PFT9" s="520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20"/>
      <c r="PGH9" s="34"/>
      <c r="PGI9" s="390"/>
      <c r="PGJ9" s="520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20"/>
      <c r="PGX9" s="34"/>
      <c r="PGY9" s="390"/>
      <c r="PGZ9" s="520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20"/>
      <c r="PHN9" s="34"/>
      <c r="PHO9" s="390"/>
      <c r="PHP9" s="520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20"/>
      <c r="PID9" s="34"/>
      <c r="PIE9" s="390"/>
      <c r="PIF9" s="520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20"/>
      <c r="PIT9" s="34"/>
      <c r="PIU9" s="390"/>
      <c r="PIV9" s="520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20"/>
      <c r="PJJ9" s="34"/>
      <c r="PJK9" s="390"/>
      <c r="PJL9" s="520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20"/>
      <c r="PJZ9" s="34"/>
      <c r="PKA9" s="390"/>
      <c r="PKB9" s="520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20"/>
      <c r="PKP9" s="34"/>
      <c r="PKQ9" s="390"/>
      <c r="PKR9" s="520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20"/>
      <c r="PLF9" s="34"/>
      <c r="PLG9" s="390"/>
      <c r="PLH9" s="520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20"/>
      <c r="PLV9" s="34"/>
      <c r="PLW9" s="390"/>
      <c r="PLX9" s="520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20"/>
      <c r="PML9" s="34"/>
      <c r="PMM9" s="390"/>
      <c r="PMN9" s="520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20"/>
      <c r="PNB9" s="34"/>
      <c r="PNC9" s="390"/>
      <c r="PND9" s="520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20"/>
      <c r="PNR9" s="34"/>
      <c r="PNS9" s="390"/>
      <c r="PNT9" s="520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20"/>
      <c r="POH9" s="34"/>
      <c r="POI9" s="390"/>
      <c r="POJ9" s="520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20"/>
      <c r="POX9" s="34"/>
      <c r="POY9" s="390"/>
      <c r="POZ9" s="520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20"/>
      <c r="PPN9" s="34"/>
      <c r="PPO9" s="390"/>
      <c r="PPP9" s="520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20"/>
      <c r="PQD9" s="34"/>
      <c r="PQE9" s="390"/>
      <c r="PQF9" s="520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20"/>
      <c r="PQT9" s="34"/>
      <c r="PQU9" s="390"/>
      <c r="PQV9" s="520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20"/>
      <c r="PRJ9" s="34"/>
      <c r="PRK9" s="390"/>
      <c r="PRL9" s="520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20"/>
      <c r="PRZ9" s="34"/>
      <c r="PSA9" s="390"/>
      <c r="PSB9" s="520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20"/>
      <c r="PSP9" s="34"/>
      <c r="PSQ9" s="390"/>
      <c r="PSR9" s="520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20"/>
      <c r="PTF9" s="34"/>
      <c r="PTG9" s="390"/>
      <c r="PTH9" s="520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20"/>
      <c r="PTV9" s="34"/>
      <c r="PTW9" s="390"/>
      <c r="PTX9" s="520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20"/>
      <c r="PUL9" s="34"/>
      <c r="PUM9" s="390"/>
      <c r="PUN9" s="520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20"/>
      <c r="PVB9" s="34"/>
      <c r="PVC9" s="390"/>
      <c r="PVD9" s="520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20"/>
      <c r="PVR9" s="34"/>
      <c r="PVS9" s="390"/>
      <c r="PVT9" s="520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20"/>
      <c r="PWH9" s="34"/>
      <c r="PWI9" s="390"/>
      <c r="PWJ9" s="520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20"/>
      <c r="PWX9" s="34"/>
      <c r="PWY9" s="390"/>
      <c r="PWZ9" s="520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20"/>
      <c r="PXN9" s="34"/>
      <c r="PXO9" s="390"/>
      <c r="PXP9" s="520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20"/>
      <c r="PYD9" s="34"/>
      <c r="PYE9" s="390"/>
      <c r="PYF9" s="520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20"/>
      <c r="PYT9" s="34"/>
      <c r="PYU9" s="390"/>
      <c r="PYV9" s="520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20"/>
      <c r="PZJ9" s="34"/>
      <c r="PZK9" s="390"/>
      <c r="PZL9" s="520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20"/>
      <c r="PZZ9" s="34"/>
      <c r="QAA9" s="390"/>
      <c r="QAB9" s="520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20"/>
      <c r="QAP9" s="34"/>
      <c r="QAQ9" s="390"/>
      <c r="QAR9" s="520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20"/>
      <c r="QBF9" s="34"/>
      <c r="QBG9" s="390"/>
      <c r="QBH9" s="520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20"/>
      <c r="QBV9" s="34"/>
      <c r="QBW9" s="390"/>
      <c r="QBX9" s="520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20"/>
      <c r="QCL9" s="34"/>
      <c r="QCM9" s="390"/>
      <c r="QCN9" s="520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20"/>
      <c r="QDB9" s="34"/>
      <c r="QDC9" s="390"/>
      <c r="QDD9" s="520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20"/>
      <c r="QDR9" s="34"/>
      <c r="QDS9" s="390"/>
      <c r="QDT9" s="520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20"/>
      <c r="QEH9" s="34"/>
      <c r="QEI9" s="390"/>
      <c r="QEJ9" s="520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20"/>
      <c r="QEX9" s="34"/>
      <c r="QEY9" s="390"/>
      <c r="QEZ9" s="520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20"/>
      <c r="QFN9" s="34"/>
      <c r="QFO9" s="390"/>
      <c r="QFP9" s="520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20"/>
      <c r="QGD9" s="34"/>
      <c r="QGE9" s="390"/>
      <c r="QGF9" s="520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20"/>
      <c r="QGT9" s="34"/>
      <c r="QGU9" s="390"/>
      <c r="QGV9" s="520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20"/>
      <c r="QHJ9" s="34"/>
      <c r="QHK9" s="390"/>
      <c r="QHL9" s="520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20"/>
      <c r="QHZ9" s="34"/>
      <c r="QIA9" s="390"/>
      <c r="QIB9" s="520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20"/>
      <c r="QIP9" s="34"/>
      <c r="QIQ9" s="390"/>
      <c r="QIR9" s="520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20"/>
      <c r="QJF9" s="34"/>
      <c r="QJG9" s="390"/>
      <c r="QJH9" s="520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20"/>
      <c r="QJV9" s="34"/>
      <c r="QJW9" s="390"/>
      <c r="QJX9" s="520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20"/>
      <c r="QKL9" s="34"/>
      <c r="QKM9" s="390"/>
      <c r="QKN9" s="520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20"/>
      <c r="QLB9" s="34"/>
      <c r="QLC9" s="390"/>
      <c r="QLD9" s="520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20"/>
      <c r="QLR9" s="34"/>
      <c r="QLS9" s="390"/>
      <c r="QLT9" s="520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20"/>
      <c r="QMH9" s="34"/>
      <c r="QMI9" s="390"/>
      <c r="QMJ9" s="520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20"/>
      <c r="QMX9" s="34"/>
      <c r="QMY9" s="390"/>
      <c r="QMZ9" s="520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20"/>
      <c r="QNN9" s="34"/>
      <c r="QNO9" s="390"/>
      <c r="QNP9" s="520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20"/>
      <c r="QOD9" s="34"/>
      <c r="QOE9" s="390"/>
      <c r="QOF9" s="520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20"/>
      <c r="QOT9" s="34"/>
      <c r="QOU9" s="390"/>
      <c r="QOV9" s="520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20"/>
      <c r="QPJ9" s="34"/>
      <c r="QPK9" s="390"/>
      <c r="QPL9" s="520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20"/>
      <c r="QPZ9" s="34"/>
      <c r="QQA9" s="390"/>
      <c r="QQB9" s="520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20"/>
      <c r="QQP9" s="34"/>
      <c r="QQQ9" s="390"/>
      <c r="QQR9" s="520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20"/>
      <c r="QRF9" s="34"/>
      <c r="QRG9" s="390"/>
      <c r="QRH9" s="520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20"/>
      <c r="QRV9" s="34"/>
      <c r="QRW9" s="390"/>
      <c r="QRX9" s="520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20"/>
      <c r="QSL9" s="34"/>
      <c r="QSM9" s="390"/>
      <c r="QSN9" s="520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20"/>
      <c r="QTB9" s="34"/>
      <c r="QTC9" s="390"/>
      <c r="QTD9" s="520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20"/>
      <c r="QTR9" s="34"/>
      <c r="QTS9" s="390"/>
      <c r="QTT9" s="520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20"/>
      <c r="QUH9" s="34"/>
      <c r="QUI9" s="390"/>
      <c r="QUJ9" s="520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20"/>
      <c r="QUX9" s="34"/>
      <c r="QUY9" s="390"/>
      <c r="QUZ9" s="520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20"/>
      <c r="QVN9" s="34"/>
      <c r="QVO9" s="390"/>
      <c r="QVP9" s="520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20"/>
      <c r="QWD9" s="34"/>
      <c r="QWE9" s="390"/>
      <c r="QWF9" s="520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20"/>
      <c r="QWT9" s="34"/>
      <c r="QWU9" s="390"/>
      <c r="QWV9" s="520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20"/>
      <c r="QXJ9" s="34"/>
      <c r="QXK9" s="390"/>
      <c r="QXL9" s="520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20"/>
      <c r="QXZ9" s="34"/>
      <c r="QYA9" s="390"/>
      <c r="QYB9" s="520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20"/>
      <c r="QYP9" s="34"/>
      <c r="QYQ9" s="390"/>
      <c r="QYR9" s="520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20"/>
      <c r="QZF9" s="34"/>
      <c r="QZG9" s="390"/>
      <c r="QZH9" s="520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20"/>
      <c r="QZV9" s="34"/>
      <c r="QZW9" s="390"/>
      <c r="QZX9" s="520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20"/>
      <c r="RAL9" s="34"/>
      <c r="RAM9" s="390"/>
      <c r="RAN9" s="520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20"/>
      <c r="RBB9" s="34"/>
      <c r="RBC9" s="390"/>
      <c r="RBD9" s="520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20"/>
      <c r="RBR9" s="34"/>
      <c r="RBS9" s="390"/>
      <c r="RBT9" s="520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20"/>
      <c r="RCH9" s="34"/>
      <c r="RCI9" s="390"/>
      <c r="RCJ9" s="520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20"/>
      <c r="RCX9" s="34"/>
      <c r="RCY9" s="390"/>
      <c r="RCZ9" s="520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20"/>
      <c r="RDN9" s="34"/>
      <c r="RDO9" s="390"/>
      <c r="RDP9" s="520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20"/>
      <c r="RED9" s="34"/>
      <c r="REE9" s="390"/>
      <c r="REF9" s="520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20"/>
      <c r="RET9" s="34"/>
      <c r="REU9" s="390"/>
      <c r="REV9" s="520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20"/>
      <c r="RFJ9" s="34"/>
      <c r="RFK9" s="390"/>
      <c r="RFL9" s="520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20"/>
      <c r="RFZ9" s="34"/>
      <c r="RGA9" s="390"/>
      <c r="RGB9" s="520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20"/>
      <c r="RGP9" s="34"/>
      <c r="RGQ9" s="390"/>
      <c r="RGR9" s="520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20"/>
      <c r="RHF9" s="34"/>
      <c r="RHG9" s="390"/>
      <c r="RHH9" s="520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20"/>
      <c r="RHV9" s="34"/>
      <c r="RHW9" s="390"/>
      <c r="RHX9" s="520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20"/>
      <c r="RIL9" s="34"/>
      <c r="RIM9" s="390"/>
      <c r="RIN9" s="520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20"/>
      <c r="RJB9" s="34"/>
      <c r="RJC9" s="390"/>
      <c r="RJD9" s="520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20"/>
      <c r="RJR9" s="34"/>
      <c r="RJS9" s="390"/>
      <c r="RJT9" s="520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20"/>
      <c r="RKH9" s="34"/>
      <c r="RKI9" s="390"/>
      <c r="RKJ9" s="520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20"/>
      <c r="RKX9" s="34"/>
      <c r="RKY9" s="390"/>
      <c r="RKZ9" s="520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20"/>
      <c r="RLN9" s="34"/>
      <c r="RLO9" s="390"/>
      <c r="RLP9" s="520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20"/>
      <c r="RMD9" s="34"/>
      <c r="RME9" s="390"/>
      <c r="RMF9" s="520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20"/>
      <c r="RMT9" s="34"/>
      <c r="RMU9" s="390"/>
      <c r="RMV9" s="520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20"/>
      <c r="RNJ9" s="34"/>
      <c r="RNK9" s="390"/>
      <c r="RNL9" s="520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20"/>
      <c r="RNZ9" s="34"/>
      <c r="ROA9" s="390"/>
      <c r="ROB9" s="520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20"/>
      <c r="ROP9" s="34"/>
      <c r="ROQ9" s="390"/>
      <c r="ROR9" s="520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20"/>
      <c r="RPF9" s="34"/>
      <c r="RPG9" s="390"/>
      <c r="RPH9" s="520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20"/>
      <c r="RPV9" s="34"/>
      <c r="RPW9" s="390"/>
      <c r="RPX9" s="520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20"/>
      <c r="RQL9" s="34"/>
      <c r="RQM9" s="390"/>
      <c r="RQN9" s="520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20"/>
      <c r="RRB9" s="34"/>
      <c r="RRC9" s="390"/>
      <c r="RRD9" s="520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20"/>
      <c r="RRR9" s="34"/>
      <c r="RRS9" s="390"/>
      <c r="RRT9" s="520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20"/>
      <c r="RSH9" s="34"/>
      <c r="RSI9" s="390"/>
      <c r="RSJ9" s="520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20"/>
      <c r="RSX9" s="34"/>
      <c r="RSY9" s="390"/>
      <c r="RSZ9" s="520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20"/>
      <c r="RTN9" s="34"/>
      <c r="RTO9" s="390"/>
      <c r="RTP9" s="520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20"/>
      <c r="RUD9" s="34"/>
      <c r="RUE9" s="390"/>
      <c r="RUF9" s="520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20"/>
      <c r="RUT9" s="34"/>
      <c r="RUU9" s="390"/>
      <c r="RUV9" s="520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20"/>
      <c r="RVJ9" s="34"/>
      <c r="RVK9" s="390"/>
      <c r="RVL9" s="520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20"/>
      <c r="RVZ9" s="34"/>
      <c r="RWA9" s="390"/>
      <c r="RWB9" s="520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20"/>
      <c r="RWP9" s="34"/>
      <c r="RWQ9" s="390"/>
      <c r="RWR9" s="520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20"/>
      <c r="RXF9" s="34"/>
      <c r="RXG9" s="390"/>
      <c r="RXH9" s="520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20"/>
      <c r="RXV9" s="34"/>
      <c r="RXW9" s="390"/>
      <c r="RXX9" s="520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20"/>
      <c r="RYL9" s="34"/>
      <c r="RYM9" s="390"/>
      <c r="RYN9" s="520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20"/>
      <c r="RZB9" s="34"/>
      <c r="RZC9" s="390"/>
      <c r="RZD9" s="520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20"/>
      <c r="RZR9" s="34"/>
      <c r="RZS9" s="390"/>
      <c r="RZT9" s="520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20"/>
      <c r="SAH9" s="34"/>
      <c r="SAI9" s="390"/>
      <c r="SAJ9" s="520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20"/>
      <c r="SAX9" s="34"/>
      <c r="SAY9" s="390"/>
      <c r="SAZ9" s="520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20"/>
      <c r="SBN9" s="34"/>
      <c r="SBO9" s="390"/>
      <c r="SBP9" s="520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20"/>
      <c r="SCD9" s="34"/>
      <c r="SCE9" s="390"/>
      <c r="SCF9" s="520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20"/>
      <c r="SCT9" s="34"/>
      <c r="SCU9" s="390"/>
      <c r="SCV9" s="520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20"/>
      <c r="SDJ9" s="34"/>
      <c r="SDK9" s="390"/>
      <c r="SDL9" s="520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20"/>
      <c r="SDZ9" s="34"/>
      <c r="SEA9" s="390"/>
      <c r="SEB9" s="520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20"/>
      <c r="SEP9" s="34"/>
      <c r="SEQ9" s="390"/>
      <c r="SER9" s="520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20"/>
      <c r="SFF9" s="34"/>
      <c r="SFG9" s="390"/>
      <c r="SFH9" s="520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20"/>
      <c r="SFV9" s="34"/>
      <c r="SFW9" s="390"/>
      <c r="SFX9" s="520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20"/>
      <c r="SGL9" s="34"/>
      <c r="SGM9" s="390"/>
      <c r="SGN9" s="520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20"/>
      <c r="SHB9" s="34"/>
      <c r="SHC9" s="390"/>
      <c r="SHD9" s="520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20"/>
      <c r="SHR9" s="34"/>
      <c r="SHS9" s="390"/>
      <c r="SHT9" s="520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20"/>
      <c r="SIH9" s="34"/>
      <c r="SII9" s="390"/>
      <c r="SIJ9" s="520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20"/>
      <c r="SIX9" s="34"/>
      <c r="SIY9" s="390"/>
      <c r="SIZ9" s="520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20"/>
      <c r="SJN9" s="34"/>
      <c r="SJO9" s="390"/>
      <c r="SJP9" s="520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20"/>
      <c r="SKD9" s="34"/>
      <c r="SKE9" s="390"/>
      <c r="SKF9" s="520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20"/>
      <c r="SKT9" s="34"/>
      <c r="SKU9" s="390"/>
      <c r="SKV9" s="520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20"/>
      <c r="SLJ9" s="34"/>
      <c r="SLK9" s="390"/>
      <c r="SLL9" s="520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20"/>
      <c r="SLZ9" s="34"/>
      <c r="SMA9" s="390"/>
      <c r="SMB9" s="520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20"/>
      <c r="SMP9" s="34"/>
      <c r="SMQ9" s="390"/>
      <c r="SMR9" s="520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20"/>
      <c r="SNF9" s="34"/>
      <c r="SNG9" s="390"/>
      <c r="SNH9" s="520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20"/>
      <c r="SNV9" s="34"/>
      <c r="SNW9" s="390"/>
      <c r="SNX9" s="520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20"/>
      <c r="SOL9" s="34"/>
      <c r="SOM9" s="390"/>
      <c r="SON9" s="520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20"/>
      <c r="SPB9" s="34"/>
      <c r="SPC9" s="390"/>
      <c r="SPD9" s="520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20"/>
      <c r="SPR9" s="34"/>
      <c r="SPS9" s="390"/>
      <c r="SPT9" s="520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20"/>
      <c r="SQH9" s="34"/>
      <c r="SQI9" s="390"/>
      <c r="SQJ9" s="520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20"/>
      <c r="SQX9" s="34"/>
      <c r="SQY9" s="390"/>
      <c r="SQZ9" s="520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20"/>
      <c r="SRN9" s="34"/>
      <c r="SRO9" s="390"/>
      <c r="SRP9" s="520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20"/>
      <c r="SSD9" s="34"/>
      <c r="SSE9" s="390"/>
      <c r="SSF9" s="520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20"/>
      <c r="SST9" s="34"/>
      <c r="SSU9" s="390"/>
      <c r="SSV9" s="520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20"/>
      <c r="STJ9" s="34"/>
      <c r="STK9" s="390"/>
      <c r="STL9" s="520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20"/>
      <c r="STZ9" s="34"/>
      <c r="SUA9" s="390"/>
      <c r="SUB9" s="520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20"/>
      <c r="SUP9" s="34"/>
      <c r="SUQ9" s="390"/>
      <c r="SUR9" s="520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20"/>
      <c r="SVF9" s="34"/>
      <c r="SVG9" s="390"/>
      <c r="SVH9" s="520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20"/>
      <c r="SVV9" s="34"/>
      <c r="SVW9" s="390"/>
      <c r="SVX9" s="520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20"/>
      <c r="SWL9" s="34"/>
      <c r="SWM9" s="390"/>
      <c r="SWN9" s="520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20"/>
      <c r="SXB9" s="34"/>
      <c r="SXC9" s="390"/>
      <c r="SXD9" s="520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20"/>
      <c r="SXR9" s="34"/>
      <c r="SXS9" s="390"/>
      <c r="SXT9" s="520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20"/>
      <c r="SYH9" s="34"/>
      <c r="SYI9" s="390"/>
      <c r="SYJ9" s="520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20"/>
      <c r="SYX9" s="34"/>
      <c r="SYY9" s="390"/>
      <c r="SYZ9" s="520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20"/>
      <c r="SZN9" s="34"/>
      <c r="SZO9" s="390"/>
      <c r="SZP9" s="520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20"/>
      <c r="TAD9" s="34"/>
      <c r="TAE9" s="390"/>
      <c r="TAF9" s="520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20"/>
      <c r="TAT9" s="34"/>
      <c r="TAU9" s="390"/>
      <c r="TAV9" s="520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20"/>
      <c r="TBJ9" s="34"/>
      <c r="TBK9" s="390"/>
      <c r="TBL9" s="520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20"/>
      <c r="TBZ9" s="34"/>
      <c r="TCA9" s="390"/>
      <c r="TCB9" s="520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20"/>
      <c r="TCP9" s="34"/>
      <c r="TCQ9" s="390"/>
      <c r="TCR9" s="520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20"/>
      <c r="TDF9" s="34"/>
      <c r="TDG9" s="390"/>
      <c r="TDH9" s="520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20"/>
      <c r="TDV9" s="34"/>
      <c r="TDW9" s="390"/>
      <c r="TDX9" s="520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20"/>
      <c r="TEL9" s="34"/>
      <c r="TEM9" s="390"/>
      <c r="TEN9" s="520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20"/>
      <c r="TFB9" s="34"/>
      <c r="TFC9" s="390"/>
      <c r="TFD9" s="520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20"/>
      <c r="TFR9" s="34"/>
      <c r="TFS9" s="390"/>
      <c r="TFT9" s="520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20"/>
      <c r="TGH9" s="34"/>
      <c r="TGI9" s="390"/>
      <c r="TGJ9" s="520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20"/>
      <c r="TGX9" s="34"/>
      <c r="TGY9" s="390"/>
      <c r="TGZ9" s="520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20"/>
      <c r="THN9" s="34"/>
      <c r="THO9" s="390"/>
      <c r="THP9" s="520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20"/>
      <c r="TID9" s="34"/>
      <c r="TIE9" s="390"/>
      <c r="TIF9" s="520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20"/>
      <c r="TIT9" s="34"/>
      <c r="TIU9" s="390"/>
      <c r="TIV9" s="520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20"/>
      <c r="TJJ9" s="34"/>
      <c r="TJK9" s="390"/>
      <c r="TJL9" s="520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20"/>
      <c r="TJZ9" s="34"/>
      <c r="TKA9" s="390"/>
      <c r="TKB9" s="520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20"/>
      <c r="TKP9" s="34"/>
      <c r="TKQ9" s="390"/>
      <c r="TKR9" s="520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20"/>
      <c r="TLF9" s="34"/>
      <c r="TLG9" s="390"/>
      <c r="TLH9" s="520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20"/>
      <c r="TLV9" s="34"/>
      <c r="TLW9" s="390"/>
      <c r="TLX9" s="520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20"/>
      <c r="TML9" s="34"/>
      <c r="TMM9" s="390"/>
      <c r="TMN9" s="520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20"/>
      <c r="TNB9" s="34"/>
      <c r="TNC9" s="390"/>
      <c r="TND9" s="520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20"/>
      <c r="TNR9" s="34"/>
      <c r="TNS9" s="390"/>
      <c r="TNT9" s="520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20"/>
      <c r="TOH9" s="34"/>
      <c r="TOI9" s="390"/>
      <c r="TOJ9" s="520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20"/>
      <c r="TOX9" s="34"/>
      <c r="TOY9" s="390"/>
      <c r="TOZ9" s="520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20"/>
      <c r="TPN9" s="34"/>
      <c r="TPO9" s="390"/>
      <c r="TPP9" s="520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20"/>
      <c r="TQD9" s="34"/>
      <c r="TQE9" s="390"/>
      <c r="TQF9" s="520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20"/>
      <c r="TQT9" s="34"/>
      <c r="TQU9" s="390"/>
      <c r="TQV9" s="520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20"/>
      <c r="TRJ9" s="34"/>
      <c r="TRK9" s="390"/>
      <c r="TRL9" s="520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20"/>
      <c r="TRZ9" s="34"/>
      <c r="TSA9" s="390"/>
      <c r="TSB9" s="520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20"/>
      <c r="TSP9" s="34"/>
      <c r="TSQ9" s="390"/>
      <c r="TSR9" s="520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20"/>
      <c r="TTF9" s="34"/>
      <c r="TTG9" s="390"/>
      <c r="TTH9" s="520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20"/>
      <c r="TTV9" s="34"/>
      <c r="TTW9" s="390"/>
      <c r="TTX9" s="520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20"/>
      <c r="TUL9" s="34"/>
      <c r="TUM9" s="390"/>
      <c r="TUN9" s="520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20"/>
      <c r="TVB9" s="34"/>
      <c r="TVC9" s="390"/>
      <c r="TVD9" s="520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20"/>
      <c r="TVR9" s="34"/>
      <c r="TVS9" s="390"/>
      <c r="TVT9" s="520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20"/>
      <c r="TWH9" s="34"/>
      <c r="TWI9" s="390"/>
      <c r="TWJ9" s="520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20"/>
      <c r="TWX9" s="34"/>
      <c r="TWY9" s="390"/>
      <c r="TWZ9" s="520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20"/>
      <c r="TXN9" s="34"/>
      <c r="TXO9" s="390"/>
      <c r="TXP9" s="520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20"/>
      <c r="TYD9" s="34"/>
      <c r="TYE9" s="390"/>
      <c r="TYF9" s="520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20"/>
      <c r="TYT9" s="34"/>
      <c r="TYU9" s="390"/>
      <c r="TYV9" s="520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20"/>
      <c r="TZJ9" s="34"/>
      <c r="TZK9" s="390"/>
      <c r="TZL9" s="520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20"/>
      <c r="TZZ9" s="34"/>
      <c r="UAA9" s="390"/>
      <c r="UAB9" s="520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20"/>
      <c r="UAP9" s="34"/>
      <c r="UAQ9" s="390"/>
      <c r="UAR9" s="520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20"/>
      <c r="UBF9" s="34"/>
      <c r="UBG9" s="390"/>
      <c r="UBH9" s="520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20"/>
      <c r="UBV9" s="34"/>
      <c r="UBW9" s="390"/>
      <c r="UBX9" s="520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20"/>
      <c r="UCL9" s="34"/>
      <c r="UCM9" s="390"/>
      <c r="UCN9" s="520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20"/>
      <c r="UDB9" s="34"/>
      <c r="UDC9" s="390"/>
      <c r="UDD9" s="520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20"/>
      <c r="UDR9" s="34"/>
      <c r="UDS9" s="390"/>
      <c r="UDT9" s="520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20"/>
      <c r="UEH9" s="34"/>
      <c r="UEI9" s="390"/>
      <c r="UEJ9" s="520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20"/>
      <c r="UEX9" s="34"/>
      <c r="UEY9" s="390"/>
      <c r="UEZ9" s="520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20"/>
      <c r="UFN9" s="34"/>
      <c r="UFO9" s="390"/>
      <c r="UFP9" s="520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20"/>
      <c r="UGD9" s="34"/>
      <c r="UGE9" s="390"/>
      <c r="UGF9" s="520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20"/>
      <c r="UGT9" s="34"/>
      <c r="UGU9" s="390"/>
      <c r="UGV9" s="520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20"/>
      <c r="UHJ9" s="34"/>
      <c r="UHK9" s="390"/>
      <c r="UHL9" s="520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20"/>
      <c r="UHZ9" s="34"/>
      <c r="UIA9" s="390"/>
      <c r="UIB9" s="520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20"/>
      <c r="UIP9" s="34"/>
      <c r="UIQ9" s="390"/>
      <c r="UIR9" s="520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20"/>
      <c r="UJF9" s="34"/>
      <c r="UJG9" s="390"/>
      <c r="UJH9" s="520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20"/>
      <c r="UJV9" s="34"/>
      <c r="UJW9" s="390"/>
      <c r="UJX9" s="520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20"/>
      <c r="UKL9" s="34"/>
      <c r="UKM9" s="390"/>
      <c r="UKN9" s="520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20"/>
      <c r="ULB9" s="34"/>
      <c r="ULC9" s="390"/>
      <c r="ULD9" s="520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20"/>
      <c r="ULR9" s="34"/>
      <c r="ULS9" s="390"/>
      <c r="ULT9" s="520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20"/>
      <c r="UMH9" s="34"/>
      <c r="UMI9" s="390"/>
      <c r="UMJ9" s="520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20"/>
      <c r="UMX9" s="34"/>
      <c r="UMY9" s="390"/>
      <c r="UMZ9" s="520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20"/>
      <c r="UNN9" s="34"/>
      <c r="UNO9" s="390"/>
      <c r="UNP9" s="520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20"/>
      <c r="UOD9" s="34"/>
      <c r="UOE9" s="390"/>
      <c r="UOF9" s="520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20"/>
      <c r="UOT9" s="34"/>
      <c r="UOU9" s="390"/>
      <c r="UOV9" s="520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20"/>
      <c r="UPJ9" s="34"/>
      <c r="UPK9" s="390"/>
      <c r="UPL9" s="520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20"/>
      <c r="UPZ9" s="34"/>
      <c r="UQA9" s="390"/>
      <c r="UQB9" s="520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20"/>
      <c r="UQP9" s="34"/>
      <c r="UQQ9" s="390"/>
      <c r="UQR9" s="520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20"/>
      <c r="URF9" s="34"/>
      <c r="URG9" s="390"/>
      <c r="URH9" s="520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20"/>
      <c r="URV9" s="34"/>
      <c r="URW9" s="390"/>
      <c r="URX9" s="520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20"/>
      <c r="USL9" s="34"/>
      <c r="USM9" s="390"/>
      <c r="USN9" s="520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20"/>
      <c r="UTB9" s="34"/>
      <c r="UTC9" s="390"/>
      <c r="UTD9" s="520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20"/>
      <c r="UTR9" s="34"/>
      <c r="UTS9" s="390"/>
      <c r="UTT9" s="520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20"/>
      <c r="UUH9" s="34"/>
      <c r="UUI9" s="390"/>
      <c r="UUJ9" s="520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20"/>
      <c r="UUX9" s="34"/>
      <c r="UUY9" s="390"/>
      <c r="UUZ9" s="520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20"/>
      <c r="UVN9" s="34"/>
      <c r="UVO9" s="390"/>
      <c r="UVP9" s="520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20"/>
      <c r="UWD9" s="34"/>
      <c r="UWE9" s="390"/>
      <c r="UWF9" s="520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20"/>
      <c r="UWT9" s="34"/>
      <c r="UWU9" s="390"/>
      <c r="UWV9" s="520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20"/>
      <c r="UXJ9" s="34"/>
      <c r="UXK9" s="390"/>
      <c r="UXL9" s="520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20"/>
      <c r="UXZ9" s="34"/>
      <c r="UYA9" s="390"/>
      <c r="UYB9" s="520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20"/>
      <c r="UYP9" s="34"/>
      <c r="UYQ9" s="390"/>
      <c r="UYR9" s="520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20"/>
      <c r="UZF9" s="34"/>
      <c r="UZG9" s="390"/>
      <c r="UZH9" s="520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20"/>
      <c r="UZV9" s="34"/>
      <c r="UZW9" s="390"/>
      <c r="UZX9" s="520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20"/>
      <c r="VAL9" s="34"/>
      <c r="VAM9" s="390"/>
      <c r="VAN9" s="520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20"/>
      <c r="VBB9" s="34"/>
      <c r="VBC9" s="390"/>
      <c r="VBD9" s="520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20"/>
      <c r="VBR9" s="34"/>
      <c r="VBS9" s="390"/>
      <c r="VBT9" s="520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20"/>
      <c r="VCH9" s="34"/>
      <c r="VCI9" s="390"/>
      <c r="VCJ9" s="520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20"/>
      <c r="VCX9" s="34"/>
      <c r="VCY9" s="390"/>
      <c r="VCZ9" s="520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20"/>
      <c r="VDN9" s="34"/>
      <c r="VDO9" s="390"/>
      <c r="VDP9" s="520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20"/>
      <c r="VED9" s="34"/>
      <c r="VEE9" s="390"/>
      <c r="VEF9" s="520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20"/>
      <c r="VET9" s="34"/>
      <c r="VEU9" s="390"/>
      <c r="VEV9" s="520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20"/>
      <c r="VFJ9" s="34"/>
      <c r="VFK9" s="390"/>
      <c r="VFL9" s="520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20"/>
      <c r="VFZ9" s="34"/>
      <c r="VGA9" s="390"/>
      <c r="VGB9" s="520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20"/>
      <c r="VGP9" s="34"/>
      <c r="VGQ9" s="390"/>
      <c r="VGR9" s="520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20"/>
      <c r="VHF9" s="34"/>
      <c r="VHG9" s="390"/>
      <c r="VHH9" s="520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20"/>
      <c r="VHV9" s="34"/>
      <c r="VHW9" s="390"/>
      <c r="VHX9" s="520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20"/>
      <c r="VIL9" s="34"/>
      <c r="VIM9" s="390"/>
      <c r="VIN9" s="520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20"/>
      <c r="VJB9" s="34"/>
      <c r="VJC9" s="390"/>
      <c r="VJD9" s="520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20"/>
      <c r="VJR9" s="34"/>
      <c r="VJS9" s="390"/>
      <c r="VJT9" s="520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20"/>
      <c r="VKH9" s="34"/>
      <c r="VKI9" s="390"/>
      <c r="VKJ9" s="520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20"/>
      <c r="VKX9" s="34"/>
      <c r="VKY9" s="390"/>
      <c r="VKZ9" s="520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20"/>
      <c r="VLN9" s="34"/>
      <c r="VLO9" s="390"/>
      <c r="VLP9" s="520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20"/>
      <c r="VMD9" s="34"/>
      <c r="VME9" s="390"/>
      <c r="VMF9" s="520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20"/>
      <c r="VMT9" s="34"/>
      <c r="VMU9" s="390"/>
      <c r="VMV9" s="520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20"/>
      <c r="VNJ9" s="34"/>
      <c r="VNK9" s="390"/>
      <c r="VNL9" s="520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20"/>
      <c r="VNZ9" s="34"/>
      <c r="VOA9" s="390"/>
      <c r="VOB9" s="520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20"/>
      <c r="VOP9" s="34"/>
      <c r="VOQ9" s="390"/>
      <c r="VOR9" s="520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20"/>
      <c r="VPF9" s="34"/>
      <c r="VPG9" s="390"/>
      <c r="VPH9" s="520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20"/>
      <c r="VPV9" s="34"/>
      <c r="VPW9" s="390"/>
      <c r="VPX9" s="520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20"/>
      <c r="VQL9" s="34"/>
      <c r="VQM9" s="390"/>
      <c r="VQN9" s="520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20"/>
      <c r="VRB9" s="34"/>
      <c r="VRC9" s="390"/>
      <c r="VRD9" s="520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20"/>
      <c r="VRR9" s="34"/>
      <c r="VRS9" s="390"/>
      <c r="VRT9" s="520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20"/>
      <c r="VSH9" s="34"/>
      <c r="VSI9" s="390"/>
      <c r="VSJ9" s="520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20"/>
      <c r="VSX9" s="34"/>
      <c r="VSY9" s="390"/>
      <c r="VSZ9" s="520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20"/>
      <c r="VTN9" s="34"/>
      <c r="VTO9" s="390"/>
      <c r="VTP9" s="520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20"/>
      <c r="VUD9" s="34"/>
      <c r="VUE9" s="390"/>
      <c r="VUF9" s="520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20"/>
      <c r="VUT9" s="34"/>
      <c r="VUU9" s="390"/>
      <c r="VUV9" s="520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20"/>
      <c r="VVJ9" s="34"/>
      <c r="VVK9" s="390"/>
      <c r="VVL9" s="520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20"/>
      <c r="VVZ9" s="34"/>
      <c r="VWA9" s="390"/>
      <c r="VWB9" s="520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20"/>
      <c r="VWP9" s="34"/>
      <c r="VWQ9" s="390"/>
      <c r="VWR9" s="520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20"/>
      <c r="VXF9" s="34"/>
      <c r="VXG9" s="390"/>
      <c r="VXH9" s="520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20"/>
      <c r="VXV9" s="34"/>
      <c r="VXW9" s="390"/>
      <c r="VXX9" s="520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20"/>
      <c r="VYL9" s="34"/>
      <c r="VYM9" s="390"/>
      <c r="VYN9" s="520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20"/>
      <c r="VZB9" s="34"/>
      <c r="VZC9" s="390"/>
      <c r="VZD9" s="520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20"/>
      <c r="VZR9" s="34"/>
      <c r="VZS9" s="390"/>
      <c r="VZT9" s="520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20"/>
      <c r="WAH9" s="34"/>
      <c r="WAI9" s="390"/>
      <c r="WAJ9" s="520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20"/>
      <c r="WAX9" s="34"/>
      <c r="WAY9" s="390"/>
      <c r="WAZ9" s="520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20"/>
      <c r="WBN9" s="34"/>
      <c r="WBO9" s="390"/>
      <c r="WBP9" s="520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20"/>
      <c r="WCD9" s="34"/>
      <c r="WCE9" s="390"/>
      <c r="WCF9" s="520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20"/>
      <c r="WCT9" s="34"/>
      <c r="WCU9" s="390"/>
      <c r="WCV9" s="520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20"/>
      <c r="WDJ9" s="34"/>
      <c r="WDK9" s="390"/>
      <c r="WDL9" s="520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20"/>
      <c r="WDZ9" s="34"/>
      <c r="WEA9" s="390"/>
      <c r="WEB9" s="520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20"/>
      <c r="WEP9" s="34"/>
      <c r="WEQ9" s="390"/>
      <c r="WER9" s="520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20"/>
      <c r="WFF9" s="34"/>
      <c r="WFG9" s="390"/>
      <c r="WFH9" s="520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20"/>
      <c r="WFV9" s="34"/>
      <c r="WFW9" s="390"/>
      <c r="WFX9" s="520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20"/>
      <c r="WGL9" s="34"/>
      <c r="WGM9" s="390"/>
      <c r="WGN9" s="520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20"/>
      <c r="WHB9" s="34"/>
      <c r="WHC9" s="390"/>
      <c r="WHD9" s="520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20"/>
      <c r="WHR9" s="34"/>
      <c r="WHS9" s="390"/>
      <c r="WHT9" s="520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20"/>
      <c r="WIH9" s="34"/>
      <c r="WII9" s="390"/>
      <c r="WIJ9" s="520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20"/>
      <c r="WIX9" s="34"/>
      <c r="WIY9" s="390"/>
      <c r="WIZ9" s="520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20"/>
      <c r="WJN9" s="34"/>
      <c r="WJO9" s="390"/>
      <c r="WJP9" s="520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20"/>
      <c r="WKD9" s="34"/>
      <c r="WKE9" s="390"/>
      <c r="WKF9" s="520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20"/>
      <c r="WKT9" s="34"/>
      <c r="WKU9" s="390"/>
      <c r="WKV9" s="520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20"/>
      <c r="WLJ9" s="34"/>
      <c r="WLK9" s="390"/>
      <c r="WLL9" s="520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20"/>
      <c r="WLZ9" s="34"/>
      <c r="WMA9" s="390"/>
      <c r="WMB9" s="520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20"/>
      <c r="WMP9" s="34"/>
      <c r="WMQ9" s="390"/>
      <c r="WMR9" s="520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20"/>
      <c r="WNF9" s="34"/>
      <c r="WNG9" s="390"/>
      <c r="WNH9" s="520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20"/>
      <c r="WNV9" s="34"/>
      <c r="WNW9" s="390"/>
      <c r="WNX9" s="520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20"/>
      <c r="WOL9" s="34"/>
      <c r="WOM9" s="390"/>
      <c r="WON9" s="520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20"/>
      <c r="WPB9" s="34"/>
      <c r="WPC9" s="390"/>
      <c r="WPD9" s="520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20"/>
      <c r="WPR9" s="34"/>
      <c r="WPS9" s="390"/>
      <c r="WPT9" s="520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20"/>
      <c r="WQH9" s="34"/>
      <c r="WQI9" s="390"/>
      <c r="WQJ9" s="520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20"/>
      <c r="WQX9" s="34"/>
      <c r="WQY9" s="390"/>
      <c r="WQZ9" s="520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20"/>
      <c r="WRN9" s="34"/>
      <c r="WRO9" s="390"/>
      <c r="WRP9" s="520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20"/>
      <c r="WSD9" s="34"/>
      <c r="WSE9" s="390"/>
      <c r="WSF9" s="520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20"/>
      <c r="WST9" s="34"/>
      <c r="WSU9" s="390"/>
      <c r="WSV9" s="520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20"/>
      <c r="WTJ9" s="34"/>
      <c r="WTK9" s="390"/>
      <c r="WTL9" s="520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20"/>
      <c r="WTZ9" s="34"/>
      <c r="WUA9" s="390"/>
      <c r="WUB9" s="520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20"/>
      <c r="WUP9" s="34"/>
      <c r="WUQ9" s="390"/>
      <c r="WUR9" s="520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20"/>
      <c r="WVF9" s="34"/>
      <c r="WVG9" s="390"/>
      <c r="WVH9" s="520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20"/>
      <c r="WVV9" s="34"/>
      <c r="WVW9" s="390"/>
      <c r="WVX9" s="520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20"/>
      <c r="WWL9" s="34"/>
      <c r="WWM9" s="390"/>
      <c r="WWN9" s="520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20"/>
      <c r="WXB9" s="34"/>
      <c r="WXC9" s="390"/>
      <c r="WXD9" s="520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20"/>
      <c r="WXR9" s="34"/>
      <c r="WXS9" s="390"/>
      <c r="WXT9" s="520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20"/>
      <c r="WYH9" s="34"/>
      <c r="WYI9" s="390"/>
      <c r="WYJ9" s="520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20"/>
      <c r="WYX9" s="34"/>
      <c r="WYY9" s="390"/>
      <c r="WYZ9" s="520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20"/>
      <c r="WZN9" s="34"/>
      <c r="WZO9" s="390"/>
      <c r="WZP9" s="520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20"/>
      <c r="XAD9" s="34"/>
      <c r="XAE9" s="390"/>
      <c r="XAF9" s="520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20"/>
      <c r="XAT9" s="34"/>
      <c r="XAU9" s="390"/>
      <c r="XAV9" s="520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20"/>
      <c r="XBJ9" s="34"/>
      <c r="XBK9" s="390"/>
      <c r="XBL9" s="520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20"/>
      <c r="XBZ9" s="34"/>
      <c r="XCA9" s="390"/>
      <c r="XCB9" s="520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20"/>
      <c r="XCP9" s="34"/>
      <c r="XCQ9" s="390"/>
      <c r="XCR9" s="520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20"/>
      <c r="XDF9" s="34"/>
      <c r="XDG9" s="390"/>
      <c r="XDH9" s="520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20"/>
      <c r="XDV9" s="34"/>
      <c r="XDW9" s="390"/>
      <c r="XDX9" s="520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20"/>
      <c r="XEL9" s="34"/>
      <c r="XEM9" s="390"/>
      <c r="XEN9" s="520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20"/>
      <c r="XFB9" s="34"/>
      <c r="XFC9" s="390"/>
      <c r="XFD9" s="520"/>
    </row>
    <row r="10" spans="1:16384" ht="15" customHeight="1" x14ac:dyDescent="0.25">
      <c r="A10" s="9"/>
      <c r="B10" s="518" t="s">
        <v>4</v>
      </c>
      <c r="C10" s="515">
        <f>SUM(C5:C9)</f>
        <v>1823270872.8800001</v>
      </c>
      <c r="D10" s="152">
        <f>SUM(D5:D9)</f>
        <v>1837257136.1500001</v>
      </c>
      <c r="E10" s="84">
        <f>SUM(E5:E9)</f>
        <v>1349803609.3900001</v>
      </c>
      <c r="F10" s="90">
        <f t="shared" si="0"/>
        <v>0.73468410209500334</v>
      </c>
      <c r="G10" s="84">
        <f>SUM(G5:G9)</f>
        <v>1297440797.77</v>
      </c>
      <c r="H10" s="90">
        <f t="shared" si="1"/>
        <v>0.7061835669278208</v>
      </c>
      <c r="I10" s="84">
        <f>SUM(I5:I9)</f>
        <v>587712030.25</v>
      </c>
      <c r="J10" s="170">
        <f t="shared" si="2"/>
        <v>0.31988556130012341</v>
      </c>
      <c r="K10" s="152">
        <f>SUM(K5:K9)</f>
        <v>1262775817.79</v>
      </c>
      <c r="L10" s="90">
        <v>0.6875559207321974</v>
      </c>
      <c r="M10" s="213">
        <f t="shared" ref="M10" si="3">+G10/K10-1</f>
        <v>2.7451412587760515E-2</v>
      </c>
      <c r="N10" s="700">
        <f>SUM(N5:N9)</f>
        <v>631787121.22000003</v>
      </c>
      <c r="O10" s="90">
        <v>0.34399532341171313</v>
      </c>
      <c r="P10" s="213">
        <f>+I10/N10-1</f>
        <v>-6.9762566360785705E-2</v>
      </c>
    </row>
    <row r="11" spans="1:16384" ht="15" customHeight="1" x14ac:dyDescent="0.25">
      <c r="A11" s="21">
        <v>6</v>
      </c>
      <c r="B11" s="21" t="s">
        <v>5</v>
      </c>
      <c r="C11" s="159">
        <v>404680722.88999999</v>
      </c>
      <c r="D11" s="516">
        <v>382567255.54000002</v>
      </c>
      <c r="E11" s="180">
        <v>161201222.63999999</v>
      </c>
      <c r="F11" s="48">
        <f t="shared" si="0"/>
        <v>0.42136701535645488</v>
      </c>
      <c r="G11" s="56">
        <v>155216564.59999999</v>
      </c>
      <c r="H11" s="48">
        <f t="shared" si="1"/>
        <v>0.40572360115062445</v>
      </c>
      <c r="I11" s="30">
        <v>62622952.560000002</v>
      </c>
      <c r="J11" s="153">
        <f t="shared" si="2"/>
        <v>0.1636913553189665</v>
      </c>
      <c r="K11" s="150">
        <v>116854045.34</v>
      </c>
      <c r="L11" s="48">
        <v>0.3438156118016561</v>
      </c>
      <c r="M11" s="210">
        <f>+G11/K11-1</f>
        <v>0.32829431919434127</v>
      </c>
      <c r="N11" s="689">
        <v>57950106.869999997</v>
      </c>
      <c r="O11" s="48">
        <v>0.17050459305459936</v>
      </c>
      <c r="P11" s="210">
        <f>+I11/N11-1</f>
        <v>8.0635669930387621E-2</v>
      </c>
    </row>
    <row r="12" spans="1:16384" ht="15" customHeight="1" x14ac:dyDescent="0.25">
      <c r="A12" s="24">
        <v>7</v>
      </c>
      <c r="B12" s="24" t="s">
        <v>6</v>
      </c>
      <c r="C12" s="161">
        <v>17224944.199999999</v>
      </c>
      <c r="D12" s="206">
        <v>30558277.530000001</v>
      </c>
      <c r="E12" s="34">
        <v>15831492.199999999</v>
      </c>
      <c r="F12" s="48">
        <f t="shared" si="0"/>
        <v>0.518075411300841</v>
      </c>
      <c r="G12" s="137">
        <v>15531492.199999999</v>
      </c>
      <c r="H12" s="48">
        <f t="shared" si="1"/>
        <v>0.50825810403587879</v>
      </c>
      <c r="I12" s="137">
        <v>129251.09</v>
      </c>
      <c r="J12" s="153">
        <f t="shared" si="2"/>
        <v>4.2296588828709411E-3</v>
      </c>
      <c r="K12" s="137">
        <v>5469576.3799999999</v>
      </c>
      <c r="L12" s="390">
        <v>0.13368717772620883</v>
      </c>
      <c r="M12" s="210">
        <f>+G12/K12-1</f>
        <v>1.8396151952082254</v>
      </c>
      <c r="N12" s="137">
        <v>2098792.5099999998</v>
      </c>
      <c r="O12" s="390">
        <v>5.1298606656409083E-2</v>
      </c>
      <c r="P12" s="210">
        <f>+I12/N12-1</f>
        <v>-0.93841645165772003</v>
      </c>
    </row>
    <row r="13" spans="1:16384" ht="15" customHeight="1" x14ac:dyDescent="0.25">
      <c r="A13" s="9"/>
      <c r="B13" s="2" t="s">
        <v>7</v>
      </c>
      <c r="C13" s="162">
        <f>SUM(C11:C12)</f>
        <v>421905667.08999997</v>
      </c>
      <c r="D13" s="152">
        <f t="shared" ref="D13:I13" si="4">SUM(D11:D12)</f>
        <v>413125533.07000005</v>
      </c>
      <c r="E13" s="84">
        <f t="shared" si="4"/>
        <v>177032714.83999997</v>
      </c>
      <c r="F13" s="90">
        <f t="shared" si="0"/>
        <v>0.42852039070168901</v>
      </c>
      <c r="G13" s="84">
        <f t="shared" si="4"/>
        <v>170748056.79999998</v>
      </c>
      <c r="H13" s="90">
        <f t="shared" si="1"/>
        <v>0.41330792490879137</v>
      </c>
      <c r="I13" s="84">
        <f t="shared" si="4"/>
        <v>62752203.650000006</v>
      </c>
      <c r="J13" s="170">
        <f t="shared" si="2"/>
        <v>0.15189621223282576</v>
      </c>
      <c r="K13" s="84">
        <f t="shared" ref="K13" si="5">SUM(K11:K12)</f>
        <v>122323621.72</v>
      </c>
      <c r="L13" s="90">
        <v>0.32123861486368671</v>
      </c>
      <c r="M13" s="213">
        <f t="shared" ref="M13:M16" si="6">+G13/K13-1</f>
        <v>0.39587149562039614</v>
      </c>
      <c r="N13" s="84">
        <f t="shared" ref="N13" si="7">SUM(N11:N12)</f>
        <v>60048899.379999995</v>
      </c>
      <c r="O13" s="90">
        <v>0.15769664918093382</v>
      </c>
      <c r="P13" s="213">
        <f>+I13/N13-1</f>
        <v>4.5018381650811401E-2</v>
      </c>
    </row>
    <row r="14" spans="1:16384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20">
        <f t="shared" ref="F14:F16" si="8">E14/D14</f>
        <v>0.82114161301270683</v>
      </c>
      <c r="G14" s="30">
        <v>22955077.109999999</v>
      </c>
      <c r="H14" s="48">
        <f t="shared" ref="H14:H15" si="9">G14/D14</f>
        <v>0.82114161301270683</v>
      </c>
      <c r="I14" s="30">
        <v>10900399.48</v>
      </c>
      <c r="J14" s="153">
        <f t="shared" ref="J14:J15" si="10">I14/D14</f>
        <v>0.38992557370198577</v>
      </c>
      <c r="K14" s="30">
        <v>19326131.140000001</v>
      </c>
      <c r="L14" s="262">
        <v>0.72796071824961106</v>
      </c>
      <c r="M14" s="210">
        <f t="shared" si="6"/>
        <v>0.18777405284646109</v>
      </c>
      <c r="N14" s="30">
        <v>12242837.65</v>
      </c>
      <c r="O14" s="262">
        <v>0.46115307945216505</v>
      </c>
      <c r="P14" s="210">
        <f t="shared" ref="P14:P15" si="11">+I14/N14-1</f>
        <v>-0.10965090025513813</v>
      </c>
    </row>
    <row r="15" spans="1:16384" ht="15" customHeight="1" x14ac:dyDescent="0.25">
      <c r="A15" s="24">
        <v>9</v>
      </c>
      <c r="B15" s="24" t="s">
        <v>9</v>
      </c>
      <c r="C15" s="161">
        <v>127725000</v>
      </c>
      <c r="D15" s="206">
        <v>127725000</v>
      </c>
      <c r="E15" s="34">
        <v>37102631.979999997</v>
      </c>
      <c r="F15" s="721">
        <f t="shared" si="8"/>
        <v>0.29048840853395963</v>
      </c>
      <c r="G15" s="34">
        <v>37102631.979999997</v>
      </c>
      <c r="H15" s="48">
        <f t="shared" si="9"/>
        <v>0.29048840853395963</v>
      </c>
      <c r="I15" s="34">
        <v>37102631.979999997</v>
      </c>
      <c r="J15" s="153">
        <f t="shared" si="10"/>
        <v>0.29048840853395963</v>
      </c>
      <c r="K15" s="34">
        <v>146854497.88999999</v>
      </c>
      <c r="L15" s="264">
        <v>0.93117541140166238</v>
      </c>
      <c r="M15" s="210">
        <f t="shared" si="6"/>
        <v>-0.74735106848554689</v>
      </c>
      <c r="N15" s="34">
        <v>146854497.88999999</v>
      </c>
      <c r="O15" s="264">
        <v>0.93117541140166238</v>
      </c>
      <c r="P15" s="210">
        <f t="shared" si="11"/>
        <v>-0.74735106848554689</v>
      </c>
    </row>
    <row r="16" spans="1:16384" ht="15" customHeight="1" thickBot="1" x14ac:dyDescent="0.3">
      <c r="A16" s="9"/>
      <c r="B16" s="2" t="s">
        <v>10</v>
      </c>
      <c r="C16" s="162">
        <f>SUM(C14:C15)</f>
        <v>155680077.11000001</v>
      </c>
      <c r="D16" s="152">
        <f t="shared" ref="D16:I16" si="12">SUM(D14:D15)</f>
        <v>155680077.11000001</v>
      </c>
      <c r="E16" s="84">
        <f t="shared" si="12"/>
        <v>60057709.089999996</v>
      </c>
      <c r="F16" s="722">
        <f t="shared" si="8"/>
        <v>0.38577646032102475</v>
      </c>
      <c r="G16" s="84">
        <f t="shared" si="12"/>
        <v>60057709.089999996</v>
      </c>
      <c r="H16" s="90">
        <f>G16/D16</f>
        <v>0.38577646032102475</v>
      </c>
      <c r="I16" s="84">
        <f t="shared" si="12"/>
        <v>48003031.459999993</v>
      </c>
      <c r="J16" s="170">
        <f>I16/D16</f>
        <v>0.30834408840947669</v>
      </c>
      <c r="K16" s="84">
        <f t="shared" ref="K16" si="13">SUM(K14:K15)</f>
        <v>166180629.02999997</v>
      </c>
      <c r="L16" s="263">
        <v>0.90189562104010712</v>
      </c>
      <c r="M16" s="213">
        <f t="shared" si="6"/>
        <v>-0.63859982092643297</v>
      </c>
      <c r="N16" s="84">
        <f t="shared" ref="N16" si="14">SUM(N14:N15)</f>
        <v>159097335.53999999</v>
      </c>
      <c r="O16" s="263">
        <v>0.86345316587272647</v>
      </c>
      <c r="P16" s="213">
        <f>+I16/N16-1</f>
        <v>-0.69827884736679868</v>
      </c>
    </row>
    <row r="17" spans="1:16" s="6" customFormat="1" ht="13.8" thickBot="1" x14ac:dyDescent="0.3">
      <c r="A17" s="5"/>
      <c r="B17" s="4" t="s">
        <v>11</v>
      </c>
      <c r="C17" s="163">
        <f>+C10+C13+C16</f>
        <v>2400856617.0800004</v>
      </c>
      <c r="D17" s="154">
        <f t="shared" ref="D17:I17" si="15">+D10+D13+D16</f>
        <v>2406062746.3300004</v>
      </c>
      <c r="E17" s="155">
        <f t="shared" si="15"/>
        <v>1586894033.3199999</v>
      </c>
      <c r="F17" s="181">
        <f>E17/D17</f>
        <v>0.6595397546221563</v>
      </c>
      <c r="G17" s="155">
        <f t="shared" si="15"/>
        <v>1528246563.6599998</v>
      </c>
      <c r="H17" s="181">
        <f>G17/D17</f>
        <v>0.6351648833726613</v>
      </c>
      <c r="I17" s="155">
        <f t="shared" si="15"/>
        <v>698467265.36000001</v>
      </c>
      <c r="J17" s="173">
        <f>I17/D17</f>
        <v>0.29029470092805409</v>
      </c>
      <c r="K17" s="155">
        <f t="shared" ref="K17" si="16">+K10+K13+K16</f>
        <v>1551280068.54</v>
      </c>
      <c r="L17" s="181">
        <v>0.64591995958955295</v>
      </c>
      <c r="M17" s="607">
        <f>+G17/K17-1</f>
        <v>-1.4848063445872972E-2</v>
      </c>
      <c r="N17" s="155">
        <f t="shared" ref="N17" si="17">+N10+N13+N16</f>
        <v>850933356.13999999</v>
      </c>
      <c r="O17" s="181">
        <v>0.35431051436678668</v>
      </c>
      <c r="P17" s="607">
        <f>+I17/N17-1</f>
        <v>-0.17917512538422042</v>
      </c>
    </row>
    <row r="20" spans="1:16" x14ac:dyDescent="0.25">
      <c r="C20" t="s">
        <v>777</v>
      </c>
    </row>
    <row r="21" spans="1:16" x14ac:dyDescent="0.25">
      <c r="D21" s="46">
        <f>D17-D5</f>
        <v>2074922418.0000005</v>
      </c>
      <c r="E21" s="778">
        <f t="shared" ref="E21:I21" si="18">E17-E5</f>
        <v>1458242306.5699999</v>
      </c>
      <c r="F21" s="46">
        <f t="shared" si="18"/>
        <v>0.27102855334741666</v>
      </c>
      <c r="G21" s="778">
        <f t="shared" si="18"/>
        <v>1400037610.9299998</v>
      </c>
      <c r="H21" s="46">
        <f t="shared" si="18"/>
        <v>0.24799080108379989</v>
      </c>
      <c r="I21" s="46">
        <f t="shared" si="18"/>
        <v>570916950.90999997</v>
      </c>
      <c r="J21" s="726">
        <f t="shared" ref="J21:J22" si="19">I21/D21</f>
        <v>0.27515098683077599</v>
      </c>
      <c r="N21" s="46">
        <f>N17-N5</f>
        <v>685921614.49000001</v>
      </c>
      <c r="O21" s="442">
        <f>N21/(2401659905-392905585)</f>
        <v>0.34146615524889079</v>
      </c>
      <c r="P21" s="442">
        <f>I21/N21-1</f>
        <v>-0.16766444029542482</v>
      </c>
    </row>
    <row r="22" spans="1:16" x14ac:dyDescent="0.25">
      <c r="D22" s="46">
        <f>D10-D5</f>
        <v>1506116807.8200002</v>
      </c>
      <c r="E22" s="778">
        <f t="shared" ref="E22:H22" si="20">E10-E5</f>
        <v>1221151882.6400001</v>
      </c>
      <c r="F22" s="46">
        <f t="shared" si="20"/>
        <v>0.3461729008202637</v>
      </c>
      <c r="G22" s="778">
        <f t="shared" si="20"/>
        <v>1169231845.04</v>
      </c>
      <c r="H22" s="46">
        <f t="shared" si="20"/>
        <v>0.3190094846389594</v>
      </c>
      <c r="I22" s="46">
        <f>I10-I5</f>
        <v>460161715.80000001</v>
      </c>
      <c r="J22" s="726">
        <f t="shared" si="19"/>
        <v>0.30552857083246565</v>
      </c>
      <c r="N22" s="46">
        <f>N10-N5</f>
        <v>466775379.57000005</v>
      </c>
      <c r="O22" s="442">
        <f>N22/(1836615437-392905585)</f>
        <v>0.32331661304615106</v>
      </c>
      <c r="P22" s="442">
        <f>I22/N22-1</f>
        <v>-1.4168835931519408E-2</v>
      </c>
    </row>
    <row r="137" spans="12:12" x14ac:dyDescent="0.25">
      <c r="L137" s="686"/>
    </row>
    <row r="138" spans="12:12" x14ac:dyDescent="0.25">
      <c r="L138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&amp;LAjuntament de Barcelona&amp;CPressupost 2017
Execució Pressupostària a Maig&amp;RDirecció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topLeftCell="A7" workbookViewId="0">
      <selection activeCell="M20" sqref="M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776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Maig&amp;RDirecció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P137"/>
  <sheetViews>
    <sheetView zoomScaleNormal="100" workbookViewId="0">
      <selection activeCell="G21" sqref="G21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6640625" style="46" customWidth="1"/>
    <col min="15" max="15" width="6.33203125" style="97" customWidth="1"/>
    <col min="16" max="16" width="8" style="97" customWidth="1"/>
    <col min="17" max="17" width="3.6640625" customWidth="1"/>
  </cols>
  <sheetData>
    <row r="1" spans="1:16" ht="14.4" thickBot="1" x14ac:dyDescent="0.3">
      <c r="A1" s="7" t="s">
        <v>422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634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42508052.450000003</v>
      </c>
      <c r="D5" s="204">
        <v>43302813.060000002</v>
      </c>
      <c r="E5" s="30">
        <v>17793754.719999999</v>
      </c>
      <c r="F5" s="48">
        <f>+E5/D5</f>
        <v>0.4109145217735653</v>
      </c>
      <c r="G5" s="30">
        <v>17571825.829999998</v>
      </c>
      <c r="H5" s="48">
        <f>G5/D5</f>
        <v>0.40578947620914668</v>
      </c>
      <c r="I5" s="30">
        <v>17479876.550000001</v>
      </c>
      <c r="J5" s="153">
        <f>I5/D5</f>
        <v>0.40366607420584977</v>
      </c>
      <c r="K5" s="578">
        <v>20272101.919999998</v>
      </c>
      <c r="L5" s="48">
        <v>0.4469573316222496</v>
      </c>
      <c r="M5" s="210">
        <f>+G5/K5-1</f>
        <v>-0.13320158416014904</v>
      </c>
      <c r="N5" s="578">
        <v>20224905.84</v>
      </c>
      <c r="O5" s="48">
        <v>0.44591675704034017</v>
      </c>
      <c r="P5" s="210">
        <f>+I5/N5-1</f>
        <v>-0.13572519504990677</v>
      </c>
    </row>
    <row r="6" spans="1:16" ht="15" customHeight="1" x14ac:dyDescent="0.25">
      <c r="A6" s="23">
        <v>2</v>
      </c>
      <c r="B6" s="23" t="s">
        <v>1</v>
      </c>
      <c r="C6" s="160">
        <v>48845879.590000004</v>
      </c>
      <c r="D6" s="205">
        <v>43712134.130000003</v>
      </c>
      <c r="E6" s="32">
        <v>31754072.670000002</v>
      </c>
      <c r="F6" s="48">
        <f>+E6/D6</f>
        <v>0.72643610983539042</v>
      </c>
      <c r="G6" s="32">
        <v>23241142.210000001</v>
      </c>
      <c r="H6" s="48">
        <f>G6/D6</f>
        <v>0.53168628511435256</v>
      </c>
      <c r="I6" s="32">
        <v>7363051.2999999998</v>
      </c>
      <c r="J6" s="153">
        <f>I6/D6</f>
        <v>0.16844410474451477</v>
      </c>
      <c r="K6" s="579">
        <v>32825940.819999997</v>
      </c>
      <c r="L6" s="48">
        <v>0.5671986679987937</v>
      </c>
      <c r="M6" s="211">
        <f>+G6/K6-1</f>
        <v>-0.29198854231042259</v>
      </c>
      <c r="N6" s="579">
        <v>10871264.9</v>
      </c>
      <c r="O6" s="48">
        <v>0.18784433337505907</v>
      </c>
      <c r="P6" s="211">
        <f>+I6/N6-1</f>
        <v>-0.32270518953134886</v>
      </c>
    </row>
    <row r="7" spans="1:16" ht="15" customHeight="1" x14ac:dyDescent="0.25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79"/>
      <c r="L7" s="48" t="s">
        <v>129</v>
      </c>
      <c r="M7" s="212" t="s">
        <v>129</v>
      </c>
      <c r="N7" s="579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56033357.700000003</v>
      </c>
      <c r="D8" s="206">
        <v>63033298</v>
      </c>
      <c r="E8" s="34">
        <v>57393375.270000003</v>
      </c>
      <c r="F8" s="78">
        <f t="shared" ref="F8" si="0">+E8/D8</f>
        <v>0.91052470822643616</v>
      </c>
      <c r="G8" s="34">
        <v>57372029.770000003</v>
      </c>
      <c r="H8" s="78">
        <f>G8/D8</f>
        <v>0.91018606974999161</v>
      </c>
      <c r="I8" s="34">
        <v>25348745.09</v>
      </c>
      <c r="J8" s="172">
        <f>I8/D8</f>
        <v>0.40214848174372853</v>
      </c>
      <c r="K8" s="580">
        <v>44155201.289999999</v>
      </c>
      <c r="L8" s="78">
        <v>0.90116240150089333</v>
      </c>
      <c r="M8" s="520">
        <f>+G8/K8-1</f>
        <v>0.29932664994991809</v>
      </c>
      <c r="N8" s="580">
        <v>18874039.32</v>
      </c>
      <c r="O8" s="78">
        <v>0.38519979759407158</v>
      </c>
      <c r="P8" s="520">
        <f>+I8/N8-1</f>
        <v>0.34304822938135104</v>
      </c>
    </row>
    <row r="9" spans="1:16" ht="15" customHeight="1" x14ac:dyDescent="0.25">
      <c r="A9" s="9"/>
      <c r="B9" s="2" t="s">
        <v>4</v>
      </c>
      <c r="C9" s="162">
        <f>SUM(C5:C8)</f>
        <v>147387289.74000001</v>
      </c>
      <c r="D9" s="152">
        <f>SUM(D5:D8)</f>
        <v>150048245.19</v>
      </c>
      <c r="E9" s="84">
        <f>SUM(E5:E8)</f>
        <v>106941202.66</v>
      </c>
      <c r="F9" s="90">
        <f>+E9/D9</f>
        <v>0.71271211818961755</v>
      </c>
      <c r="G9" s="84">
        <f t="shared" ref="G9" si="1">SUM(G5:G8)</f>
        <v>98184997.810000002</v>
      </c>
      <c r="H9" s="90">
        <f>G9/D9</f>
        <v>0.65435618847572874</v>
      </c>
      <c r="I9" s="84">
        <f>SUM(I5:I8)</f>
        <v>50191672.939999998</v>
      </c>
      <c r="J9" s="170">
        <f>I9/D9</f>
        <v>0.33450356501300177</v>
      </c>
      <c r="K9" s="568">
        <f t="shared" ref="K9" si="2">SUM(K5:K8)</f>
        <v>97253244.030000001</v>
      </c>
      <c r="L9" s="90">
        <v>0.63886720177884471</v>
      </c>
      <c r="M9" s="213">
        <f t="shared" ref="M9" si="3">+G9/K9-1</f>
        <v>9.5806961432831628E-3</v>
      </c>
      <c r="N9" s="568">
        <f>SUM(N5:N8)</f>
        <v>49970210.060000002</v>
      </c>
      <c r="O9" s="90">
        <v>0.32825977777651799</v>
      </c>
      <c r="P9" s="213">
        <f>+I9/N9-1</f>
        <v>4.4318981195812235E-3</v>
      </c>
    </row>
    <row r="10" spans="1:16" ht="15" customHeight="1" x14ac:dyDescent="0.25">
      <c r="A10" s="81">
        <v>6</v>
      </c>
      <c r="B10" s="81" t="s">
        <v>5</v>
      </c>
      <c r="C10" s="159">
        <v>3134951.33</v>
      </c>
      <c r="D10" s="204">
        <v>4993763.6100000003</v>
      </c>
      <c r="E10" s="30">
        <v>2357799.31</v>
      </c>
      <c r="F10" s="242">
        <f>+E10/D10</f>
        <v>0.47214876276452339</v>
      </c>
      <c r="G10" s="82">
        <v>1279748.78</v>
      </c>
      <c r="H10" s="353">
        <f t="shared" ref="H10" si="4">G10/D10</f>
        <v>0.25626939517867964</v>
      </c>
      <c r="I10" s="82">
        <v>230338.15</v>
      </c>
      <c r="J10" s="431">
        <f t="shared" ref="J10" si="5">I10/D10</f>
        <v>4.6125160898435075E-2</v>
      </c>
      <c r="K10" s="578">
        <v>1044056.89</v>
      </c>
      <c r="L10" s="48">
        <v>0.14034250127179471</v>
      </c>
      <c r="M10" s="48">
        <f>+G10/K10-1</f>
        <v>0.22574621388686977</v>
      </c>
      <c r="N10" s="578">
        <v>240524.63</v>
      </c>
      <c r="O10" s="48">
        <v>3.2331406952041619E-2</v>
      </c>
      <c r="P10" s="245">
        <f>+I10/N10-1</f>
        <v>-4.2351088950848825E-2</v>
      </c>
    </row>
    <row r="11" spans="1:16" ht="15" customHeight="1" x14ac:dyDescent="0.25">
      <c r="A11" s="55">
        <v>7</v>
      </c>
      <c r="B11" s="55" t="s">
        <v>6</v>
      </c>
      <c r="C11" s="161"/>
      <c r="D11" s="206"/>
      <c r="E11" s="34"/>
      <c r="F11" s="523" t="s">
        <v>129</v>
      </c>
      <c r="G11" s="56"/>
      <c r="H11" s="513" t="s">
        <v>129</v>
      </c>
      <c r="I11" s="56"/>
      <c r="J11" s="512" t="s">
        <v>129</v>
      </c>
      <c r="K11" s="580"/>
      <c r="L11" s="390" t="s">
        <v>129</v>
      </c>
      <c r="M11" s="48" t="s">
        <v>129</v>
      </c>
      <c r="N11" s="580"/>
      <c r="O11" s="390" t="s">
        <v>129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3134951.33</v>
      </c>
      <c r="D12" s="152">
        <f t="shared" ref="D12:I12" si="6">SUM(D10:D11)</f>
        <v>4993763.6100000003</v>
      </c>
      <c r="E12" s="84">
        <f t="shared" si="6"/>
        <v>2357799.31</v>
      </c>
      <c r="F12" s="90">
        <f>+E12/D12</f>
        <v>0.47214876276452339</v>
      </c>
      <c r="G12" s="84">
        <f t="shared" si="6"/>
        <v>1279748.78</v>
      </c>
      <c r="H12" s="90">
        <f>G12/D12</f>
        <v>0.25626939517867964</v>
      </c>
      <c r="I12" s="84">
        <f t="shared" si="6"/>
        <v>230338.15</v>
      </c>
      <c r="J12" s="170">
        <f>I12/D12</f>
        <v>4.6125160898435075E-2</v>
      </c>
      <c r="K12" s="568">
        <f t="shared" ref="K12" si="7">SUM(K10:K11)</f>
        <v>1044056.89</v>
      </c>
      <c r="L12" s="90">
        <v>0.14034250127179471</v>
      </c>
      <c r="M12" s="723">
        <f t="shared" ref="M12" si="8">+G12/K12-1</f>
        <v>0.22574621388686977</v>
      </c>
      <c r="N12" s="568">
        <f t="shared" ref="N12" si="9">SUM(N10:N11)</f>
        <v>240524.63</v>
      </c>
      <c r="O12" s="90">
        <v>3.2331406952041619E-2</v>
      </c>
      <c r="P12" s="213">
        <f>+I12/N12-1</f>
        <v>-4.2351088950848825E-2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32"/>
      <c r="L13" s="27" t="s">
        <v>129</v>
      </c>
      <c r="M13" s="214" t="s">
        <v>129</v>
      </c>
      <c r="N13" s="632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33"/>
      <c r="L14" s="28" t="s">
        <v>129</v>
      </c>
      <c r="M14" s="215" t="s">
        <v>129</v>
      </c>
      <c r="N14" s="633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0">SUM(D13:D14)</f>
        <v>0</v>
      </c>
      <c r="E15" s="84">
        <f t="shared" si="10"/>
        <v>0</v>
      </c>
      <c r="F15" s="58" t="s">
        <v>129</v>
      </c>
      <c r="G15" s="84">
        <f t="shared" si="10"/>
        <v>0</v>
      </c>
      <c r="H15" s="58" t="s">
        <v>129</v>
      </c>
      <c r="I15" s="84">
        <f t="shared" si="10"/>
        <v>0</v>
      </c>
      <c r="J15" s="223" t="s">
        <v>129</v>
      </c>
      <c r="K15" s="568">
        <f t="shared" ref="K15" si="11">SUM(K13:K14)</f>
        <v>0</v>
      </c>
      <c r="L15" s="58" t="s">
        <v>129</v>
      </c>
      <c r="M15" s="216" t="s">
        <v>129</v>
      </c>
      <c r="N15" s="568">
        <f t="shared" ref="N15" si="12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150522241.07000002</v>
      </c>
      <c r="D16" s="154">
        <f>+D9+D12+D15</f>
        <v>155042008.80000001</v>
      </c>
      <c r="E16" s="155">
        <f t="shared" ref="E16:I16" si="13">+E9+E12+E15</f>
        <v>109299001.97</v>
      </c>
      <c r="F16" s="181">
        <f>+E16/D16</f>
        <v>0.70496378894956624</v>
      </c>
      <c r="G16" s="155">
        <f t="shared" si="13"/>
        <v>99464746.590000004</v>
      </c>
      <c r="H16" s="181">
        <f>G16/D16</f>
        <v>0.64153417102784593</v>
      </c>
      <c r="I16" s="155">
        <f t="shared" si="13"/>
        <v>50422011.089999996</v>
      </c>
      <c r="J16" s="173">
        <f>I16/D16</f>
        <v>0.32521515607452572</v>
      </c>
      <c r="K16" s="576">
        <f t="shared" ref="K16" si="14">+K9+K12+K15</f>
        <v>98297300.920000002</v>
      </c>
      <c r="L16" s="181">
        <v>0.61563948583745298</v>
      </c>
      <c r="M16" s="607">
        <f>+G16/K16-1</f>
        <v>1.1876680835317455E-2</v>
      </c>
      <c r="N16" s="576">
        <f t="shared" ref="N16" si="15">+N9+N12+N15</f>
        <v>50210734.690000005</v>
      </c>
      <c r="O16" s="181">
        <v>0.31447161416191982</v>
      </c>
      <c r="P16" s="607">
        <f>+I16/N16-1</f>
        <v>4.2077934390805094E-3</v>
      </c>
    </row>
    <row r="17" spans="4:13" x14ac:dyDescent="0.25">
      <c r="F17" s="441"/>
      <c r="H17" s="441"/>
      <c r="J17" s="441"/>
      <c r="K17" s="441"/>
      <c r="L17" s="441"/>
      <c r="M17" s="441"/>
    </row>
    <row r="18" spans="4:13" x14ac:dyDescent="0.25">
      <c r="F18" s="441"/>
      <c r="H18" s="441"/>
    </row>
    <row r="22" spans="4:13" x14ac:dyDescent="0.25">
      <c r="D22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O137"/>
  <sheetViews>
    <sheetView zoomScaleNormal="100" workbookViewId="0">
      <selection activeCell="A5" sqref="A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63" t="s">
        <v>765</v>
      </c>
      <c r="D2" s="256"/>
      <c r="E2" s="736" t="s">
        <v>780</v>
      </c>
      <c r="F2" s="737"/>
      <c r="G2" s="738"/>
      <c r="H2" s="738"/>
      <c r="I2" s="738"/>
      <c r="J2" s="738"/>
      <c r="K2" s="739"/>
      <c r="L2" s="734" t="s">
        <v>781</v>
      </c>
      <c r="M2" s="735"/>
      <c r="N2" s="138"/>
    </row>
    <row r="3" spans="1:14" x14ac:dyDescent="0.25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5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764</v>
      </c>
    </row>
    <row r="5" spans="1:14" ht="15" customHeight="1" x14ac:dyDescent="0.25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0.37768912978056363</v>
      </c>
      <c r="G5" s="30">
        <v>539642358.63999999</v>
      </c>
      <c r="H5" s="262">
        <f>G5/$G$18</f>
        <v>0.47976166623104233</v>
      </c>
      <c r="I5" s="134">
        <f>G5/E5</f>
        <v>0.51898616996800939</v>
      </c>
      <c r="J5" s="30">
        <v>481268419.91000003</v>
      </c>
      <c r="K5" s="153">
        <f>J5/G5</f>
        <v>0.89182847158789902</v>
      </c>
      <c r="L5" s="136">
        <v>527171610.66000003</v>
      </c>
      <c r="M5" s="48">
        <v>0.55858218385862313</v>
      </c>
      <c r="N5" s="141">
        <f>+G5/L5-1</f>
        <v>2.3655955153554231E-2</v>
      </c>
    </row>
    <row r="6" spans="1:14" ht="15" customHeight="1" x14ac:dyDescent="0.25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2.2131563045033577E-2</v>
      </c>
      <c r="G6" s="30">
        <v>27999394.359999999</v>
      </c>
      <c r="H6" s="262">
        <f t="shared" ref="H6:H9" si="2">G6/$G$18</f>
        <v>2.4892479021601306E-2</v>
      </c>
      <c r="I6" s="134">
        <f t="shared" ref="I6:I9" si="3">G6/E6</f>
        <v>0.45953732198038061</v>
      </c>
      <c r="J6" s="30">
        <v>24266929.879999999</v>
      </c>
      <c r="K6" s="153">
        <f t="shared" ref="K6:K9" si="4">J6/G6</f>
        <v>0.86669481375167856</v>
      </c>
      <c r="L6" s="133">
        <v>25879259.039999999</v>
      </c>
      <c r="M6" s="48">
        <v>0.4642037044444472</v>
      </c>
      <c r="N6" s="142">
        <f t="shared" ref="N6:N18" si="5">+G6/L6-1</f>
        <v>8.1924112151860129E-2</v>
      </c>
    </row>
    <row r="7" spans="1:14" ht="15" customHeight="1" x14ac:dyDescent="0.25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0.10174735264622052</v>
      </c>
      <c r="G7" s="30">
        <v>98057716</v>
      </c>
      <c r="H7" s="262">
        <f t="shared" si="2"/>
        <v>8.717687272276195E-2</v>
      </c>
      <c r="I7" s="134">
        <f t="shared" si="3"/>
        <v>0.35006032669505849</v>
      </c>
      <c r="J7" s="30">
        <v>66961490.009999998</v>
      </c>
      <c r="K7" s="153">
        <f t="shared" si="4"/>
        <v>0.68287833677463994</v>
      </c>
      <c r="L7" s="133">
        <v>104691337.56999999</v>
      </c>
      <c r="M7" s="48">
        <v>0.40245524493082935</v>
      </c>
      <c r="N7" s="142">
        <f t="shared" si="5"/>
        <v>-6.3363614640652988E-2</v>
      </c>
    </row>
    <row r="8" spans="1:14" ht="15" customHeight="1" x14ac:dyDescent="0.25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1085586156.6700001</v>
      </c>
      <c r="F8" s="262">
        <f t="shared" si="1"/>
        <v>0.3943197549595952</v>
      </c>
      <c r="G8" s="30">
        <v>442951428.08999997</v>
      </c>
      <c r="H8" s="262">
        <f t="shared" si="2"/>
        <v>0.39379991543926612</v>
      </c>
      <c r="I8" s="134">
        <f t="shared" si="3"/>
        <v>0.40802973155879119</v>
      </c>
      <c r="J8" s="30">
        <v>335692843.5</v>
      </c>
      <c r="K8" s="153">
        <f t="shared" si="4"/>
        <v>0.75785474932884311</v>
      </c>
      <c r="L8" s="133">
        <v>419503119.37</v>
      </c>
      <c r="M8" s="414">
        <v>0.39881826860346248</v>
      </c>
      <c r="N8" s="142">
        <f>+G8/L8-1</f>
        <v>5.5895433519574489E-2</v>
      </c>
    </row>
    <row r="9" spans="1:14" ht="15" customHeight="1" x14ac:dyDescent="0.25">
      <c r="A9" s="24">
        <v>5</v>
      </c>
      <c r="B9" s="24" t="s">
        <v>42</v>
      </c>
      <c r="C9" s="530">
        <v>42097110</v>
      </c>
      <c r="D9" s="257">
        <f t="shared" si="0"/>
        <v>1.5385337874130016E-2</v>
      </c>
      <c r="E9" s="206">
        <v>42097110</v>
      </c>
      <c r="F9" s="264">
        <f t="shared" si="1"/>
        <v>1.5291022271899844E-2</v>
      </c>
      <c r="G9" s="34">
        <v>12753755.800000001</v>
      </c>
      <c r="H9" s="264">
        <f t="shared" si="2"/>
        <v>1.1338552349248958E-2</v>
      </c>
      <c r="I9" s="135">
        <f t="shared" si="3"/>
        <v>0.30296036473762689</v>
      </c>
      <c r="J9" s="34">
        <v>6824605.21</v>
      </c>
      <c r="K9" s="392">
        <f t="shared" si="4"/>
        <v>0.53510552632660568</v>
      </c>
      <c r="L9" s="137">
        <v>9997306.4299999997</v>
      </c>
      <c r="M9" s="78">
        <v>0.23726491492508631</v>
      </c>
      <c r="N9" s="143">
        <f t="shared" si="5"/>
        <v>0.2757192038976044</v>
      </c>
    </row>
    <row r="10" spans="1:14" ht="15" customHeight="1" x14ac:dyDescent="0.25">
      <c r="A10" s="9"/>
      <c r="B10" s="2" t="s">
        <v>4</v>
      </c>
      <c r="C10" s="162">
        <f>SUM(C5:C9)</f>
        <v>2506271621.5099998</v>
      </c>
      <c r="D10" s="548">
        <f t="shared" si="0"/>
        <v>0.91597346471705654</v>
      </c>
      <c r="E10" s="152">
        <f>SUM(E5:E9)</f>
        <v>2508530459.6999998</v>
      </c>
      <c r="F10" s="263">
        <f>E10/E18</f>
        <v>0.91117882270331274</v>
      </c>
      <c r="G10" s="84">
        <f>SUM(G5:G9)</f>
        <v>1121404652.8899999</v>
      </c>
      <c r="H10" s="263">
        <f>G10/G18</f>
        <v>0.99696948576392053</v>
      </c>
      <c r="I10" s="85">
        <f t="shared" ref="I10:I18" si="6">+G10/E10</f>
        <v>0.44703649044951638</v>
      </c>
      <c r="J10" s="84">
        <f>SUM(J5:J9)</f>
        <v>915014288.51000011</v>
      </c>
      <c r="K10" s="170">
        <f t="shared" ref="K10:K18" si="7">+J10/G10</f>
        <v>0.81595371140283213</v>
      </c>
      <c r="L10" s="84">
        <f>SUM(L5:L9)</f>
        <v>1087242633.0699999</v>
      </c>
      <c r="M10" s="43">
        <v>0.46193901489921763</v>
      </c>
      <c r="N10" s="144">
        <f t="shared" si="5"/>
        <v>3.1420787578517073E-2</v>
      </c>
    </row>
    <row r="11" spans="1:14" ht="15" customHeight="1" x14ac:dyDescent="0.25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1.4607063465284806E-3</v>
      </c>
      <c r="G11" s="30">
        <v>498668.61</v>
      </c>
      <c r="H11" s="262">
        <f>G11/G18</f>
        <v>4.4333451479541515E-4</v>
      </c>
      <c r="I11" s="134">
        <f>+G11/E11</f>
        <v>0.12400333166476558</v>
      </c>
      <c r="J11" s="30">
        <v>498668.61</v>
      </c>
      <c r="K11" s="153">
        <f>+J11/G11</f>
        <v>1</v>
      </c>
      <c r="L11" s="136">
        <v>87734.49</v>
      </c>
      <c r="M11" s="52">
        <v>0.87664358513189455</v>
      </c>
      <c r="N11" s="141">
        <f t="shared" si="5"/>
        <v>4.6838377928680037</v>
      </c>
    </row>
    <row r="12" spans="1:14" ht="15" customHeight="1" x14ac:dyDescent="0.25">
      <c r="A12" s="24">
        <v>7</v>
      </c>
      <c r="B12" s="24" t="s">
        <v>6</v>
      </c>
      <c r="C12" s="530">
        <v>15057423.99</v>
      </c>
      <c r="D12" s="257">
        <f t="shared" si="0"/>
        <v>5.5030750471987489E-3</v>
      </c>
      <c r="E12" s="516">
        <v>16041795.24</v>
      </c>
      <c r="F12" s="264">
        <f>E12/E18</f>
        <v>5.8268952024520667E-3</v>
      </c>
      <c r="G12" s="180">
        <v>1552284.68</v>
      </c>
      <c r="H12" s="264">
        <f>G12/G18</f>
        <v>1.3800374870841705E-3</v>
      </c>
      <c r="I12" s="135">
        <f t="shared" si="6"/>
        <v>9.6765022665879621E-2</v>
      </c>
      <c r="J12" s="180">
        <v>1552284.68</v>
      </c>
      <c r="K12" s="153">
        <f>+J12/G12</f>
        <v>1</v>
      </c>
      <c r="L12" s="137">
        <v>15558311.310000001</v>
      </c>
      <c r="M12" s="329">
        <v>0.81849925584607819</v>
      </c>
      <c r="N12" s="141">
        <f t="shared" si="5"/>
        <v>-0.90022794575383769</v>
      </c>
    </row>
    <row r="13" spans="1:14" ht="15" customHeight="1" x14ac:dyDescent="0.25">
      <c r="A13" s="9"/>
      <c r="B13" s="2" t="s">
        <v>7</v>
      </c>
      <c r="C13" s="162">
        <f>SUM(C11:C12)</f>
        <v>19078836.990000002</v>
      </c>
      <c r="D13" s="548">
        <f t="shared" si="0"/>
        <v>6.9727910855780775E-3</v>
      </c>
      <c r="E13" s="152">
        <f>SUM(E11:E12)</f>
        <v>20063208.240000002</v>
      </c>
      <c r="F13" s="263">
        <f>E13/E18</f>
        <v>7.287601548980548E-3</v>
      </c>
      <c r="G13" s="84">
        <f>SUM(G11:G12)</f>
        <v>2050953.29</v>
      </c>
      <c r="H13" s="263">
        <f>G13/G18</f>
        <v>1.8233720018795859E-3</v>
      </c>
      <c r="I13" s="85">
        <f t="shared" si="6"/>
        <v>0.10222459267062863</v>
      </c>
      <c r="J13" s="84">
        <f>SUM(J11:J12)</f>
        <v>2050953.29</v>
      </c>
      <c r="K13" s="170">
        <f t="shared" si="7"/>
        <v>1</v>
      </c>
      <c r="L13" s="84">
        <f>SUM(L11:L12)</f>
        <v>15646045.800000001</v>
      </c>
      <c r="M13" s="43">
        <v>0.8188037857227265</v>
      </c>
      <c r="N13" s="144">
        <f t="shared" si="5"/>
        <v>-0.86891555117395858</v>
      </c>
    </row>
    <row r="14" spans="1:14" ht="15" customHeight="1" x14ac:dyDescent="0.25">
      <c r="A14" s="21">
        <v>8</v>
      </c>
      <c r="B14" s="21" t="s">
        <v>445</v>
      </c>
      <c r="C14" s="198">
        <v>5000000</v>
      </c>
      <c r="D14" s="549">
        <f t="shared" si="0"/>
        <v>1.8273627185013432E-3</v>
      </c>
      <c r="E14" s="204">
        <f>18633674.56-E17</f>
        <v>5017309.9999999981</v>
      </c>
      <c r="F14" s="262">
        <f>E14/$E$18</f>
        <v>1.822448119479598E-3</v>
      </c>
      <c r="G14" s="30">
        <v>0</v>
      </c>
      <c r="H14" s="266">
        <f>G14/G18</f>
        <v>0</v>
      </c>
      <c r="I14" s="134">
        <f t="shared" si="6"/>
        <v>0</v>
      </c>
      <c r="J14" s="30">
        <v>0</v>
      </c>
      <c r="K14" s="153" t="s">
        <v>129</v>
      </c>
      <c r="L14" s="136">
        <v>49492.98</v>
      </c>
      <c r="M14" s="57">
        <v>3.1067998419024727E-4</v>
      </c>
      <c r="N14" s="145">
        <f t="shared" si="5"/>
        <v>-1</v>
      </c>
    </row>
    <row r="15" spans="1:14" ht="15" customHeight="1" x14ac:dyDescent="0.25">
      <c r="A15" s="24">
        <v>9</v>
      </c>
      <c r="B15" s="24" t="s">
        <v>9</v>
      </c>
      <c r="C15" s="530">
        <v>205833195.34</v>
      </c>
      <c r="D15" s="257">
        <f t="shared" si="0"/>
        <v>7.5226381478864082E-2</v>
      </c>
      <c r="E15" s="516">
        <v>205833195.34</v>
      </c>
      <c r="F15" s="264">
        <f>E15/$E$18</f>
        <v>7.4765226739798796E-2</v>
      </c>
      <c r="G15" s="180">
        <v>1357809.78</v>
      </c>
      <c r="H15" s="264">
        <f>G15/G18</f>
        <v>1.2071422341999216E-3</v>
      </c>
      <c r="I15" s="135">
        <f t="shared" si="6"/>
        <v>6.5966511269338196E-3</v>
      </c>
      <c r="J15" s="34">
        <v>1357809.78</v>
      </c>
      <c r="K15" s="392">
        <f t="shared" si="7"/>
        <v>1</v>
      </c>
      <c r="L15" s="137">
        <v>1054466.52</v>
      </c>
      <c r="M15" s="264">
        <v>3.7656992389751101E-3</v>
      </c>
      <c r="N15" s="143">
        <f t="shared" si="5"/>
        <v>0.2876746243209316</v>
      </c>
    </row>
    <row r="16" spans="1:14" ht="15" customHeight="1" x14ac:dyDescent="0.25">
      <c r="A16" s="9"/>
      <c r="B16" s="2" t="s">
        <v>10</v>
      </c>
      <c r="C16" s="162">
        <f>SUM(C14:C15)</f>
        <v>210833195.34</v>
      </c>
      <c r="D16" s="548">
        <f t="shared" si="0"/>
        <v>7.7053744197365423E-2</v>
      </c>
      <c r="E16" s="152">
        <f>SUM(E14:E15)</f>
        <v>210850505.34</v>
      </c>
      <c r="F16" s="263">
        <f>E16/E18</f>
        <v>7.6587674859278393E-2</v>
      </c>
      <c r="G16" s="84">
        <f>SUM(G14:G15)</f>
        <v>1357809.78</v>
      </c>
      <c r="H16" s="263">
        <f>G16/G18</f>
        <v>1.2071422341999216E-3</v>
      </c>
      <c r="I16" s="85">
        <f t="shared" si="6"/>
        <v>6.4396799894337877E-3</v>
      </c>
      <c r="J16" s="84">
        <f>SUM(J14:J15)</f>
        <v>1357809.78</v>
      </c>
      <c r="K16" s="170">
        <f t="shared" si="7"/>
        <v>1</v>
      </c>
      <c r="L16" s="84">
        <f>SUM(L14:L15)</f>
        <v>1103959.5</v>
      </c>
      <c r="M16" s="43">
        <v>2.5128588325652457E-3</v>
      </c>
      <c r="N16" s="144">
        <f t="shared" si="5"/>
        <v>0.22994528331881736</v>
      </c>
    </row>
    <row r="17" spans="1:14" ht="15" customHeight="1" thickBot="1" x14ac:dyDescent="0.3">
      <c r="A17" s="9"/>
      <c r="B17" s="2" t="s">
        <v>430</v>
      </c>
      <c r="C17" s="162">
        <v>0</v>
      </c>
      <c r="D17" s="346" t="s">
        <v>129</v>
      </c>
      <c r="E17" s="152">
        <v>13616364.560000001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3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2753060537.8399997</v>
      </c>
      <c r="F18" s="265" t="s">
        <v>129</v>
      </c>
      <c r="G18" s="155">
        <f t="shared" ref="G18" si="8">+G10+G13+G16+G17</f>
        <v>1124813415.9599998</v>
      </c>
      <c r="H18" s="265" t="s">
        <v>129</v>
      </c>
      <c r="I18" s="156">
        <f t="shared" si="6"/>
        <v>0.40856835529032992</v>
      </c>
      <c r="J18" s="155">
        <f>+J10+J13+J16+J17</f>
        <v>918423051.58000004</v>
      </c>
      <c r="K18" s="173">
        <f t="shared" si="7"/>
        <v>0.8165114663005234</v>
      </c>
      <c r="L18" s="147">
        <f>+L10+L13+L16+L17</f>
        <v>1103992638.3699999</v>
      </c>
      <c r="M18" s="183">
        <v>0.39212671718752895</v>
      </c>
      <c r="N18" s="146">
        <f t="shared" si="5"/>
        <v>1.8859525748958772E-2</v>
      </c>
    </row>
    <row r="19" spans="1:14" x14ac:dyDescent="0.25">
      <c r="A19" s="247" t="s">
        <v>466</v>
      </c>
      <c r="B19" s="247"/>
    </row>
    <row r="21" spans="1:14" s="451" customFormat="1" x14ac:dyDescent="0.25">
      <c r="A21" s="449"/>
      <c r="B21" s="448"/>
      <c r="C21" s="457"/>
      <c r="D21" s="450"/>
      <c r="K21" s="452"/>
      <c r="M21" s="452"/>
    </row>
    <row r="22" spans="1:14" s="451" customFormat="1" x14ac:dyDescent="0.25">
      <c r="A22" s="449"/>
      <c r="B22" s="448"/>
      <c r="C22" s="457"/>
      <c r="D22" s="450"/>
      <c r="E22" s="451" t="s">
        <v>530</v>
      </c>
      <c r="G22" s="55"/>
      <c r="H22" s="78"/>
      <c r="K22" s="452"/>
      <c r="M22" s="452"/>
    </row>
    <row r="23" spans="1:14" s="451" customFormat="1" x14ac:dyDescent="0.25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5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5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5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5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5">
      <c r="G28" s="55"/>
      <c r="H28" s="78"/>
    </row>
    <row r="136" spans="12:15" x14ac:dyDescent="0.25">
      <c r="L136" s="688"/>
      <c r="O136" s="688"/>
    </row>
    <row r="137" spans="12:15" x14ac:dyDescent="0.25">
      <c r="L137" s="688"/>
      <c r="N137" s="100"/>
      <c r="O137" s="688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topLeftCell="C1" zoomScaleNormal="100" workbookViewId="0">
      <selection activeCell="O11" sqref="O11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46" customWidth="1"/>
    <col min="12" max="12" width="6.33203125" style="97" customWidth="1"/>
    <col min="13" max="13" width="8" style="97" customWidth="1"/>
    <col min="14" max="14" width="3.6640625" customWidth="1"/>
  </cols>
  <sheetData>
    <row r="1" spans="1:13" ht="13.8" x14ac:dyDescent="0.25">
      <c r="A1" s="7" t="s">
        <v>422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41"/>
      <c r="H17" s="441"/>
      <c r="J17" s="441"/>
    </row>
    <row r="18" spans="4:10" x14ac:dyDescent="0.25">
      <c r="F18" s="441"/>
      <c r="H18" s="441"/>
    </row>
    <row r="22" spans="4:10" x14ac:dyDescent="0.25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P137"/>
  <sheetViews>
    <sheetView topLeftCell="C1" zoomScaleNormal="100" workbookViewId="0">
      <selection activeCell="J17" sqref="J17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521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15000854.75</v>
      </c>
      <c r="D5" s="204">
        <v>15720739.49</v>
      </c>
      <c r="E5" s="30">
        <v>5283342.34</v>
      </c>
      <c r="F5" s="48">
        <f>E5/D5</f>
        <v>0.33607467023804743</v>
      </c>
      <c r="G5" s="30">
        <v>5283342.34</v>
      </c>
      <c r="H5" s="48">
        <f>G5/D5</f>
        <v>0.33607467023804743</v>
      </c>
      <c r="I5" s="30">
        <v>5283342.34</v>
      </c>
      <c r="J5" s="153">
        <f>I5/D5</f>
        <v>0.33607467023804743</v>
      </c>
      <c r="K5" s="578">
        <v>6557591.25</v>
      </c>
      <c r="L5" s="48">
        <v>0.444968345640049</v>
      </c>
      <c r="M5" s="210">
        <f>+G5/K5-1</f>
        <v>-0.19431661130144395</v>
      </c>
      <c r="N5" s="578">
        <v>6557591.25</v>
      </c>
      <c r="O5" s="48">
        <v>0.444968345640049</v>
      </c>
      <c r="P5" s="210">
        <f>+I5/N5-1</f>
        <v>-0.19431661130144395</v>
      </c>
    </row>
    <row r="6" spans="1:16" ht="15" customHeight="1" x14ac:dyDescent="0.25">
      <c r="A6" s="23">
        <v>2</v>
      </c>
      <c r="B6" s="23" t="s">
        <v>1</v>
      </c>
      <c r="C6" s="160">
        <v>81944181.75</v>
      </c>
      <c r="D6" s="205">
        <v>84708067.140000001</v>
      </c>
      <c r="E6" s="32">
        <v>72647117.010000005</v>
      </c>
      <c r="F6" s="48">
        <f>E6/D6</f>
        <v>0.85761745560707414</v>
      </c>
      <c r="G6" s="32">
        <v>65337239.170000002</v>
      </c>
      <c r="H6" s="48">
        <f>G6/D6</f>
        <v>0.77132251243573824</v>
      </c>
      <c r="I6" s="32">
        <v>19512153.370000001</v>
      </c>
      <c r="J6" s="153">
        <f>I6/D6</f>
        <v>0.23034586939342599</v>
      </c>
      <c r="K6" s="578">
        <v>61794211.409999996</v>
      </c>
      <c r="L6" s="48">
        <v>0.8058020649818044</v>
      </c>
      <c r="M6" s="210">
        <f t="shared" ref="M6:M17" si="0">+G6/K6-1</f>
        <v>5.7335916733240344E-2</v>
      </c>
      <c r="N6" s="578">
        <v>20167246.100000001</v>
      </c>
      <c r="O6" s="48">
        <v>0.26298269986088724</v>
      </c>
      <c r="P6" s="210">
        <f>+I6/N6-1</f>
        <v>-3.2483003715613967E-2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2"/>
      <c r="L7" s="48" t="s">
        <v>129</v>
      </c>
      <c r="M7" s="212" t="s">
        <v>129</v>
      </c>
      <c r="N7" s="632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447" t="s">
        <v>3</v>
      </c>
      <c r="C8" s="160">
        <v>250143469.58000001</v>
      </c>
      <c r="D8" s="397">
        <v>249525514.74000001</v>
      </c>
      <c r="E8" s="398">
        <v>229936827.03999999</v>
      </c>
      <c r="F8" s="48">
        <f t="shared" ref="F8" si="1">E8/D8</f>
        <v>0.92149625371813781</v>
      </c>
      <c r="G8" s="398">
        <v>224741527.03999999</v>
      </c>
      <c r="H8" s="412">
        <f>G8/D8</f>
        <v>0.90067553722582483</v>
      </c>
      <c r="I8" s="398">
        <v>104472845.92</v>
      </c>
      <c r="J8" s="153">
        <f t="shared" ref="J8" si="2">I8/D8</f>
        <v>0.41868602506985453</v>
      </c>
      <c r="K8" s="635">
        <v>200868617.16999999</v>
      </c>
      <c r="L8" s="412">
        <v>0.88967037869110266</v>
      </c>
      <c r="M8" s="443">
        <f t="shared" si="0"/>
        <v>0.11884838062979131</v>
      </c>
      <c r="N8" s="635">
        <v>109709538.83</v>
      </c>
      <c r="O8" s="412">
        <v>0.48591625875686978</v>
      </c>
      <c r="P8" s="443">
        <f>+I8/N8-1</f>
        <v>-4.7732339100563514E-2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21" t="s">
        <v>129</v>
      </c>
      <c r="G9" s="180">
        <v>0</v>
      </c>
      <c r="H9" s="513" t="s">
        <v>129</v>
      </c>
      <c r="I9" s="180"/>
      <c r="J9" s="517" t="s">
        <v>129</v>
      </c>
      <c r="K9" s="567">
        <v>0</v>
      </c>
      <c r="L9" s="268">
        <v>0</v>
      </c>
      <c r="M9" s="637" t="s">
        <v>129</v>
      </c>
      <c r="N9" s="567">
        <v>0</v>
      </c>
      <c r="O9" s="268">
        <v>0</v>
      </c>
      <c r="P9" s="637" t="s">
        <v>129</v>
      </c>
    </row>
    <row r="10" spans="1:16" ht="15" customHeight="1" x14ac:dyDescent="0.25">
      <c r="A10" s="9"/>
      <c r="B10" s="2" t="s">
        <v>4</v>
      </c>
      <c r="C10" s="162">
        <f>SUM(C5:C9)</f>
        <v>347088506.08000004</v>
      </c>
      <c r="D10" s="152">
        <f>SUM(D5:D9)</f>
        <v>349954321.37</v>
      </c>
      <c r="E10" s="84">
        <f>SUM(E5:E9)</f>
        <v>307867286.38999999</v>
      </c>
      <c r="F10" s="90">
        <f>E10/D10</f>
        <v>0.87973563288134915</v>
      </c>
      <c r="G10" s="84">
        <f>SUM(G5:G9)</f>
        <v>295362108.55000001</v>
      </c>
      <c r="H10" s="90">
        <f>G10/D10</f>
        <v>0.84400188971439882</v>
      </c>
      <c r="I10" s="84">
        <f>SUM(I5:I9)</f>
        <v>129268341.63</v>
      </c>
      <c r="J10" s="170">
        <f>I10/D10</f>
        <v>0.36938632768968455</v>
      </c>
      <c r="K10" s="568">
        <f>SUM(K5:K9)</f>
        <v>269220419.82999998</v>
      </c>
      <c r="L10" s="636">
        <v>0.82582319576928986</v>
      </c>
      <c r="M10" s="213">
        <f t="shared" si="0"/>
        <v>9.7101433600420339E-2</v>
      </c>
      <c r="N10" s="568">
        <f>SUM(N5:N9)</f>
        <v>136434376.18000001</v>
      </c>
      <c r="O10" s="90">
        <v>0.41850715714990455</v>
      </c>
      <c r="P10" s="213">
        <f>+I10/N10-1</f>
        <v>-5.2523672923499465E-2</v>
      </c>
    </row>
    <row r="11" spans="1:16" ht="15" customHeight="1" x14ac:dyDescent="0.25">
      <c r="A11" s="21">
        <v>6</v>
      </c>
      <c r="B11" s="21" t="s">
        <v>5</v>
      </c>
      <c r="C11" s="159">
        <v>2029383.63</v>
      </c>
      <c r="D11" s="695">
        <v>4479137.0999999996</v>
      </c>
      <c r="E11" s="472">
        <v>2520750.27</v>
      </c>
      <c r="F11" s="48">
        <f>E11/D11</f>
        <v>0.56277586814656788</v>
      </c>
      <c r="G11" s="30">
        <v>2050889.1</v>
      </c>
      <c r="H11" s="48">
        <f>G11/D11</f>
        <v>0.45787593775595758</v>
      </c>
      <c r="I11" s="30">
        <v>22732.11</v>
      </c>
      <c r="J11" s="153">
        <f t="shared" ref="J11" si="3">I11/D11</f>
        <v>5.0751092213721259E-3</v>
      </c>
      <c r="K11" s="565">
        <v>444362.11</v>
      </c>
      <c r="L11" s="412">
        <v>5.0495694318181815E-2</v>
      </c>
      <c r="M11" s="210" t="s">
        <v>129</v>
      </c>
      <c r="N11" s="565">
        <v>0</v>
      </c>
      <c r="O11" s="414">
        <v>0</v>
      </c>
      <c r="P11" s="210" t="s">
        <v>129</v>
      </c>
    </row>
    <row r="12" spans="1:16" ht="15" customHeight="1" x14ac:dyDescent="0.25">
      <c r="A12" s="24">
        <v>7</v>
      </c>
      <c r="B12" s="24" t="s">
        <v>6</v>
      </c>
      <c r="C12" s="161">
        <v>100000</v>
      </c>
      <c r="D12" s="563">
        <v>0</v>
      </c>
      <c r="E12" s="398">
        <v>0</v>
      </c>
      <c r="F12" s="48" t="s">
        <v>129</v>
      </c>
      <c r="G12" s="137">
        <v>0</v>
      </c>
      <c r="H12" s="390">
        <f>G12/D10</f>
        <v>0</v>
      </c>
      <c r="I12" s="137">
        <v>0</v>
      </c>
      <c r="J12" s="392" t="s">
        <v>129</v>
      </c>
      <c r="K12" s="569">
        <v>0</v>
      </c>
      <c r="L12" s="390" t="s">
        <v>129</v>
      </c>
      <c r="M12" s="496" t="s">
        <v>129</v>
      </c>
      <c r="N12" s="569">
        <v>0</v>
      </c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2129383.63</v>
      </c>
      <c r="D13" s="152">
        <f>SUM(D11:D12)</f>
        <v>4479137.0999999996</v>
      </c>
      <c r="E13" s="84">
        <f>SUM(E11:E12)</f>
        <v>2520750.27</v>
      </c>
      <c r="F13" s="90">
        <f>E13/D13</f>
        <v>0.56277586814656788</v>
      </c>
      <c r="G13" s="84">
        <f>SUM(G11:G12)</f>
        <v>2050889.1</v>
      </c>
      <c r="H13" s="90">
        <f>G13/D13</f>
        <v>0.45787593775595758</v>
      </c>
      <c r="I13" s="84">
        <f>SUM(I11:I12)</f>
        <v>22732.11</v>
      </c>
      <c r="J13" s="170">
        <f>I13/D13</f>
        <v>5.0751092213721259E-3</v>
      </c>
      <c r="K13" s="568">
        <f t="shared" ref="K13" si="4">SUM(K11:K12)</f>
        <v>444362.11</v>
      </c>
      <c r="L13" s="90">
        <v>0.23243256534880427</v>
      </c>
      <c r="M13" s="225" t="s">
        <v>129</v>
      </c>
      <c r="N13" s="568">
        <f t="shared" ref="N13" si="5">SUM(N11:N12)</f>
        <v>0</v>
      </c>
      <c r="O13" s="90">
        <v>0</v>
      </c>
      <c r="P13" s="225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2"/>
      <c r="L14" s="86" t="s">
        <v>129</v>
      </c>
      <c r="M14" s="214" t="s">
        <v>129</v>
      </c>
      <c r="N14" s="632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3"/>
      <c r="L15" s="49" t="s">
        <v>129</v>
      </c>
      <c r="M15" s="215" t="s">
        <v>129</v>
      </c>
      <c r="N15" s="633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8">
        <f t="shared" ref="K16" si="7">SUM(K14:K15)</f>
        <v>0</v>
      </c>
      <c r="L16" s="58" t="s">
        <v>129</v>
      </c>
      <c r="M16" s="216" t="s">
        <v>129</v>
      </c>
      <c r="N16" s="568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349217889.71000004</v>
      </c>
      <c r="D17" s="154">
        <f t="shared" ref="D17:I17" si="9">+D10+D13+D16</f>
        <v>354433458.47000003</v>
      </c>
      <c r="E17" s="155">
        <f>+E10+E13+E16</f>
        <v>310388036.65999997</v>
      </c>
      <c r="F17" s="181">
        <f>E17/D17</f>
        <v>0.87573006792267005</v>
      </c>
      <c r="G17" s="155">
        <f t="shared" si="9"/>
        <v>297412997.65000004</v>
      </c>
      <c r="H17" s="181">
        <f>G17/D17</f>
        <v>0.83912224013459968</v>
      </c>
      <c r="I17" s="155">
        <f t="shared" si="9"/>
        <v>129291073.73999999</v>
      </c>
      <c r="J17" s="173">
        <f>I17/D17</f>
        <v>0.36478236083612703</v>
      </c>
      <c r="K17" s="576">
        <f t="shared" ref="K17" si="10">+K10+K13+K16</f>
        <v>269664781.94</v>
      </c>
      <c r="L17" s="181">
        <v>0.82236363950838842</v>
      </c>
      <c r="M17" s="607">
        <f t="shared" si="0"/>
        <v>0.10289892328681605</v>
      </c>
      <c r="N17" s="576">
        <f t="shared" ref="N17" si="11">+N10+N13+N16</f>
        <v>136434376.18000001</v>
      </c>
      <c r="O17" s="181">
        <v>0.41606719773442796</v>
      </c>
      <c r="P17" s="607">
        <f>+I17/N17-1</f>
        <v>-5.2357057216839142E-2</v>
      </c>
    </row>
    <row r="22" spans="1:16" x14ac:dyDescent="0.25">
      <c r="E22" s="180"/>
    </row>
    <row r="26" spans="1:16" x14ac:dyDescent="0.25">
      <c r="J26" s="522"/>
      <c r="K26" s="522"/>
      <c r="L26" s="522"/>
      <c r="M26" s="522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zoomScaleNormal="100" workbookViewId="0">
      <selection activeCell="F16" sqref="F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521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A21" sqref="A21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769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1367121.04</v>
      </c>
      <c r="D5" s="204">
        <v>1361339.78</v>
      </c>
      <c r="E5" s="30">
        <v>699338.75</v>
      </c>
      <c r="F5" s="48">
        <f>E5/D5</f>
        <v>0.51371359323680377</v>
      </c>
      <c r="G5" s="30">
        <v>699338.75</v>
      </c>
      <c r="H5" s="48">
        <f>G5/D5</f>
        <v>0.51371359323680377</v>
      </c>
      <c r="I5" s="30">
        <v>699338.75</v>
      </c>
      <c r="J5" s="153">
        <f>I5/D5</f>
        <v>0.51371359323680377</v>
      </c>
      <c r="K5" s="578"/>
      <c r="L5" s="48" t="s">
        <v>129</v>
      </c>
      <c r="M5" s="210" t="s">
        <v>129</v>
      </c>
      <c r="N5" s="578"/>
      <c r="O5" s="48" t="s">
        <v>129</v>
      </c>
      <c r="P5" s="210" t="s">
        <v>129</v>
      </c>
    </row>
    <row r="6" spans="1:16" ht="15" customHeight="1" x14ac:dyDescent="0.25">
      <c r="A6" s="23">
        <v>2</v>
      </c>
      <c r="B6" s="23" t="s">
        <v>1</v>
      </c>
      <c r="C6" s="160">
        <v>29400526.609999999</v>
      </c>
      <c r="D6" s="205">
        <v>18573368.75</v>
      </c>
      <c r="E6" s="32">
        <v>15108787.560000001</v>
      </c>
      <c r="F6" s="48">
        <f>E6/D6</f>
        <v>0.81346511574535985</v>
      </c>
      <c r="G6" s="32">
        <v>14818179.82</v>
      </c>
      <c r="H6" s="48">
        <f>G6/D6</f>
        <v>0.79781864127367852</v>
      </c>
      <c r="I6" s="32">
        <v>5024596.09</v>
      </c>
      <c r="J6" s="153">
        <f>I6/D6</f>
        <v>0.27052691181829897</v>
      </c>
      <c r="K6" s="578"/>
      <c r="L6" s="48" t="s">
        <v>129</v>
      </c>
      <c r="M6" s="210" t="s">
        <v>129</v>
      </c>
      <c r="N6" s="578"/>
      <c r="O6" s="48" t="s">
        <v>129</v>
      </c>
      <c r="P6" s="210" t="s">
        <v>129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32"/>
      <c r="L7" s="48" t="s">
        <v>129</v>
      </c>
      <c r="M7" s="212" t="s">
        <v>129</v>
      </c>
      <c r="N7" s="632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3" t="s">
        <v>3</v>
      </c>
      <c r="C8" s="160">
        <v>189398591.78</v>
      </c>
      <c r="D8" s="397">
        <v>202732060.40000001</v>
      </c>
      <c r="E8" s="398">
        <v>125586753.53</v>
      </c>
      <c r="F8" s="48">
        <f t="shared" ref="F8" si="0">E8/D8</f>
        <v>0.61947159853360811</v>
      </c>
      <c r="G8" s="398">
        <v>123645853.53</v>
      </c>
      <c r="H8" s="412">
        <f>G8/D8</f>
        <v>0.60989787844133214</v>
      </c>
      <c r="I8" s="398">
        <v>63455212.990000002</v>
      </c>
      <c r="J8" s="153">
        <f t="shared" ref="J8" si="1">I8/D8</f>
        <v>0.31300038516256307</v>
      </c>
      <c r="K8" s="635"/>
      <c r="L8" s="412" t="s">
        <v>129</v>
      </c>
      <c r="M8" s="443" t="s">
        <v>129</v>
      </c>
      <c r="N8" s="635"/>
      <c r="O8" s="412" t="s">
        <v>129</v>
      </c>
      <c r="P8" s="443" t="s">
        <v>129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21" t="s">
        <v>129</v>
      </c>
      <c r="G9" s="180"/>
      <c r="H9" s="513" t="s">
        <v>129</v>
      </c>
      <c r="I9" s="180"/>
      <c r="J9" s="517" t="s">
        <v>129</v>
      </c>
      <c r="K9" s="567"/>
      <c r="L9" s="268" t="s">
        <v>129</v>
      </c>
      <c r="M9" s="637" t="s">
        <v>129</v>
      </c>
      <c r="N9" s="567"/>
      <c r="O9" s="268" t="s">
        <v>129</v>
      </c>
      <c r="P9" s="637" t="s">
        <v>129</v>
      </c>
    </row>
    <row r="10" spans="1:16" ht="15" customHeight="1" x14ac:dyDescent="0.25">
      <c r="A10" s="9"/>
      <c r="B10" s="2" t="s">
        <v>4</v>
      </c>
      <c r="C10" s="162">
        <f>SUM(C5:C9)</f>
        <v>220166239.43000001</v>
      </c>
      <c r="D10" s="152">
        <f>SUM(D5:D9)</f>
        <v>222666768.93000001</v>
      </c>
      <c r="E10" s="84">
        <f>SUM(E5:E9)</f>
        <v>141394879.84</v>
      </c>
      <c r="F10" s="90">
        <f>E10/D10</f>
        <v>0.63500665375195908</v>
      </c>
      <c r="G10" s="84">
        <f>SUM(G5:G9)</f>
        <v>139163372.09999999</v>
      </c>
      <c r="H10" s="90">
        <f>G10/D10</f>
        <v>0.6249849170073013</v>
      </c>
      <c r="I10" s="84">
        <f>SUM(I5:I9)</f>
        <v>69179147.829999998</v>
      </c>
      <c r="J10" s="170">
        <f>I10/D10</f>
        <v>0.31068465295666964</v>
      </c>
      <c r="K10" s="568">
        <f>SUM(K5:K9)</f>
        <v>0</v>
      </c>
      <c r="L10" s="636" t="s">
        <v>129</v>
      </c>
      <c r="M10" s="213" t="s">
        <v>129</v>
      </c>
      <c r="N10" s="568">
        <f>SUM(N5:N9)</f>
        <v>0</v>
      </c>
      <c r="O10" s="90" t="s">
        <v>129</v>
      </c>
      <c r="P10" s="213" t="s">
        <v>129</v>
      </c>
    </row>
    <row r="11" spans="1:16" ht="15" customHeight="1" x14ac:dyDescent="0.25">
      <c r="A11" s="21">
        <v>6</v>
      </c>
      <c r="B11" s="21" t="s">
        <v>5</v>
      </c>
      <c r="C11" s="159"/>
      <c r="D11" s="695"/>
      <c r="E11" s="472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65"/>
      <c r="L11" s="412" t="s">
        <v>129</v>
      </c>
      <c r="M11" s="210" t="s">
        <v>129</v>
      </c>
      <c r="N11" s="565"/>
      <c r="O11" s="414" t="s">
        <v>129</v>
      </c>
      <c r="P11" s="210" t="s">
        <v>129</v>
      </c>
    </row>
    <row r="12" spans="1:16" ht="15" customHeight="1" x14ac:dyDescent="0.25">
      <c r="A12" s="24">
        <v>7</v>
      </c>
      <c r="B12" s="24" t="s">
        <v>6</v>
      </c>
      <c r="C12" s="161"/>
      <c r="D12" s="563"/>
      <c r="E12" s="398"/>
      <c r="F12" s="48" t="s">
        <v>129</v>
      </c>
      <c r="G12" s="137">
        <v>0</v>
      </c>
      <c r="H12" s="390" t="s">
        <v>129</v>
      </c>
      <c r="I12" s="137">
        <v>0</v>
      </c>
      <c r="J12" s="392" t="s">
        <v>129</v>
      </c>
      <c r="K12" s="569"/>
      <c r="L12" s="390" t="s">
        <v>129</v>
      </c>
      <c r="M12" s="496" t="s">
        <v>129</v>
      </c>
      <c r="N12" s="569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0</v>
      </c>
      <c r="D13" s="152">
        <f>SUM(D11:D12)</f>
        <v>0</v>
      </c>
      <c r="E13" s="84">
        <f>SUM(E11:E12)</f>
        <v>0</v>
      </c>
      <c r="F13" s="90" t="s">
        <v>129</v>
      </c>
      <c r="G13" s="84">
        <f>SUM(G11:G12)</f>
        <v>0</v>
      </c>
      <c r="H13" s="90" t="s">
        <v>129</v>
      </c>
      <c r="I13" s="84">
        <f>SUM(I11:I12)</f>
        <v>0</v>
      </c>
      <c r="J13" s="170" t="s">
        <v>129</v>
      </c>
      <c r="K13" s="568">
        <f t="shared" ref="K13" si="2">SUM(K11:K12)</f>
        <v>0</v>
      </c>
      <c r="L13" s="90" t="s">
        <v>129</v>
      </c>
      <c r="M13" s="225" t="s">
        <v>129</v>
      </c>
      <c r="N13" s="568">
        <f t="shared" ref="N13" si="3">SUM(N11:N12)</f>
        <v>0</v>
      </c>
      <c r="O13" s="90" t="s">
        <v>129</v>
      </c>
      <c r="P13" s="225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2"/>
      <c r="L14" s="86" t="s">
        <v>129</v>
      </c>
      <c r="M14" s="214" t="s">
        <v>129</v>
      </c>
      <c r="N14" s="632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3"/>
      <c r="L15" s="49" t="s">
        <v>129</v>
      </c>
      <c r="M15" s="215" t="s">
        <v>129</v>
      </c>
      <c r="N15" s="633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4">SUM(D14:D15)</f>
        <v>0</v>
      </c>
      <c r="E16" s="84">
        <f t="shared" si="4"/>
        <v>0</v>
      </c>
      <c r="F16" s="58" t="s">
        <v>129</v>
      </c>
      <c r="G16" s="84">
        <f t="shared" si="4"/>
        <v>0</v>
      </c>
      <c r="H16" s="58" t="s">
        <v>129</v>
      </c>
      <c r="I16" s="84">
        <f t="shared" si="4"/>
        <v>0</v>
      </c>
      <c r="J16" s="223" t="s">
        <v>129</v>
      </c>
      <c r="K16" s="568">
        <f t="shared" ref="K16" si="5">SUM(K14:K15)</f>
        <v>0</v>
      </c>
      <c r="L16" s="58" t="s">
        <v>129</v>
      </c>
      <c r="M16" s="216" t="s">
        <v>129</v>
      </c>
      <c r="N16" s="568">
        <f t="shared" ref="N16" si="6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220166239.43000001</v>
      </c>
      <c r="D17" s="154">
        <f t="shared" ref="D17:I17" si="7">+D10+D13+D16</f>
        <v>222666768.93000001</v>
      </c>
      <c r="E17" s="155">
        <f>+E10+E13+E16</f>
        <v>141394879.84</v>
      </c>
      <c r="F17" s="181">
        <f>E17/D17</f>
        <v>0.63500665375195908</v>
      </c>
      <c r="G17" s="155">
        <f t="shared" si="7"/>
        <v>139163372.09999999</v>
      </c>
      <c r="H17" s="181">
        <f>G17/D17</f>
        <v>0.6249849170073013</v>
      </c>
      <c r="I17" s="155">
        <f t="shared" si="7"/>
        <v>69179147.829999998</v>
      </c>
      <c r="J17" s="173">
        <f>I17/D17</f>
        <v>0.31068465295666964</v>
      </c>
      <c r="K17" s="576">
        <f t="shared" ref="K17" si="8">+K10+K13+K16</f>
        <v>0</v>
      </c>
      <c r="L17" s="181" t="s">
        <v>129</v>
      </c>
      <c r="M17" s="607" t="s">
        <v>129</v>
      </c>
      <c r="N17" s="576">
        <f t="shared" ref="N17" si="9">+N10+N13+N16</f>
        <v>0</v>
      </c>
      <c r="O17" s="181" t="s">
        <v>129</v>
      </c>
      <c r="P17" s="607" t="s">
        <v>129</v>
      </c>
    </row>
    <row r="22" spans="1:16" x14ac:dyDescent="0.25">
      <c r="E22" s="180"/>
    </row>
    <row r="26" spans="1:16" x14ac:dyDescent="0.25">
      <c r="J26" s="522"/>
      <c r="K26" s="522"/>
      <c r="L26" s="522"/>
      <c r="M26" s="522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5"/>
  <sheetViews>
    <sheetView topLeftCell="B6" workbookViewId="0">
      <selection activeCell="F16" sqref="F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770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Maig&amp;RDirecció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P137"/>
  <sheetViews>
    <sheetView topLeftCell="C1" zoomScaleNormal="100" workbookViewId="0">
      <selection activeCell="P8" sqref="P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109375" style="97" customWidth="1"/>
  </cols>
  <sheetData>
    <row r="1" spans="1:16" ht="14.4" thickBot="1" x14ac:dyDescent="0.3">
      <c r="A1" s="7" t="s">
        <v>522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215974006.34999999</v>
      </c>
      <c r="D5" s="204">
        <v>213241456.91999999</v>
      </c>
      <c r="E5" s="30">
        <v>85495313.450000003</v>
      </c>
      <c r="F5" s="48">
        <f>E5/D5</f>
        <v>0.40093195143604071</v>
      </c>
      <c r="G5" s="30">
        <v>85398219.439999998</v>
      </c>
      <c r="H5" s="48">
        <f>G5/D5</f>
        <v>0.40047662716935073</v>
      </c>
      <c r="I5" s="30">
        <v>84831530.439999998</v>
      </c>
      <c r="J5" s="153">
        <f>I5/D5</f>
        <v>0.39781912797484559</v>
      </c>
      <c r="K5" s="578">
        <v>107188754.04000001</v>
      </c>
      <c r="L5" s="48">
        <v>0.46194860016365324</v>
      </c>
      <c r="M5" s="210">
        <f>+G5/K5-1</f>
        <v>-0.20329123885392264</v>
      </c>
      <c r="N5" s="578">
        <v>106790736.84</v>
      </c>
      <c r="O5" s="48">
        <v>0.46023327573407319</v>
      </c>
      <c r="P5" s="210">
        <f>+I5/N5-1</f>
        <v>-0.20562838172846909</v>
      </c>
    </row>
    <row r="6" spans="1:16" ht="15" customHeight="1" x14ac:dyDescent="0.25">
      <c r="A6" s="23">
        <v>2</v>
      </c>
      <c r="B6" s="23" t="s">
        <v>1</v>
      </c>
      <c r="C6" s="161">
        <v>21233753.199999999</v>
      </c>
      <c r="D6" s="205">
        <v>21416665.039999999</v>
      </c>
      <c r="E6" s="32">
        <v>15623775.41</v>
      </c>
      <c r="F6" s="48">
        <f>E6/D6</f>
        <v>0.72951486054525327</v>
      </c>
      <c r="G6" s="32">
        <v>14088912.449999999</v>
      </c>
      <c r="H6" s="48">
        <f>G6/D6</f>
        <v>0.6578481021058169</v>
      </c>
      <c r="I6" s="32">
        <v>4081206.95</v>
      </c>
      <c r="J6" s="153">
        <f>I6/D6</f>
        <v>0.19056220669172871</v>
      </c>
      <c r="K6" s="579">
        <v>13220469.99</v>
      </c>
      <c r="L6" s="280">
        <v>0.64842434251099956</v>
      </c>
      <c r="M6" s="211">
        <f>+G6/K6-1</f>
        <v>6.5689227437216058E-2</v>
      </c>
      <c r="N6" s="579">
        <v>3867496.93</v>
      </c>
      <c r="O6" s="280">
        <v>0.1896891075654232</v>
      </c>
      <c r="P6" s="211">
        <f>+I6/N6-1</f>
        <v>5.5257967586803014E-2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6"/>
      <c r="L7" s="280" t="s">
        <v>129</v>
      </c>
      <c r="M7" s="212" t="s">
        <v>129</v>
      </c>
      <c r="N7" s="566"/>
      <c r="O7" s="280" t="s">
        <v>129</v>
      </c>
      <c r="P7" s="211" t="s">
        <v>129</v>
      </c>
    </row>
    <row r="8" spans="1:16" ht="15" customHeight="1" x14ac:dyDescent="0.25">
      <c r="A8" s="24">
        <v>4</v>
      </c>
      <c r="B8" s="24" t="s">
        <v>3</v>
      </c>
      <c r="C8" s="161">
        <v>2776443.64</v>
      </c>
      <c r="D8" s="206">
        <v>3204921.56</v>
      </c>
      <c r="E8" s="34">
        <v>3091246.52</v>
      </c>
      <c r="F8" s="390">
        <f>E8/D8</f>
        <v>0.96453110072372561</v>
      </c>
      <c r="G8" s="34">
        <v>3091246.52</v>
      </c>
      <c r="H8" s="390">
        <f>G8/D8</f>
        <v>0.96453110072372561</v>
      </c>
      <c r="I8" s="34">
        <v>3084999.76</v>
      </c>
      <c r="J8" s="392">
        <f>I8/D8</f>
        <v>0.96258198593790223</v>
      </c>
      <c r="K8" s="580">
        <v>26120.75</v>
      </c>
      <c r="L8" s="390">
        <v>9.8684415458421462E-3</v>
      </c>
      <c r="M8" s="443">
        <f t="shared" ref="M8:M12" si="0">+G8/K8-1</f>
        <v>117.34447785764192</v>
      </c>
      <c r="N8" s="580">
        <v>21204.57</v>
      </c>
      <c r="O8" s="390">
        <v>8.0111045643680972E-3</v>
      </c>
      <c r="P8" s="520">
        <f>+I8/N8-1</f>
        <v>144.48749444105681</v>
      </c>
    </row>
    <row r="9" spans="1:16" ht="15" customHeight="1" x14ac:dyDescent="0.25">
      <c r="A9" s="9"/>
      <c r="B9" s="2" t="s">
        <v>4</v>
      </c>
      <c r="C9" s="162">
        <f>SUM(C5:C8)</f>
        <v>239984203.18999997</v>
      </c>
      <c r="D9" s="152">
        <f t="shared" ref="D9:I9" si="1">SUM(D5:D8)</f>
        <v>237863043.51999998</v>
      </c>
      <c r="E9" s="84">
        <f t="shared" si="1"/>
        <v>104210335.38</v>
      </c>
      <c r="F9" s="90">
        <f>E9/D9</f>
        <v>0.43811066165575985</v>
      </c>
      <c r="G9" s="84">
        <f t="shared" si="1"/>
        <v>102578378.41</v>
      </c>
      <c r="H9" s="90">
        <f>G9/D9</f>
        <v>0.43124975150406253</v>
      </c>
      <c r="I9" s="84">
        <f t="shared" si="1"/>
        <v>91997737.150000006</v>
      </c>
      <c r="J9" s="170">
        <f>I9/D9</f>
        <v>0.38676767852869359</v>
      </c>
      <c r="K9" s="568">
        <f t="shared" ref="K9" si="2">SUM(K5:K8)</f>
        <v>120435344.78</v>
      </c>
      <c r="L9" s="90">
        <v>0.47216287365142945</v>
      </c>
      <c r="M9" s="213">
        <f t="shared" si="0"/>
        <v>-0.14827014779273839</v>
      </c>
      <c r="N9" s="568">
        <f t="shared" ref="N9" si="3">SUM(N5:N8)</f>
        <v>110679438.34</v>
      </c>
      <c r="O9" s="90">
        <v>0.43391515801446767</v>
      </c>
      <c r="P9" s="213">
        <f>+I9/N9-1</f>
        <v>-0.16879107330316434</v>
      </c>
    </row>
    <row r="10" spans="1:16" ht="15" customHeight="1" x14ac:dyDescent="0.25">
      <c r="A10" s="21">
        <v>6</v>
      </c>
      <c r="B10" s="21" t="s">
        <v>5</v>
      </c>
      <c r="C10" s="159">
        <v>1373491.25</v>
      </c>
      <c r="D10" s="204">
        <v>2127827.34</v>
      </c>
      <c r="E10" s="30">
        <v>1342896.21</v>
      </c>
      <c r="F10" s="414">
        <f>E10/D10</f>
        <v>0.63111145568794136</v>
      </c>
      <c r="G10" s="30">
        <v>1060468.28</v>
      </c>
      <c r="H10" s="414">
        <f>G10/D10</f>
        <v>0.49838079437403981</v>
      </c>
      <c r="I10" s="136">
        <v>190250.86</v>
      </c>
      <c r="J10" s="431">
        <f>I10/D10</f>
        <v>8.9410854172030707E-2</v>
      </c>
      <c r="K10" s="565">
        <v>1912530.54</v>
      </c>
      <c r="L10" s="48">
        <v>0.32381237877927965</v>
      </c>
      <c r="M10" s="224">
        <f t="shared" si="0"/>
        <v>-0.44551563605358169</v>
      </c>
      <c r="N10" s="565">
        <v>546078.23</v>
      </c>
      <c r="O10" s="48">
        <v>9.2457028506263E-2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69"/>
      <c r="L11" s="49" t="s">
        <v>129</v>
      </c>
      <c r="M11" s="215" t="s">
        <v>129</v>
      </c>
      <c r="N11" s="569"/>
      <c r="O11" s="49" t="s">
        <v>129</v>
      </c>
      <c r="P11" s="215" t="s">
        <v>129</v>
      </c>
    </row>
    <row r="12" spans="1:16" ht="15" customHeight="1" x14ac:dyDescent="0.25">
      <c r="A12" s="9"/>
      <c r="B12" s="2" t="s">
        <v>7</v>
      </c>
      <c r="C12" s="162">
        <f>SUM(C10:C11)</f>
        <v>1373491.25</v>
      </c>
      <c r="D12" s="152">
        <f t="shared" ref="D12:I12" si="4">SUM(D10:D11)</f>
        <v>2127827.34</v>
      </c>
      <c r="E12" s="84">
        <f t="shared" si="4"/>
        <v>1342896.21</v>
      </c>
      <c r="F12" s="90">
        <f>E12/D12</f>
        <v>0.63111145568794136</v>
      </c>
      <c r="G12" s="84">
        <f t="shared" si="4"/>
        <v>1060468.28</v>
      </c>
      <c r="H12" s="90">
        <f>G12/D12</f>
        <v>0.49838079437403981</v>
      </c>
      <c r="I12" s="84">
        <f t="shared" si="4"/>
        <v>190250.86</v>
      </c>
      <c r="J12" s="170">
        <f>I12/D12</f>
        <v>8.9410854172030707E-2</v>
      </c>
      <c r="K12" s="568">
        <f t="shared" ref="K12" si="5">SUM(K10:K11)</f>
        <v>1912530.54</v>
      </c>
      <c r="L12" s="90">
        <v>0.32381237877927965</v>
      </c>
      <c r="M12" s="213">
        <f t="shared" si="0"/>
        <v>-0.44551563605358169</v>
      </c>
      <c r="N12" s="568">
        <f t="shared" ref="N12" si="6">SUM(N10:N11)</f>
        <v>546078.23</v>
      </c>
      <c r="O12" s="90">
        <v>9.2457028506263E-2</v>
      </c>
      <c r="P12" s="213">
        <f>+I12/N12-1</f>
        <v>-0.65160511892224671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65"/>
      <c r="L13" s="86" t="s">
        <v>129</v>
      </c>
      <c r="M13" s="214" t="s">
        <v>129</v>
      </c>
      <c r="N13" s="565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69"/>
      <c r="L14" s="49" t="s">
        <v>129</v>
      </c>
      <c r="M14" s="215" t="s">
        <v>129</v>
      </c>
      <c r="N14" s="569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8">
        <f t="shared" ref="K15" si="8">SUM(K13:K14)</f>
        <v>0</v>
      </c>
      <c r="L15" s="58" t="s">
        <v>129</v>
      </c>
      <c r="M15" s="216" t="s">
        <v>129</v>
      </c>
      <c r="N15" s="568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239990870.85999998</v>
      </c>
      <c r="E16" s="155">
        <f t="shared" si="10"/>
        <v>105553231.58999999</v>
      </c>
      <c r="F16" s="181">
        <f>E16/D16</f>
        <v>0.43982186160562353</v>
      </c>
      <c r="G16" s="155">
        <f t="shared" si="10"/>
        <v>103638846.69</v>
      </c>
      <c r="H16" s="181">
        <f>G16/D16</f>
        <v>0.43184495442936366</v>
      </c>
      <c r="I16" s="155">
        <f t="shared" si="10"/>
        <v>92187988.010000005</v>
      </c>
      <c r="J16" s="173">
        <f>I16/D16</f>
        <v>0.38413122832400731</v>
      </c>
      <c r="K16" s="576">
        <f t="shared" ref="K16" si="11">+K9+K12+K15</f>
        <v>122347875.32000001</v>
      </c>
      <c r="L16" s="181">
        <v>0.46880549601068472</v>
      </c>
      <c r="M16" s="607">
        <f>+G16/K16-1</f>
        <v>-0.15291666145461602</v>
      </c>
      <c r="N16" s="576">
        <f t="shared" ref="N16" si="12">+N9+N12+N15</f>
        <v>111225516.57000001</v>
      </c>
      <c r="O16" s="181">
        <v>0.4261874865277675</v>
      </c>
      <c r="P16" s="607">
        <f>+I16/N16-1</f>
        <v>-0.17116152072909185</v>
      </c>
    </row>
    <row r="20" spans="5:5" x14ac:dyDescent="0.25">
      <c r="E20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35"/>
  <sheetViews>
    <sheetView zoomScaleNormal="100" workbookViewId="0">
      <selection activeCell="O16" sqref="O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109375" style="97" bestFit="1" customWidth="1"/>
  </cols>
  <sheetData>
    <row r="2" spans="1:15" ht="13.8" x14ac:dyDescent="0.25">
      <c r="B2" s="7" t="s">
        <v>522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9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P137"/>
  <sheetViews>
    <sheetView topLeftCell="C1" zoomScaleNormal="100" workbookViewId="0">
      <selection activeCell="J20" sqref="J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customWidth="1"/>
    <col min="17" max="17" width="4.44140625" customWidth="1"/>
  </cols>
  <sheetData>
    <row r="1" spans="1:16" ht="14.4" thickBot="1" x14ac:dyDescent="0.3">
      <c r="A1" s="7" t="s">
        <v>523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11259133.869999999</v>
      </c>
      <c r="D5" s="204">
        <v>11956875.960000001</v>
      </c>
      <c r="E5" s="30">
        <v>5081206.24</v>
      </c>
      <c r="F5" s="48">
        <f>E5/D5</f>
        <v>0.42496102301290412</v>
      </c>
      <c r="G5" s="30">
        <v>5038786.24</v>
      </c>
      <c r="H5" s="48">
        <f>G5/D5</f>
        <v>0.4214132735721714</v>
      </c>
      <c r="I5" s="30">
        <v>5038786.24</v>
      </c>
      <c r="J5" s="153">
        <f>I5/D5</f>
        <v>0.4214132735721714</v>
      </c>
      <c r="K5" s="578">
        <v>5631151.6299999999</v>
      </c>
      <c r="L5" s="48">
        <v>0.47685168954263435</v>
      </c>
      <c r="M5" s="210">
        <f>+G5/K5-1</f>
        <v>-0.1051943596837579</v>
      </c>
      <c r="N5" s="30">
        <v>5631151.6299999999</v>
      </c>
      <c r="O5" s="48">
        <v>0.47685168954263435</v>
      </c>
      <c r="P5" s="210">
        <f>+I5/N5-1</f>
        <v>-0.1051943596837579</v>
      </c>
    </row>
    <row r="6" spans="1:16" ht="15" customHeight="1" x14ac:dyDescent="0.25">
      <c r="A6" s="23">
        <v>2</v>
      </c>
      <c r="B6" s="23" t="s">
        <v>1</v>
      </c>
      <c r="C6" s="160">
        <v>6412027.9500000002</v>
      </c>
      <c r="D6" s="205">
        <v>9384940.0600000005</v>
      </c>
      <c r="E6" s="32">
        <v>8259566.4900000002</v>
      </c>
      <c r="F6" s="48">
        <f>E6/D6</f>
        <v>0.88008729274718456</v>
      </c>
      <c r="G6" s="32">
        <v>5040689.07</v>
      </c>
      <c r="H6" s="48">
        <f>G6/D6</f>
        <v>0.53710402386949285</v>
      </c>
      <c r="I6" s="32">
        <v>1795742.96</v>
      </c>
      <c r="J6" s="153">
        <f>I6/D6</f>
        <v>0.19134303986167386</v>
      </c>
      <c r="K6" s="579">
        <v>4111657.72</v>
      </c>
      <c r="L6" s="280">
        <v>0.63808213069436359</v>
      </c>
      <c r="M6" s="211">
        <f>+G6/K6-1</f>
        <v>0.22595055650692641</v>
      </c>
      <c r="N6" s="32">
        <v>1417915.83</v>
      </c>
      <c r="O6" s="280">
        <v>0.22004427789569678</v>
      </c>
      <c r="P6" s="211">
        <f>+I6/N6-1</f>
        <v>0.26646654336315567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6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32506022.739999998</v>
      </c>
      <c r="D8" s="206">
        <v>33462322.739999998</v>
      </c>
      <c r="E8" s="34">
        <v>21475998.800000001</v>
      </c>
      <c r="F8" s="390">
        <f>E8/D8</f>
        <v>0.6417964158336249</v>
      </c>
      <c r="G8" s="34">
        <v>21090723.649999999</v>
      </c>
      <c r="H8" s="390">
        <f>G8/D8</f>
        <v>0.63028271569411087</v>
      </c>
      <c r="I8" s="34">
        <v>10451205.550000001</v>
      </c>
      <c r="J8" s="392">
        <f>I8/D8</f>
        <v>0.31232755810782076</v>
      </c>
      <c r="K8" s="580">
        <v>21684632.260000002</v>
      </c>
      <c r="L8" s="390">
        <v>0.75926853195403354</v>
      </c>
      <c r="M8" s="520">
        <f>+G8/K8-1</f>
        <v>-2.7388456621214696E-2</v>
      </c>
      <c r="N8" s="694">
        <v>12687142.75</v>
      </c>
      <c r="O8" s="390">
        <v>0.44422926499209903</v>
      </c>
      <c r="P8" s="520">
        <f>+I8/N8-1</f>
        <v>-0.1762364658504374</v>
      </c>
    </row>
    <row r="9" spans="1:16" ht="15" customHeight="1" x14ac:dyDescent="0.25">
      <c r="A9" s="9"/>
      <c r="B9" s="2" t="s">
        <v>4</v>
      </c>
      <c r="C9" s="162">
        <f>SUM(C5:C8)</f>
        <v>50177184.560000002</v>
      </c>
      <c r="D9" s="152">
        <f t="shared" ref="D9:I9" si="0">SUM(D5:D8)</f>
        <v>54804138.760000005</v>
      </c>
      <c r="E9" s="84">
        <f t="shared" si="0"/>
        <v>34816771.530000001</v>
      </c>
      <c r="F9" s="90">
        <f>E9/D9</f>
        <v>0.63529456566174125</v>
      </c>
      <c r="G9" s="84">
        <f t="shared" si="0"/>
        <v>31170198.960000001</v>
      </c>
      <c r="H9" s="90">
        <f>G9/D9</f>
        <v>0.56875629587943177</v>
      </c>
      <c r="I9" s="84">
        <f t="shared" si="0"/>
        <v>17285734.75</v>
      </c>
      <c r="J9" s="170">
        <f>I9/D9</f>
        <v>0.31540929464649065</v>
      </c>
      <c r="K9" s="568">
        <f t="shared" ref="K9" si="1">SUM(K5:K8)</f>
        <v>31427441.609999999</v>
      </c>
      <c r="L9" s="90">
        <v>0.67134442565755093</v>
      </c>
      <c r="M9" s="213">
        <f t="shared" ref="M9" si="2">+G9/K9-1</f>
        <v>-8.1852876601367086E-3</v>
      </c>
      <c r="N9" s="84">
        <f t="shared" ref="N9" si="3">SUM(N5:N8)</f>
        <v>19736210.210000001</v>
      </c>
      <c r="O9" s="90">
        <v>0.42159953306135961</v>
      </c>
      <c r="P9" s="213">
        <f>+I9/N9-1</f>
        <v>-0.1241613984613108</v>
      </c>
    </row>
    <row r="10" spans="1:16" ht="15" customHeight="1" x14ac:dyDescent="0.25">
      <c r="A10" s="21">
        <v>6</v>
      </c>
      <c r="B10" s="21" t="s">
        <v>5</v>
      </c>
      <c r="C10" s="159">
        <v>8537936.3300000001</v>
      </c>
      <c r="D10" s="204">
        <v>6973325.1600000001</v>
      </c>
      <c r="E10" s="30">
        <v>6838115.1600000001</v>
      </c>
      <c r="F10" s="48">
        <f>E10/D10</f>
        <v>0.98061039792385074</v>
      </c>
      <c r="G10" s="30">
        <v>6724248.1100000003</v>
      </c>
      <c r="H10" s="48">
        <f>G10/D10</f>
        <v>0.96428145192070758</v>
      </c>
      <c r="I10" s="30">
        <v>43940.1</v>
      </c>
      <c r="J10" s="153">
        <f>I10/D10</f>
        <v>6.3011689533777598E-3</v>
      </c>
      <c r="K10" s="565">
        <v>2254093</v>
      </c>
      <c r="L10" s="48">
        <v>0.66704470422846784</v>
      </c>
      <c r="M10" s="210">
        <f>+G10/K10-1</f>
        <v>1.9831280741300383</v>
      </c>
      <c r="N10" s="30">
        <v>1820837.73</v>
      </c>
      <c r="O10" s="48">
        <v>0.53883320921358824</v>
      </c>
      <c r="P10" s="210">
        <f>+I10/N10-1</f>
        <v>-0.97586819556951954</v>
      </c>
    </row>
    <row r="11" spans="1:16" ht="15" customHeight="1" x14ac:dyDescent="0.25">
      <c r="A11" s="24">
        <v>7</v>
      </c>
      <c r="B11" s="24" t="s">
        <v>6</v>
      </c>
      <c r="C11" s="161">
        <v>6500000</v>
      </c>
      <c r="D11" s="206">
        <v>5824714.04</v>
      </c>
      <c r="E11" s="34">
        <v>194447</v>
      </c>
      <c r="F11" s="78">
        <f>E11/D11</f>
        <v>3.3383098065360134E-2</v>
      </c>
      <c r="G11" s="56">
        <v>194447</v>
      </c>
      <c r="H11" s="78">
        <f>G11/D11</f>
        <v>3.3383098065360134E-2</v>
      </c>
      <c r="I11" s="56">
        <v>0</v>
      </c>
      <c r="J11" s="172">
        <f>I11/D11</f>
        <v>0</v>
      </c>
      <c r="K11" s="569">
        <v>0</v>
      </c>
      <c r="L11" s="390">
        <v>0</v>
      </c>
      <c r="M11" s="245" t="s">
        <v>129</v>
      </c>
      <c r="N11" s="56">
        <v>0</v>
      </c>
      <c r="O11" s="390">
        <v>0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15037936.33</v>
      </c>
      <c r="D12" s="152">
        <f t="shared" ref="D12:I12" si="4">SUM(D10:D11)</f>
        <v>12798039.199999999</v>
      </c>
      <c r="E12" s="84">
        <f t="shared" si="4"/>
        <v>7032562.1600000001</v>
      </c>
      <c r="F12" s="90">
        <f>E12/D12</f>
        <v>0.54950309575548106</v>
      </c>
      <c r="G12" s="84">
        <f t="shared" si="4"/>
        <v>6918695.1100000003</v>
      </c>
      <c r="H12" s="90">
        <f>G12/D12</f>
        <v>0.54060586953038869</v>
      </c>
      <c r="I12" s="84">
        <f t="shared" si="4"/>
        <v>43940.1</v>
      </c>
      <c r="J12" s="170">
        <f>I12/D12</f>
        <v>3.4333462582299325E-3</v>
      </c>
      <c r="K12" s="568">
        <f t="shared" ref="K12" si="5">SUM(K10:K11)</f>
        <v>2254093</v>
      </c>
      <c r="L12" s="90">
        <v>6.6708101144944076E-2</v>
      </c>
      <c r="M12" s="213">
        <f>+G12/K12-1</f>
        <v>2.0693920392814316</v>
      </c>
      <c r="N12" s="84">
        <f t="shared" ref="N12" si="6">SUM(N10:N11)</f>
        <v>1820837.73</v>
      </c>
      <c r="O12" s="90">
        <v>5.3886253788716962E-2</v>
      </c>
      <c r="P12" s="213">
        <f>+I12/N12-1</f>
        <v>-0.97586819556951954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65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8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67602177.960000008</v>
      </c>
      <c r="E16" s="155">
        <f t="shared" si="10"/>
        <v>41849333.689999998</v>
      </c>
      <c r="F16" s="181">
        <f>E16/D16</f>
        <v>0.61905303871662409</v>
      </c>
      <c r="G16" s="155">
        <f t="shared" si="10"/>
        <v>38088894.07</v>
      </c>
      <c r="H16" s="181">
        <f>G16/D16</f>
        <v>0.56342702586501103</v>
      </c>
      <c r="I16" s="155">
        <f t="shared" si="10"/>
        <v>17329674.850000001</v>
      </c>
      <c r="J16" s="173">
        <f>I16/D16</f>
        <v>0.2563478777304174</v>
      </c>
      <c r="K16" s="576">
        <f t="shared" ref="K16" si="11">+K9+K12+K15</f>
        <v>33681534.609999999</v>
      </c>
      <c r="L16" s="181">
        <v>0.41786903330236974</v>
      </c>
      <c r="M16" s="607">
        <f>+G16/K16-1</f>
        <v>0.13085387916652302</v>
      </c>
      <c r="N16" s="155">
        <f t="shared" ref="N16" si="12">+N9+N12+N15</f>
        <v>21557047.940000001</v>
      </c>
      <c r="O16" s="181">
        <v>0.26744692270839027</v>
      </c>
      <c r="P16" s="607">
        <f>+I16/N16-1</f>
        <v>-0.19610166947562113</v>
      </c>
    </row>
    <row r="19" spans="5:7" x14ac:dyDescent="0.25">
      <c r="G19" s="690"/>
    </row>
    <row r="20" spans="5:7" x14ac:dyDescent="0.25">
      <c r="E20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opLeftCell="A3" zoomScaleNormal="100" workbookViewId="0">
      <selection activeCell="A2" sqref="A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4.44140625" customWidth="1"/>
  </cols>
  <sheetData>
    <row r="1" spans="1:13" ht="13.8" x14ac:dyDescent="0.25">
      <c r="A1" s="7" t="s">
        <v>523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P137"/>
  <sheetViews>
    <sheetView topLeftCell="C1" zoomScaleNormal="100" workbookViewId="0">
      <selection activeCell="J16" sqref="J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7.88671875" style="97" bestFit="1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524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76">
        <v>1614150.9</v>
      </c>
      <c r="D5" s="204">
        <v>1517039.96</v>
      </c>
      <c r="E5" s="180">
        <v>652514.25</v>
      </c>
      <c r="F5" s="48">
        <f>E5/D5</f>
        <v>0.43012331066084775</v>
      </c>
      <c r="G5" s="180">
        <v>652514.25</v>
      </c>
      <c r="H5" s="48">
        <f>G5/D5</f>
        <v>0.43012331066084775</v>
      </c>
      <c r="I5" s="180">
        <v>652514.25</v>
      </c>
      <c r="J5" s="153">
        <f>I5/D5</f>
        <v>0.43012331066084775</v>
      </c>
      <c r="K5" s="180">
        <v>930255.52</v>
      </c>
      <c r="L5" s="48">
        <v>0.48401332591993906</v>
      </c>
      <c r="M5" s="210">
        <f>+G5/K5-1</f>
        <v>-0.29856449548399344</v>
      </c>
      <c r="N5" s="689">
        <v>930255.52</v>
      </c>
      <c r="O5" s="48">
        <v>0.48401332591993906</v>
      </c>
      <c r="P5" s="210">
        <f>+I5/N5-1</f>
        <v>-0.29856449548399344</v>
      </c>
    </row>
    <row r="6" spans="1:16" ht="15" customHeight="1" x14ac:dyDescent="0.25">
      <c r="A6" s="23">
        <v>2</v>
      </c>
      <c r="B6" s="23" t="s">
        <v>1</v>
      </c>
      <c r="C6" s="161">
        <v>221665018.94999999</v>
      </c>
      <c r="D6" s="206">
        <v>221665018.94999999</v>
      </c>
      <c r="E6" s="34">
        <v>207428812.88</v>
      </c>
      <c r="F6" s="48">
        <f>E6/D6</f>
        <v>0.93577603657340636</v>
      </c>
      <c r="G6" s="34">
        <v>206408670.84</v>
      </c>
      <c r="H6" s="48">
        <f>G6/D6</f>
        <v>0.93117385782263962</v>
      </c>
      <c r="I6" s="34">
        <v>48600710.759999998</v>
      </c>
      <c r="J6" s="153">
        <f>I6/D6</f>
        <v>0.2192529565116571</v>
      </c>
      <c r="K6" s="34">
        <v>205802912.99000001</v>
      </c>
      <c r="L6" s="280">
        <v>0.92974076093807156</v>
      </c>
      <c r="M6" s="210">
        <f>+G6/K6-1</f>
        <v>2.9433881241001103E-3</v>
      </c>
      <c r="N6" s="34">
        <v>45291874.229999997</v>
      </c>
      <c r="O6" s="280">
        <v>0.20461178609730246</v>
      </c>
      <c r="P6" s="210">
        <f t="shared" ref="P6:P12" si="0">+I6/N6-1</f>
        <v>7.305585353339894E-2</v>
      </c>
    </row>
    <row r="7" spans="1:16" ht="15" customHeight="1" x14ac:dyDescent="0.25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59943428.420000002</v>
      </c>
      <c r="D8" s="206">
        <v>60541679.600000001</v>
      </c>
      <c r="E8" s="34">
        <v>60431603.210000001</v>
      </c>
      <c r="F8" s="390">
        <f>E8/D8</f>
        <v>0.99818180812413404</v>
      </c>
      <c r="G8" s="80">
        <v>60351603.210000001</v>
      </c>
      <c r="H8" s="78">
        <f t="shared" ref="H8" si="1">G8/D8</f>
        <v>0.99686040441468027</v>
      </c>
      <c r="I8" s="34">
        <v>19336369.559999999</v>
      </c>
      <c r="J8" s="392">
        <f>I8/D8</f>
        <v>0.31938938079940549</v>
      </c>
      <c r="K8" s="34">
        <v>62788364.670000002</v>
      </c>
      <c r="L8" s="390">
        <v>0.92893303891759627</v>
      </c>
      <c r="M8" s="520">
        <f>+G8/K8-1</f>
        <v>-3.8809124474048828E-2</v>
      </c>
      <c r="N8" s="34">
        <v>24068310.620000001</v>
      </c>
      <c r="O8" s="390">
        <v>0.35608267619895084</v>
      </c>
      <c r="P8" s="210">
        <f t="shared" si="0"/>
        <v>-0.19660461985511812</v>
      </c>
    </row>
    <row r="9" spans="1:16" ht="15" customHeight="1" x14ac:dyDescent="0.25">
      <c r="A9" s="9"/>
      <c r="B9" s="2" t="s">
        <v>4</v>
      </c>
      <c r="C9" s="162">
        <f>SUM(C5:C8)</f>
        <v>283222598.26999998</v>
      </c>
      <c r="D9" s="152">
        <f t="shared" ref="D9:I9" si="2">SUM(D5:D8)</f>
        <v>283723738.50999999</v>
      </c>
      <c r="E9" s="84">
        <f t="shared" si="2"/>
        <v>268512930.33999997</v>
      </c>
      <c r="F9" s="90">
        <f>E9/D9</f>
        <v>0.94638866578496073</v>
      </c>
      <c r="G9" s="84">
        <f>SUM(G5:G8)</f>
        <v>267412788.30000001</v>
      </c>
      <c r="H9" s="90">
        <f>G9/D9</f>
        <v>0.94251115435155919</v>
      </c>
      <c r="I9" s="84">
        <f t="shared" si="2"/>
        <v>68589594.569999993</v>
      </c>
      <c r="J9" s="170">
        <f>I9/D9</f>
        <v>0.24174781754323499</v>
      </c>
      <c r="K9" s="84">
        <f>SUM(K5:K8)</f>
        <v>269521533.18000001</v>
      </c>
      <c r="L9" s="90">
        <v>0.92660784945088936</v>
      </c>
      <c r="M9" s="213">
        <f t="shared" ref="M9" si="3">+G9/K9-1</f>
        <v>-7.8240311826649478E-3</v>
      </c>
      <c r="N9" s="84">
        <f t="shared" ref="N9" si="4">SUM(N5:N8)</f>
        <v>70290440.370000005</v>
      </c>
      <c r="O9" s="90">
        <v>0.24165666104571867</v>
      </c>
      <c r="P9" s="213">
        <f>+I9/N9-1</f>
        <v>-2.4197398551594973E-2</v>
      </c>
    </row>
    <row r="10" spans="1:16" ht="15" customHeight="1" x14ac:dyDescent="0.25">
      <c r="A10" s="21">
        <v>6</v>
      </c>
      <c r="B10" s="21" t="s">
        <v>5</v>
      </c>
      <c r="C10" s="159">
        <v>3452456.25</v>
      </c>
      <c r="D10" s="204">
        <v>3213419.16</v>
      </c>
      <c r="E10" s="30">
        <v>2775996.31</v>
      </c>
      <c r="F10" s="48">
        <f>E10/D10</f>
        <v>0.86387619285869943</v>
      </c>
      <c r="G10" s="136">
        <v>2550846.31</v>
      </c>
      <c r="H10" s="48">
        <f>G10/D10</f>
        <v>0.79381063689182707</v>
      </c>
      <c r="I10" s="136">
        <v>28472.02</v>
      </c>
      <c r="J10" s="153">
        <f>I10/D10</f>
        <v>8.8603504810122555E-3</v>
      </c>
      <c r="K10" s="136">
        <v>7786.29</v>
      </c>
      <c r="L10" s="48">
        <v>1.8618871643182944E-3</v>
      </c>
      <c r="M10" s="224">
        <f>+G10/K10-1</f>
        <v>326.60741123179332</v>
      </c>
      <c r="N10" s="136">
        <v>7480.02</v>
      </c>
      <c r="O10" s="48">
        <v>1.7886507215688254E-3</v>
      </c>
      <c r="P10" s="224">
        <f t="shared" si="0"/>
        <v>2.8064096085304584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/>
      <c r="J11" s="172" t="s">
        <v>129</v>
      </c>
      <c r="K11" s="137">
        <v>200000</v>
      </c>
      <c r="L11" s="48">
        <v>1</v>
      </c>
      <c r="M11" s="224">
        <f>+G11/K11-1</f>
        <v>-1</v>
      </c>
      <c r="N11" s="137">
        <v>0</v>
      </c>
      <c r="O11" s="28">
        <v>0</v>
      </c>
      <c r="P11" s="559" t="s">
        <v>129</v>
      </c>
    </row>
    <row r="12" spans="1:16" ht="15" customHeight="1" x14ac:dyDescent="0.25">
      <c r="A12" s="9"/>
      <c r="B12" s="2" t="s">
        <v>7</v>
      </c>
      <c r="C12" s="162">
        <f>SUM(C10:C11)</f>
        <v>3452456.25</v>
      </c>
      <c r="D12" s="152">
        <f t="shared" ref="D12:I12" si="5">SUM(D10:D11)</f>
        <v>3213419.16</v>
      </c>
      <c r="E12" s="84">
        <f t="shared" si="5"/>
        <v>2775996.31</v>
      </c>
      <c r="F12" s="90">
        <f>E12/D12</f>
        <v>0.86387619285869943</v>
      </c>
      <c r="G12" s="84">
        <f>SUM(G10:G11)</f>
        <v>2550846.31</v>
      </c>
      <c r="H12" s="90">
        <f>G12/D12</f>
        <v>0.79381063689182707</v>
      </c>
      <c r="I12" s="84">
        <f t="shared" si="5"/>
        <v>28472.02</v>
      </c>
      <c r="J12" s="170">
        <f>I12/D12</f>
        <v>8.8603504810122555E-3</v>
      </c>
      <c r="K12" s="84">
        <f>SUM(K10:K11)</f>
        <v>207786.29</v>
      </c>
      <c r="L12" s="90">
        <v>4.741884988643634E-2</v>
      </c>
      <c r="M12" s="225">
        <f>+G12/K12-1</f>
        <v>11.276297488154777</v>
      </c>
      <c r="N12" s="84">
        <f t="shared" ref="N12" si="6">SUM(N10:N11)</f>
        <v>7480.02</v>
      </c>
      <c r="O12" s="90">
        <v>1.7070132275211305E-3</v>
      </c>
      <c r="P12" s="225">
        <f t="shared" si="0"/>
        <v>2.8064096085304584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286937157.67000002</v>
      </c>
      <c r="E16" s="155">
        <f t="shared" si="10"/>
        <v>271288926.64999998</v>
      </c>
      <c r="F16" s="181">
        <f>E16/D16</f>
        <v>0.94546460574479962</v>
      </c>
      <c r="G16" s="155">
        <f t="shared" si="10"/>
        <v>269963634.61000001</v>
      </c>
      <c r="H16" s="181">
        <f>G16/D16</f>
        <v>0.94084585210981675</v>
      </c>
      <c r="I16" s="155">
        <f t="shared" si="10"/>
        <v>68618066.589999989</v>
      </c>
      <c r="J16" s="173">
        <f>I16/D16</f>
        <v>0.23913970273907881</v>
      </c>
      <c r="K16" s="155">
        <f t="shared" ref="K16" si="11">+K9+K12+K15</f>
        <v>269729319.47000003</v>
      </c>
      <c r="L16" s="181">
        <v>0.91355946384528297</v>
      </c>
      <c r="M16" s="607">
        <f>+G16/K16-1</f>
        <v>8.6870474615219351E-4</v>
      </c>
      <c r="N16" s="155">
        <f t="shared" ref="N16" si="12">+N9+N12+N15</f>
        <v>70297920.390000001</v>
      </c>
      <c r="O16" s="181">
        <v>0.23809547507522499</v>
      </c>
      <c r="P16" s="607">
        <f>+I16/N16-1</f>
        <v>-2.3896209029804716E-2</v>
      </c>
    </row>
    <row r="20" spans="5:5" x14ac:dyDescent="0.25">
      <c r="E20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topLeftCell="B1" zoomScaleNormal="100" workbookViewId="0">
      <selection activeCell="I12" sqref="I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51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topLeftCell="A8" zoomScaleNormal="100" workbookViewId="0">
      <selection activeCell="E19" sqref="E19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" style="97" bestFit="1" customWidth="1"/>
  </cols>
  <sheetData>
    <row r="1" spans="1:15" ht="13.8" x14ac:dyDescent="0.25">
      <c r="A1" s="7" t="s">
        <v>535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9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zoomScaleNormal="100" workbookViewId="0">
      <selection activeCell="J16" sqref="J1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44140625" style="46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525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590327.65</v>
      </c>
      <c r="D5" s="204">
        <v>601736.19999999995</v>
      </c>
      <c r="E5" s="30">
        <v>248250.86</v>
      </c>
      <c r="F5" s="48">
        <f>E5/D5</f>
        <v>0.4125576290740029</v>
      </c>
      <c r="G5" s="30">
        <v>248250.86</v>
      </c>
      <c r="H5" s="48">
        <f>G5/D5</f>
        <v>0.4125576290740029</v>
      </c>
      <c r="I5" s="30">
        <v>248250.86</v>
      </c>
      <c r="J5" s="153">
        <f>I5/D5</f>
        <v>0.4125576290740029</v>
      </c>
      <c r="K5" s="204">
        <v>368758.89</v>
      </c>
      <c r="L5" s="48">
        <v>0.49145922434130923</v>
      </c>
      <c r="M5" s="210">
        <f>G5/K5-1</f>
        <v>-0.32679355879393179</v>
      </c>
      <c r="N5" s="30">
        <v>368758.89</v>
      </c>
      <c r="O5" s="48">
        <v>0.49145922434130923</v>
      </c>
      <c r="P5" s="210">
        <f>I5/N5-1</f>
        <v>-0.32679355879393179</v>
      </c>
    </row>
    <row r="6" spans="1:16" ht="15" customHeight="1" x14ac:dyDescent="0.25">
      <c r="A6" s="23">
        <v>2</v>
      </c>
      <c r="B6" s="23" t="s">
        <v>1</v>
      </c>
      <c r="C6" s="160">
        <v>4166952.74</v>
      </c>
      <c r="D6" s="205">
        <v>4000260.74</v>
      </c>
      <c r="E6" s="32">
        <v>3233692.06</v>
      </c>
      <c r="F6" s="48">
        <f>E6/D6</f>
        <v>0.80837032138060072</v>
      </c>
      <c r="G6" s="32">
        <v>3081978.8</v>
      </c>
      <c r="H6" s="48">
        <f>G6/D6</f>
        <v>0.77044447857666387</v>
      </c>
      <c r="I6" s="32">
        <v>915760.02</v>
      </c>
      <c r="J6" s="153">
        <f>I6/D6</f>
        <v>0.22892508251849603</v>
      </c>
      <c r="K6" s="32">
        <v>3043734.97</v>
      </c>
      <c r="L6" s="280">
        <v>0.72071415570856479</v>
      </c>
      <c r="M6" s="210">
        <f>G6/K6-1</f>
        <v>1.2564770052893248E-2</v>
      </c>
      <c r="N6" s="32">
        <v>696283.69</v>
      </c>
      <c r="O6" s="280">
        <v>0.16487030464810606</v>
      </c>
      <c r="P6" s="210">
        <f>I6/N6-1</f>
        <v>0.31521107438262708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50</v>
      </c>
      <c r="D8" s="206">
        <v>35050</v>
      </c>
      <c r="E8" s="34">
        <v>35000</v>
      </c>
      <c r="F8" s="78">
        <f>E8/D8</f>
        <v>0.99857346647646217</v>
      </c>
      <c r="G8" s="180">
        <v>0</v>
      </c>
      <c r="H8" s="48">
        <f t="shared" ref="H8" si="0">G8/D8</f>
        <v>0</v>
      </c>
      <c r="I8" s="180">
        <v>0</v>
      </c>
      <c r="J8" s="172">
        <v>0</v>
      </c>
      <c r="K8" s="180">
        <v>0</v>
      </c>
      <c r="L8" s="390" t="s">
        <v>129</v>
      </c>
      <c r="M8" s="245" t="s">
        <v>129</v>
      </c>
      <c r="N8" s="180">
        <v>0</v>
      </c>
      <c r="O8" s="390" t="s">
        <v>129</v>
      </c>
      <c r="P8" s="245" t="s">
        <v>129</v>
      </c>
    </row>
    <row r="9" spans="1:16" ht="15" customHeight="1" x14ac:dyDescent="0.25">
      <c r="A9" s="9"/>
      <c r="B9" s="2" t="s">
        <v>4</v>
      </c>
      <c r="C9" s="162">
        <f>SUM(C5:C8)</f>
        <v>4757330.3900000006</v>
      </c>
      <c r="D9" s="152">
        <f t="shared" ref="D9:I9" si="1">SUM(D5:D8)</f>
        <v>4637046.9400000004</v>
      </c>
      <c r="E9" s="84">
        <f t="shared" si="1"/>
        <v>3516942.92</v>
      </c>
      <c r="F9" s="90">
        <f>E9/D9</f>
        <v>0.75844453711740933</v>
      </c>
      <c r="G9" s="84">
        <f t="shared" si="1"/>
        <v>3330229.6599999997</v>
      </c>
      <c r="H9" s="90">
        <f>G9/D9</f>
        <v>0.71817898397207069</v>
      </c>
      <c r="I9" s="84">
        <f t="shared" si="1"/>
        <v>1164010.8799999999</v>
      </c>
      <c r="J9" s="170">
        <f>I9/D9</f>
        <v>0.25102417445012964</v>
      </c>
      <c r="K9" s="84">
        <f t="shared" ref="K9" si="2">SUM(K5:K8)</f>
        <v>3412493.8600000003</v>
      </c>
      <c r="L9" s="90">
        <v>0.68612764623070255</v>
      </c>
      <c r="M9" s="213">
        <f t="shared" ref="M9" si="3">G9/K9-1</f>
        <v>-2.4106768649248433E-2</v>
      </c>
      <c r="N9" s="84">
        <f t="shared" ref="N9" si="4">SUM(N5:N8)</f>
        <v>1065042.58</v>
      </c>
      <c r="O9" s="90">
        <v>0.21414109109953816</v>
      </c>
      <c r="P9" s="213">
        <f>I9/N9-1</f>
        <v>9.2924265995073974E-2</v>
      </c>
    </row>
    <row r="10" spans="1:16" ht="15" customHeight="1" x14ac:dyDescent="0.25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59" t="s">
        <v>129</v>
      </c>
      <c r="N11" s="137"/>
      <c r="O11" s="49" t="s">
        <v>129</v>
      </c>
      <c r="P11" s="559" t="s">
        <v>129</v>
      </c>
    </row>
    <row r="12" spans="1:16" ht="15" customHeight="1" x14ac:dyDescent="0.25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4637046.9400000004</v>
      </c>
      <c r="E16" s="155">
        <f t="shared" si="11"/>
        <v>3516942.92</v>
      </c>
      <c r="F16" s="181">
        <f>E16/D16</f>
        <v>0.75844453711740933</v>
      </c>
      <c r="G16" s="155">
        <f t="shared" si="11"/>
        <v>3330229.6599999997</v>
      </c>
      <c r="H16" s="181">
        <f>G16/D16</f>
        <v>0.71817898397207069</v>
      </c>
      <c r="I16" s="155">
        <f t="shared" si="11"/>
        <v>1164010.8799999999</v>
      </c>
      <c r="J16" s="173">
        <f>I16/D16</f>
        <v>0.25102417445012964</v>
      </c>
      <c r="K16" s="155">
        <f t="shared" ref="K16" si="12">+K9+K12+K15</f>
        <v>3412493.8600000003</v>
      </c>
      <c r="L16" s="181">
        <v>0.68612764623070255</v>
      </c>
      <c r="M16" s="607">
        <f t="shared" ref="M16" si="13">G16/K16-1</f>
        <v>-2.4106768649248433E-2</v>
      </c>
      <c r="N16" s="155">
        <f t="shared" ref="N16" si="14">+N9+N12+N15</f>
        <v>1065042.58</v>
      </c>
      <c r="O16" s="181">
        <v>0.21414109109953816</v>
      </c>
      <c r="P16" s="607">
        <f>I16/N16-1</f>
        <v>9.2924265995073974E-2</v>
      </c>
    </row>
    <row r="21" spans="5:5" x14ac:dyDescent="0.25">
      <c r="E21" s="18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31"/>
  <sheetViews>
    <sheetView topLeftCell="A6" zoomScaleNormal="100" workbookViewId="0">
      <selection activeCell="E21" sqref="E21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3" spans="1:13" ht="13.8" x14ac:dyDescent="0.25">
      <c r="A3" s="7" t="s">
        <v>536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topLeftCell="C1" zoomScaleNormal="100" workbookViewId="0">
      <selection activeCell="G20" sqref="G2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" style="46" customWidth="1"/>
    <col min="6" max="6" width="6.33203125" style="97" customWidth="1"/>
    <col min="7" max="7" width="11" style="46" customWidth="1"/>
    <col min="8" max="8" width="6.33203125" style="97" customWidth="1"/>
    <col min="9" max="9" width="11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664062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526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4351164.46</v>
      </c>
      <c r="D5" s="204">
        <v>4386001.22</v>
      </c>
      <c r="E5" s="30">
        <v>1673008.66</v>
      </c>
      <c r="F5" s="48">
        <f>E5/D5</f>
        <v>0.38144281683533138</v>
      </c>
      <c r="G5" s="30">
        <v>1673008.66</v>
      </c>
      <c r="H5" s="48">
        <f>G5/D5</f>
        <v>0.38144281683533138</v>
      </c>
      <c r="I5" s="30">
        <v>1673008.66</v>
      </c>
      <c r="J5" s="153">
        <f>I5/D5</f>
        <v>0.38144281683533138</v>
      </c>
      <c r="K5" s="706">
        <v>2298660.98</v>
      </c>
      <c r="L5" s="48">
        <v>0.47115895306666589</v>
      </c>
      <c r="M5" s="210">
        <f>G5/K5-1</f>
        <v>-0.27218120699121107</v>
      </c>
      <c r="N5" s="689">
        <v>2298660.98</v>
      </c>
      <c r="O5" s="48">
        <v>0.47115895306666589</v>
      </c>
      <c r="P5" s="210">
        <f>I5/N5-1</f>
        <v>-0.27218120699121107</v>
      </c>
    </row>
    <row r="6" spans="1:16" ht="15" customHeight="1" x14ac:dyDescent="0.25">
      <c r="A6" s="23">
        <v>2</v>
      </c>
      <c r="B6" s="23" t="s">
        <v>1</v>
      </c>
      <c r="C6" s="160">
        <v>26400686.800000001</v>
      </c>
      <c r="D6" s="205">
        <v>26235486.800000001</v>
      </c>
      <c r="E6" s="32">
        <v>22449895.140000001</v>
      </c>
      <c r="F6" s="48">
        <f>E6/D6</f>
        <v>0.855707207232</v>
      </c>
      <c r="G6" s="32">
        <v>21958173.899999999</v>
      </c>
      <c r="H6" s="48">
        <f>G6/D6</f>
        <v>0.83696460703751829</v>
      </c>
      <c r="I6" s="32">
        <v>5530340.96</v>
      </c>
      <c r="J6" s="178">
        <f>I6/D6</f>
        <v>0.21079620142592512</v>
      </c>
      <c r="K6" s="706">
        <v>18307583.620000001</v>
      </c>
      <c r="L6" s="280">
        <v>0.71928651711221803</v>
      </c>
      <c r="M6" s="210">
        <f>G6/K6-1</f>
        <v>0.19940317388538009</v>
      </c>
      <c r="N6" s="32">
        <v>4132023.87</v>
      </c>
      <c r="O6" s="280">
        <v>0.16234305519325812</v>
      </c>
      <c r="P6" s="210">
        <f>I6/N6-1</f>
        <v>0.33840973188763313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06"/>
      <c r="L7" s="418" t="s">
        <v>129</v>
      </c>
      <c r="M7" s="212"/>
      <c r="N7" s="32"/>
      <c r="O7" s="418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6231730</v>
      </c>
      <c r="D8" s="206">
        <v>6283900</v>
      </c>
      <c r="E8" s="34">
        <v>6282942.0499999998</v>
      </c>
      <c r="F8" s="390">
        <f t="shared" ref="F8" si="0">E8/D8</f>
        <v>0.99984755486242616</v>
      </c>
      <c r="G8" s="34">
        <v>6282942.0499999998</v>
      </c>
      <c r="H8" s="78">
        <f t="shared" ref="H8" si="1">G8/D8</f>
        <v>0.99984755486242616</v>
      </c>
      <c r="I8" s="34">
        <v>2987936.02</v>
      </c>
      <c r="J8" s="172">
        <f>I8/D8</f>
        <v>0.47549070163433538</v>
      </c>
      <c r="K8" s="706">
        <v>5979026</v>
      </c>
      <c r="L8" s="390">
        <v>0.9591108396217729</v>
      </c>
      <c r="M8" s="520">
        <f t="shared" ref="M8:M11" si="2">G8/K8-1</f>
        <v>5.083036099859739E-2</v>
      </c>
      <c r="N8" s="32">
        <v>60500</v>
      </c>
      <c r="O8" s="390">
        <v>9.7049596033061663E-3</v>
      </c>
      <c r="P8" s="210" t="s">
        <v>129</v>
      </c>
    </row>
    <row r="9" spans="1:16" ht="15" customHeight="1" x14ac:dyDescent="0.25">
      <c r="A9" s="9"/>
      <c r="B9" s="2" t="s">
        <v>4</v>
      </c>
      <c r="C9" s="162">
        <f>SUM(C5:C8)</f>
        <v>36983581.260000005</v>
      </c>
      <c r="D9" s="152">
        <f>SUM(D5:D8)</f>
        <v>36905388.019999996</v>
      </c>
      <c r="E9" s="84">
        <f>SUM(E5:E8)</f>
        <v>30405845.850000001</v>
      </c>
      <c r="F9" s="90">
        <f>E9/D9</f>
        <v>0.82388636134979198</v>
      </c>
      <c r="G9" s="84">
        <f>SUM(G5:G8)</f>
        <v>29914124.609999999</v>
      </c>
      <c r="H9" s="90">
        <f>G9/D9</f>
        <v>0.81056252799154294</v>
      </c>
      <c r="I9" s="84">
        <f>SUM(I5:I8)</f>
        <v>10191285.640000001</v>
      </c>
      <c r="J9" s="170">
        <f>I9/D9</f>
        <v>0.27614628071318681</v>
      </c>
      <c r="K9" s="705">
        <f>SUM(K5:K8)</f>
        <v>26585270.600000001</v>
      </c>
      <c r="L9" s="90">
        <v>0.72706710230322757</v>
      </c>
      <c r="M9" s="213">
        <f t="shared" si="2"/>
        <v>0.12521422332259413</v>
      </c>
      <c r="N9" s="84">
        <f>SUM(N5:N8)</f>
        <v>6491184.8499999996</v>
      </c>
      <c r="O9" s="90">
        <v>0.1775241271910962</v>
      </c>
      <c r="P9" s="213">
        <f>I9/N9-1</f>
        <v>0.57001932243541042</v>
      </c>
    </row>
    <row r="10" spans="1:16" ht="15" customHeight="1" x14ac:dyDescent="0.25">
      <c r="A10" s="21">
        <v>6</v>
      </c>
      <c r="B10" s="21" t="s">
        <v>5</v>
      </c>
      <c r="C10" s="159">
        <v>23946471.93</v>
      </c>
      <c r="D10" s="204">
        <v>15580078.859999999</v>
      </c>
      <c r="E10" s="30">
        <v>13177710.630000001</v>
      </c>
      <c r="F10" s="48">
        <f>E10/D10</f>
        <v>0.84580513028289006</v>
      </c>
      <c r="G10" s="136">
        <v>9397409.2699999996</v>
      </c>
      <c r="H10" s="48">
        <f>G10/D10</f>
        <v>0.60316827369383419</v>
      </c>
      <c r="I10" s="136">
        <v>1248766.58</v>
      </c>
      <c r="J10" s="153">
        <f>I10/D10</f>
        <v>8.0151492891737522E-2</v>
      </c>
      <c r="K10" s="704">
        <v>3340235.93</v>
      </c>
      <c r="L10" s="48">
        <v>0.17333917481764111</v>
      </c>
      <c r="M10" s="224">
        <f t="shared" si="2"/>
        <v>1.8133968578680606</v>
      </c>
      <c r="N10" s="136">
        <v>1633119.38</v>
      </c>
      <c r="O10" s="48">
        <v>8.4749572078250665E-2</v>
      </c>
      <c r="P10" s="224">
        <f>I10/N10-1</f>
        <v>-0.23534886959702839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 t="s">
        <v>148</v>
      </c>
      <c r="J11" s="172" t="s">
        <v>129</v>
      </c>
      <c r="K11" s="703">
        <v>47682</v>
      </c>
      <c r="L11" s="48">
        <v>1</v>
      </c>
      <c r="M11" s="224">
        <f t="shared" si="2"/>
        <v>-1</v>
      </c>
      <c r="N11" s="137">
        <v>0</v>
      </c>
      <c r="O11" s="48">
        <v>0</v>
      </c>
      <c r="P11" s="559" t="s">
        <v>129</v>
      </c>
    </row>
    <row r="12" spans="1:16" ht="15" customHeight="1" x14ac:dyDescent="0.25">
      <c r="A12" s="9"/>
      <c r="B12" s="2" t="s">
        <v>7</v>
      </c>
      <c r="C12" s="162">
        <f>SUM(C10:C11)</f>
        <v>23946471.93</v>
      </c>
      <c r="D12" s="152">
        <f t="shared" ref="D12:I12" si="3">SUM(D10:D11)</f>
        <v>15580078.859999999</v>
      </c>
      <c r="E12" s="84">
        <f t="shared" si="3"/>
        <v>13177710.630000001</v>
      </c>
      <c r="F12" s="90">
        <f>E12/D12</f>
        <v>0.84580513028289006</v>
      </c>
      <c r="G12" s="84">
        <f t="shared" si="3"/>
        <v>9397409.2699999996</v>
      </c>
      <c r="H12" s="90">
        <f>G12/D12</f>
        <v>0.60316827369383419</v>
      </c>
      <c r="I12" s="84">
        <f t="shared" si="3"/>
        <v>1248766.58</v>
      </c>
      <c r="J12" s="170">
        <f>I12/D12</f>
        <v>8.0151492891737522E-2</v>
      </c>
      <c r="K12" s="705">
        <f>SUM(K10:K11)</f>
        <v>3387917.93</v>
      </c>
      <c r="L12" s="90">
        <v>0.17537963489008687</v>
      </c>
      <c r="M12" s="225">
        <f t="shared" ref="M12" si="4">G12/K12-1</f>
        <v>1.7738007425699358</v>
      </c>
      <c r="N12" s="84">
        <f t="shared" ref="N12" si="5">SUM(N10:N11)</f>
        <v>1633119.38</v>
      </c>
      <c r="O12" s="90">
        <v>8.4540383360562979E-2</v>
      </c>
      <c r="P12" s="225">
        <f>I12/N12-1</f>
        <v>-0.23534886959702839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702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07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705">
        <v>0</v>
      </c>
      <c r="L15" s="58" t="s">
        <v>129</v>
      </c>
      <c r="M15" s="639" t="s">
        <v>129</v>
      </c>
      <c r="N15" s="84">
        <f t="shared" ref="N15" si="7">SUM(N13:N14)</f>
        <v>0</v>
      </c>
      <c r="O15" s="228" t="s">
        <v>129</v>
      </c>
      <c r="P15" s="639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52485466.879999995</v>
      </c>
      <c r="E16" s="155">
        <f t="shared" si="8"/>
        <v>43583556.480000004</v>
      </c>
      <c r="F16" s="181">
        <f>E16/D16</f>
        <v>0.83039285102764071</v>
      </c>
      <c r="G16" s="155">
        <f t="shared" si="8"/>
        <v>39311533.879999995</v>
      </c>
      <c r="H16" s="181">
        <f>G16/D16</f>
        <v>0.74899846027624783</v>
      </c>
      <c r="I16" s="155">
        <f t="shared" si="8"/>
        <v>11440052.220000001</v>
      </c>
      <c r="J16" s="173">
        <f>I16/D16</f>
        <v>0.21796609423625654</v>
      </c>
      <c r="K16" s="708">
        <f>SUM(K9,K12,K15)</f>
        <v>29973188.530000001</v>
      </c>
      <c r="L16" s="181">
        <v>0.53635889621964561</v>
      </c>
      <c r="M16" s="640">
        <f>G16/K16-1</f>
        <v>0.31155662136690254</v>
      </c>
      <c r="N16" s="155">
        <f t="shared" ref="N16" si="9">+N9+N12+N15</f>
        <v>8124304.2299999995</v>
      </c>
      <c r="O16" s="181">
        <v>0.14538135790905116</v>
      </c>
      <c r="P16" s="640">
        <f>I16/N16-1</f>
        <v>0.4081270095420837</v>
      </c>
    </row>
    <row r="21" spans="5:15" x14ac:dyDescent="0.25">
      <c r="E21" s="180"/>
    </row>
    <row r="22" spans="5:15" x14ac:dyDescent="0.25">
      <c r="E22" s="180"/>
    </row>
    <row r="23" spans="5:15" x14ac:dyDescent="0.25">
      <c r="E23" s="180"/>
    </row>
    <row r="24" spans="5:15" x14ac:dyDescent="0.25">
      <c r="E24" s="180"/>
    </row>
    <row r="27" spans="5:15" x14ac:dyDescent="0.25">
      <c r="O27" s="522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7"/>
  <sheetViews>
    <sheetView topLeftCell="A7" zoomScaleNormal="100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2" spans="1:13" ht="13.8" x14ac:dyDescent="0.25">
      <c r="A2" s="7" t="s">
        <v>537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37"/>
  <sheetViews>
    <sheetView topLeftCell="C1" zoomScaleNormal="100" workbookViewId="0">
      <selection activeCell="I16" sqref="I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6" ht="14.4" thickBot="1" x14ac:dyDescent="0.3">
      <c r="A1" s="7" t="s">
        <v>527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76"/>
      <c r="M2" s="776"/>
      <c r="N2" s="776"/>
      <c r="O2" s="776"/>
      <c r="P2" s="777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76">
        <v>11020422.189999999</v>
      </c>
      <c r="D5" s="204">
        <v>11234465.9</v>
      </c>
      <c r="E5" s="30">
        <v>4574671.42</v>
      </c>
      <c r="F5" s="48">
        <f>E5/D5</f>
        <v>0.40719972455477388</v>
      </c>
      <c r="G5" s="30">
        <v>4574671.42</v>
      </c>
      <c r="H5" s="48">
        <f>G5/D5</f>
        <v>0.40719972455477388</v>
      </c>
      <c r="I5" s="30">
        <v>4574671.42</v>
      </c>
      <c r="J5" s="153">
        <f>I5/D5</f>
        <v>0.40719972455477388</v>
      </c>
      <c r="K5" s="565">
        <v>5342259.4800000004</v>
      </c>
      <c r="L5" s="48">
        <v>0.46319273922329829</v>
      </c>
      <c r="M5" s="210">
        <f>+G5/K5-1</f>
        <v>-0.14368228703110475</v>
      </c>
      <c r="N5" s="565">
        <v>5342259.4800000004</v>
      </c>
      <c r="O5" s="48">
        <v>0.46319273922329829</v>
      </c>
      <c r="P5" s="210">
        <f>+I5/N5-1</f>
        <v>-0.14368228703110475</v>
      </c>
    </row>
    <row r="6" spans="1:16" ht="15" customHeight="1" x14ac:dyDescent="0.25">
      <c r="A6" s="23">
        <v>2</v>
      </c>
      <c r="B6" s="23" t="s">
        <v>1</v>
      </c>
      <c r="C6" s="161">
        <v>23750405.489999998</v>
      </c>
      <c r="D6" s="205">
        <v>22664199.82</v>
      </c>
      <c r="E6" s="32">
        <v>18084388.73</v>
      </c>
      <c r="F6" s="48">
        <f t="shared" ref="F6:F12" si="0">E6/D6</f>
        <v>0.79792751889000957</v>
      </c>
      <c r="G6" s="32">
        <v>16016375.789999999</v>
      </c>
      <c r="H6" s="48">
        <f t="shared" ref="H6:H12" si="1">G6/D6</f>
        <v>0.70668172347590952</v>
      </c>
      <c r="I6" s="32">
        <v>7889514.7699999996</v>
      </c>
      <c r="J6" s="153">
        <f t="shared" ref="J6:J12" si="2">I6/D6</f>
        <v>0.34810471283605193</v>
      </c>
      <c r="K6" s="566">
        <v>18385763.789999999</v>
      </c>
      <c r="L6" s="280">
        <v>0.65012757489015227</v>
      </c>
      <c r="M6" s="210">
        <f>+G6/K6-1</f>
        <v>-0.12887079520126921</v>
      </c>
      <c r="N6" s="566">
        <v>8051603.29</v>
      </c>
      <c r="O6" s="280">
        <v>0.28470774348533451</v>
      </c>
      <c r="P6" s="210">
        <f>+I6/N6-1</f>
        <v>-2.0131210413870337E-2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6"/>
      <c r="L7" s="418" t="s">
        <v>129</v>
      </c>
      <c r="M7" s="212" t="s">
        <v>129</v>
      </c>
      <c r="N7" s="566"/>
      <c r="O7" s="41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47896502.399999999</v>
      </c>
      <c r="D8" s="206">
        <v>48837288.399999999</v>
      </c>
      <c r="E8" s="34">
        <v>40311170.729999997</v>
      </c>
      <c r="F8" s="78">
        <f t="shared" si="0"/>
        <v>0.82541787332320438</v>
      </c>
      <c r="G8" s="34">
        <v>31917298.34</v>
      </c>
      <c r="H8" s="78">
        <f t="shared" si="1"/>
        <v>0.65354362180353975</v>
      </c>
      <c r="I8" s="34">
        <v>11683115.91</v>
      </c>
      <c r="J8" s="172">
        <f t="shared" si="2"/>
        <v>0.23922531927468768</v>
      </c>
      <c r="K8" s="569">
        <v>33502918.719999999</v>
      </c>
      <c r="L8" s="390">
        <v>0.66699242061185682</v>
      </c>
      <c r="M8" s="520">
        <f>+G8/K8-1</f>
        <v>-4.7327828158847618E-2</v>
      </c>
      <c r="N8" s="569">
        <v>16993666.670000002</v>
      </c>
      <c r="O8" s="390">
        <v>0.33831819137978475</v>
      </c>
      <c r="P8" s="520">
        <f>+I8/N8-1</f>
        <v>-0.31250176098693605</v>
      </c>
    </row>
    <row r="9" spans="1:16" ht="15" customHeight="1" x14ac:dyDescent="0.25">
      <c r="A9" s="9"/>
      <c r="B9" s="2" t="s">
        <v>4</v>
      </c>
      <c r="C9" s="162">
        <f>SUM(C5:C8)</f>
        <v>82667330.079999998</v>
      </c>
      <c r="D9" s="152">
        <f t="shared" ref="D9:I9" si="3">SUM(D5:D8)</f>
        <v>82735954.120000005</v>
      </c>
      <c r="E9" s="84">
        <f t="shared" si="3"/>
        <v>62970230.879999995</v>
      </c>
      <c r="F9" s="90">
        <f>E9/D9</f>
        <v>0.76109874539753475</v>
      </c>
      <c r="G9" s="84">
        <f t="shared" si="3"/>
        <v>52508345.549999997</v>
      </c>
      <c r="H9" s="90">
        <f>G9/D9</f>
        <v>0.63464966481007801</v>
      </c>
      <c r="I9" s="84">
        <f t="shared" si="3"/>
        <v>24147302.100000001</v>
      </c>
      <c r="J9" s="170">
        <f>I9/D9</f>
        <v>0.29185983719939723</v>
      </c>
      <c r="K9" s="568">
        <f>SUM(K5:K8)</f>
        <v>57230941.989999995</v>
      </c>
      <c r="L9" s="90">
        <v>0.63559123267921125</v>
      </c>
      <c r="M9" s="213">
        <f>+G9/K9-1</f>
        <v>-8.2518237089740376E-2</v>
      </c>
      <c r="N9" s="568">
        <f>SUM(N5:N8)</f>
        <v>30387529.440000001</v>
      </c>
      <c r="O9" s="90">
        <v>0.33747561412181859</v>
      </c>
      <c r="P9" s="213">
        <f>+I9/N9-1</f>
        <v>-0.20535487599678981</v>
      </c>
    </row>
    <row r="10" spans="1:16" ht="15" customHeight="1" x14ac:dyDescent="0.25">
      <c r="A10" s="21">
        <v>6</v>
      </c>
      <c r="B10" s="21" t="s">
        <v>5</v>
      </c>
      <c r="C10" s="159">
        <v>2000000</v>
      </c>
      <c r="D10" s="204">
        <v>4987637.5</v>
      </c>
      <c r="E10" s="180">
        <v>4309600</v>
      </c>
      <c r="F10" s="417">
        <f t="shared" si="0"/>
        <v>0.86405637939806168</v>
      </c>
      <c r="G10" s="136">
        <v>4274600</v>
      </c>
      <c r="H10" s="417">
        <f t="shared" si="1"/>
        <v>0.85703902899920048</v>
      </c>
      <c r="I10" s="56">
        <v>4274600</v>
      </c>
      <c r="J10" s="348">
        <f t="shared" si="2"/>
        <v>0.85703902899920048</v>
      </c>
      <c r="K10" s="565">
        <v>537500</v>
      </c>
      <c r="L10" s="417">
        <v>1</v>
      </c>
      <c r="M10" s="224" t="s">
        <v>129</v>
      </c>
      <c r="N10" s="565">
        <v>537500</v>
      </c>
      <c r="O10" s="417">
        <v>1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>
        <v>118375.37</v>
      </c>
      <c r="D11" s="206">
        <v>0</v>
      </c>
      <c r="E11" s="34">
        <v>0</v>
      </c>
      <c r="F11" s="417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69"/>
      <c r="L11" s="28" t="s">
        <v>129</v>
      </c>
      <c r="M11" s="559" t="s">
        <v>129</v>
      </c>
      <c r="N11" s="569"/>
      <c r="O11" s="28" t="s">
        <v>129</v>
      </c>
      <c r="P11" s="559" t="s">
        <v>129</v>
      </c>
    </row>
    <row r="12" spans="1:16" ht="15" customHeight="1" x14ac:dyDescent="0.25">
      <c r="A12" s="9"/>
      <c r="B12" s="2" t="s">
        <v>7</v>
      </c>
      <c r="C12" s="162">
        <f>SUM(C10:C11)</f>
        <v>2118375.37</v>
      </c>
      <c r="D12" s="152">
        <f t="shared" ref="D12:I12" si="4">SUM(D10:D11)</f>
        <v>4987637.5</v>
      </c>
      <c r="E12" s="84">
        <f t="shared" si="4"/>
        <v>4309600</v>
      </c>
      <c r="F12" s="514">
        <f t="shared" si="0"/>
        <v>0.86405637939806168</v>
      </c>
      <c r="G12" s="84">
        <f t="shared" si="4"/>
        <v>4274600</v>
      </c>
      <c r="H12" s="514">
        <f t="shared" si="1"/>
        <v>0.85703902899920048</v>
      </c>
      <c r="I12" s="84">
        <f t="shared" si="4"/>
        <v>4274600</v>
      </c>
      <c r="J12" s="171">
        <f t="shared" si="2"/>
        <v>0.85703902899920048</v>
      </c>
      <c r="K12" s="568">
        <f>SUM(K10:K11)</f>
        <v>537500</v>
      </c>
      <c r="L12" s="514">
        <v>1</v>
      </c>
      <c r="M12" s="225" t="s">
        <v>129</v>
      </c>
      <c r="N12" s="568">
        <f>SUM(N10:N11)</f>
        <v>537500</v>
      </c>
      <c r="O12" s="514">
        <v>1</v>
      </c>
      <c r="P12" s="225" t="s">
        <v>129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5"/>
      <c r="L13" s="417" t="s">
        <v>129</v>
      </c>
      <c r="M13" s="224" t="s">
        <v>129</v>
      </c>
      <c r="N13" s="565"/>
      <c r="O13" s="417" t="s">
        <v>129</v>
      </c>
      <c r="P13" s="22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28" t="s">
        <v>129</v>
      </c>
      <c r="M14" s="215" t="s">
        <v>129</v>
      </c>
      <c r="N14" s="569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8"/>
      <c r="L15" s="682" t="s">
        <v>129</v>
      </c>
      <c r="M15" s="641" t="s">
        <v>129</v>
      </c>
      <c r="N15" s="568"/>
      <c r="O15" s="682" t="s">
        <v>129</v>
      </c>
      <c r="P15" s="641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87723591.620000005</v>
      </c>
      <c r="E16" s="155">
        <f t="shared" si="6"/>
        <v>67279830.879999995</v>
      </c>
      <c r="F16" s="181">
        <f>E16/D16</f>
        <v>0.76695253394824459</v>
      </c>
      <c r="G16" s="155">
        <f t="shared" si="6"/>
        <v>56782945.549999997</v>
      </c>
      <c r="H16" s="181">
        <f>G16/D16</f>
        <v>0.64729389781453173</v>
      </c>
      <c r="I16" s="155">
        <f t="shared" si="6"/>
        <v>28421902.100000001</v>
      </c>
      <c r="J16" s="173">
        <f>I16/D16</f>
        <v>0.32399382623453965</v>
      </c>
      <c r="K16" s="576">
        <f>SUM(K9,K12,K15)</f>
        <v>57768441.989999995</v>
      </c>
      <c r="L16" s="181">
        <v>0.63775360040130702</v>
      </c>
      <c r="M16" s="607">
        <f>+G16/K16-1</f>
        <v>-1.7059425631914982E-2</v>
      </c>
      <c r="N16" s="576">
        <f>SUM(N15,N12,N9)</f>
        <v>30925029.440000001</v>
      </c>
      <c r="O16" s="181">
        <v>0.34140697218890703</v>
      </c>
      <c r="P16" s="607">
        <f>+I16/N16-1</f>
        <v>-8.0941793276430252E-2</v>
      </c>
    </row>
    <row r="25" spans="15:18" x14ac:dyDescent="0.25">
      <c r="R25" s="482"/>
    </row>
    <row r="26" spans="15:18" x14ac:dyDescent="0.25">
      <c r="R26" s="482"/>
    </row>
    <row r="27" spans="15:18" x14ac:dyDescent="0.25">
      <c r="O27" s="482"/>
      <c r="R27" s="482"/>
    </row>
    <row r="28" spans="15:18" x14ac:dyDescent="0.25">
      <c r="O28" s="482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Maig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opLeftCell="A2" zoomScaleNormal="100" workbookViewId="0">
      <selection activeCell="F10" sqref="F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5.5546875" customWidth="1"/>
  </cols>
  <sheetData>
    <row r="1" spans="1:13" ht="13.8" x14ac:dyDescent="0.25">
      <c r="A1" s="7" t="s">
        <v>527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7"/>
  <sheetViews>
    <sheetView topLeftCell="C1" zoomScaleNormal="100" workbookViewId="0">
      <selection activeCell="J16" sqref="J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9" ht="14.4" thickBot="1" x14ac:dyDescent="0.3">
      <c r="A1" s="7" t="s">
        <v>785</v>
      </c>
    </row>
    <row r="2" spans="1:19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9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9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9" ht="15" customHeight="1" x14ac:dyDescent="0.25">
      <c r="A5" s="21">
        <v>1</v>
      </c>
      <c r="B5" s="21" t="s">
        <v>0</v>
      </c>
      <c r="C5" s="176">
        <v>481212.17</v>
      </c>
      <c r="D5" s="204">
        <v>488145.95</v>
      </c>
      <c r="E5" s="30">
        <v>192852.95</v>
      </c>
      <c r="F5" s="48">
        <f>E5/D5</f>
        <v>0.3950723139257839</v>
      </c>
      <c r="G5" s="30">
        <v>181962.95</v>
      </c>
      <c r="H5" s="48">
        <f>G5/D5</f>
        <v>0.37276341225406051</v>
      </c>
      <c r="I5" s="30">
        <v>181962.95</v>
      </c>
      <c r="J5" s="153">
        <f>I5/D5</f>
        <v>0.37276341225406051</v>
      </c>
      <c r="K5" s="565">
        <v>893122.27</v>
      </c>
      <c r="L5" s="48">
        <v>0.4346229699359016</v>
      </c>
      <c r="M5" s="210">
        <f>+G5/K5-1</f>
        <v>-0.79626199445233858</v>
      </c>
      <c r="N5" s="565">
        <v>893122.27</v>
      </c>
      <c r="O5" s="48">
        <v>0.4346229699359016</v>
      </c>
      <c r="P5" s="210">
        <f>+I5/N5-1</f>
        <v>-0.79626199445233858</v>
      </c>
    </row>
    <row r="6" spans="1:19" ht="15" customHeight="1" x14ac:dyDescent="0.25">
      <c r="A6" s="23">
        <v>2</v>
      </c>
      <c r="B6" s="23" t="s">
        <v>1</v>
      </c>
      <c r="C6" s="161">
        <v>387854</v>
      </c>
      <c r="D6" s="205">
        <v>1948127.18</v>
      </c>
      <c r="E6" s="32">
        <v>587171.1</v>
      </c>
      <c r="F6" s="48">
        <f t="shared" ref="F6:F8" si="0">E6/D6</f>
        <v>0.30140285810292938</v>
      </c>
      <c r="G6" s="32">
        <v>396951.06</v>
      </c>
      <c r="H6" s="48">
        <f t="shared" ref="H6:H8" si="1">G6/D6</f>
        <v>0.20376034176577734</v>
      </c>
      <c r="I6" s="32">
        <v>148144.22</v>
      </c>
      <c r="J6" s="153">
        <f t="shared" ref="J6:J8" si="2">I6/D6</f>
        <v>7.6044429501774119E-2</v>
      </c>
      <c r="K6" s="566">
        <v>48621.05</v>
      </c>
      <c r="L6" s="280">
        <v>0.10977467507330158</v>
      </c>
      <c r="M6" s="210">
        <f>+G6/K6-1</f>
        <v>7.1641811519907517</v>
      </c>
      <c r="N6" s="566">
        <v>16542.189999999999</v>
      </c>
      <c r="O6" s="280">
        <v>3.7348299394003595E-2</v>
      </c>
      <c r="P6" s="210">
        <f>+I6/N6-1</f>
        <v>7.9555385351032726</v>
      </c>
    </row>
    <row r="7" spans="1:19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6"/>
      <c r="L7" s="418" t="s">
        <v>129</v>
      </c>
      <c r="M7" s="212" t="s">
        <v>129</v>
      </c>
      <c r="N7" s="566"/>
      <c r="O7" s="418" t="s">
        <v>129</v>
      </c>
      <c r="P7" s="212" t="s">
        <v>129</v>
      </c>
    </row>
    <row r="8" spans="1:19" ht="15" customHeight="1" x14ac:dyDescent="0.25">
      <c r="A8" s="24">
        <v>4</v>
      </c>
      <c r="B8" s="24" t="s">
        <v>3</v>
      </c>
      <c r="C8" s="161">
        <v>38538634.689999998</v>
      </c>
      <c r="D8" s="206">
        <v>44123954.990000002</v>
      </c>
      <c r="E8" s="34">
        <v>15088611.869999999</v>
      </c>
      <c r="F8" s="390">
        <f t="shared" si="0"/>
        <v>0.34195964240783933</v>
      </c>
      <c r="G8" s="34">
        <v>9527720.4100000001</v>
      </c>
      <c r="H8" s="78">
        <f t="shared" si="1"/>
        <v>0.21593078889141529</v>
      </c>
      <c r="I8" s="34">
        <v>8764887.3499999996</v>
      </c>
      <c r="J8" s="172">
        <f t="shared" si="2"/>
        <v>0.19864237809113944</v>
      </c>
      <c r="K8" s="569">
        <v>23470357.210000001</v>
      </c>
      <c r="L8" s="390">
        <v>0.4036579730592732</v>
      </c>
      <c r="M8" s="520">
        <f>+G8/K8-1</f>
        <v>-0.59405302932754123</v>
      </c>
      <c r="N8" s="569">
        <v>19991143.48</v>
      </c>
      <c r="O8" s="390">
        <v>0.34382026588141157</v>
      </c>
      <c r="P8" s="520">
        <f>+I8/N8-1</f>
        <v>-0.56156148052417465</v>
      </c>
    </row>
    <row r="9" spans="1:19" ht="15" customHeight="1" x14ac:dyDescent="0.25">
      <c r="A9" s="9"/>
      <c r="B9" s="2" t="s">
        <v>4</v>
      </c>
      <c r="C9" s="162">
        <f>SUM(C5:C8)</f>
        <v>39407700.859999999</v>
      </c>
      <c r="D9" s="84">
        <f t="shared" ref="D9:I9" si="3">SUM(D5:D8)</f>
        <v>46560228.120000005</v>
      </c>
      <c r="E9" s="84">
        <f t="shared" si="3"/>
        <v>15868635.92</v>
      </c>
      <c r="F9" s="90">
        <f>E9/D9</f>
        <v>0.34081954837295153</v>
      </c>
      <c r="G9" s="84">
        <f t="shared" si="3"/>
        <v>10106634.42</v>
      </c>
      <c r="H9" s="90">
        <f>G9/D9</f>
        <v>0.21706582695325502</v>
      </c>
      <c r="I9" s="84">
        <f t="shared" si="3"/>
        <v>9094994.5199999996</v>
      </c>
      <c r="J9" s="170">
        <f>I9/D9</f>
        <v>0.19533827232459872</v>
      </c>
      <c r="K9" s="568">
        <f>SUM(K5:K8)</f>
        <v>24412100.530000001</v>
      </c>
      <c r="L9" s="90">
        <v>0.40256080023818375</v>
      </c>
      <c r="M9" s="213">
        <f t="shared" ref="M9:M10" si="4">+G9/K9-1</f>
        <v>-0.58599898408660211</v>
      </c>
      <c r="N9" s="568">
        <f>SUM(N5:N8)</f>
        <v>20900807.940000001</v>
      </c>
      <c r="O9" s="90">
        <v>0.34465882850233309</v>
      </c>
      <c r="P9" s="213">
        <f>+I9/N9-1</f>
        <v>-0.56484961987550808</v>
      </c>
    </row>
    <row r="10" spans="1:19" ht="15" customHeight="1" x14ac:dyDescent="0.25">
      <c r="A10" s="21">
        <v>6</v>
      </c>
      <c r="B10" s="21" t="s">
        <v>5</v>
      </c>
      <c r="C10" s="176">
        <v>37637.5</v>
      </c>
      <c r="D10" s="204">
        <v>0</v>
      </c>
      <c r="E10" s="180">
        <v>0</v>
      </c>
      <c r="F10" s="48" t="s">
        <v>129</v>
      </c>
      <c r="G10" s="136">
        <v>0</v>
      </c>
      <c r="H10" s="48" t="s">
        <v>129</v>
      </c>
      <c r="I10" s="56">
        <v>0</v>
      </c>
      <c r="J10" s="153" t="s">
        <v>129</v>
      </c>
      <c r="K10" s="565">
        <v>2392.81</v>
      </c>
      <c r="L10" s="48">
        <v>0.19457789588727409</v>
      </c>
      <c r="M10" s="210">
        <f t="shared" si="4"/>
        <v>-1</v>
      </c>
      <c r="N10" s="565">
        <v>2392.81</v>
      </c>
      <c r="O10" s="48">
        <v>0.19457789588727409</v>
      </c>
      <c r="P10" s="210">
        <f>+I10/N10-1</f>
        <v>-1</v>
      </c>
    </row>
    <row r="11" spans="1:19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569"/>
      <c r="L11" s="521" t="s">
        <v>129</v>
      </c>
      <c r="M11" s="559" t="s">
        <v>129</v>
      </c>
      <c r="N11" s="569"/>
      <c r="O11" s="521" t="s">
        <v>129</v>
      </c>
      <c r="P11" s="496" t="s">
        <v>129</v>
      </c>
    </row>
    <row r="12" spans="1:19" ht="15" customHeight="1" x14ac:dyDescent="0.25">
      <c r="A12" s="9"/>
      <c r="B12" s="2" t="s">
        <v>7</v>
      </c>
      <c r="C12" s="162">
        <f>SUM(C10:C11)</f>
        <v>37637.5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170" t="s">
        <v>129</v>
      </c>
      <c r="K12" s="152">
        <f>SUM(K10:K11)</f>
        <v>2392.81</v>
      </c>
      <c r="L12" s="90">
        <v>0.19457789588727409</v>
      </c>
      <c r="M12" s="629">
        <f t="shared" ref="M12" si="6">+G12/K12-1</f>
        <v>-1</v>
      </c>
      <c r="N12" s="568">
        <f>SUM(N10:N11)</f>
        <v>2392.81</v>
      </c>
      <c r="O12" s="90">
        <v>0.19457789588727409</v>
      </c>
      <c r="P12" s="213">
        <f>+I12/N12-1</f>
        <v>-1</v>
      </c>
      <c r="S12" s="485"/>
    </row>
    <row r="13" spans="1:19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65"/>
      <c r="L13" s="417" t="s">
        <v>129</v>
      </c>
      <c r="M13" s="224" t="s">
        <v>129</v>
      </c>
      <c r="N13" s="565"/>
      <c r="O13" s="417" t="s">
        <v>129</v>
      </c>
      <c r="P13" s="224" t="s">
        <v>129</v>
      </c>
      <c r="S13" s="485"/>
    </row>
    <row r="14" spans="1:19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9"/>
      <c r="L14" s="28" t="s">
        <v>129</v>
      </c>
      <c r="M14" s="215" t="s">
        <v>129</v>
      </c>
      <c r="N14" s="569"/>
      <c r="O14" s="28" t="s">
        <v>129</v>
      </c>
      <c r="P14" s="215" t="s">
        <v>129</v>
      </c>
      <c r="S14" s="485"/>
    </row>
    <row r="15" spans="1:19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8">
        <v>0</v>
      </c>
      <c r="L15" s="514" t="s">
        <v>129</v>
      </c>
      <c r="M15" s="641" t="s">
        <v>129</v>
      </c>
      <c r="N15" s="568">
        <f>SUM(N13:N14)</f>
        <v>0</v>
      </c>
      <c r="O15" s="514" t="s">
        <v>129</v>
      </c>
      <c r="P15" s="641" t="s">
        <v>129</v>
      </c>
    </row>
    <row r="16" spans="1:19" s="6" customFormat="1" ht="19.5" customHeight="1" thickBot="1" x14ac:dyDescent="0.3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46560228.120000005</v>
      </c>
      <c r="E16" s="155">
        <f t="shared" si="8"/>
        <v>15868635.92</v>
      </c>
      <c r="F16" s="181">
        <f>E16/D16</f>
        <v>0.34081954837295153</v>
      </c>
      <c r="G16" s="155">
        <f t="shared" si="8"/>
        <v>10106634.42</v>
      </c>
      <c r="H16" s="181">
        <f>G16/D16</f>
        <v>0.21706582695325502</v>
      </c>
      <c r="I16" s="155">
        <f t="shared" si="8"/>
        <v>9094994.5199999996</v>
      </c>
      <c r="J16" s="173">
        <f>I16/D16</f>
        <v>0.19533827232459872</v>
      </c>
      <c r="K16" s="576">
        <f>K9+K12+K15</f>
        <v>24414493.34</v>
      </c>
      <c r="L16" s="265">
        <v>0.40251863246925795</v>
      </c>
      <c r="M16" s="607">
        <f>+G16/K16-1</f>
        <v>-0.58603955940213659</v>
      </c>
      <c r="N16" s="576">
        <f>N9+N12+N15</f>
        <v>20903200.75</v>
      </c>
      <c r="O16" s="265">
        <v>0.34462840014522161</v>
      </c>
      <c r="P16" s="607">
        <f>+I16/N16-1</f>
        <v>-0.56489943196857073</v>
      </c>
      <c r="S16" s="484"/>
    </row>
    <row r="17" spans="2:16" x14ac:dyDescent="0.25">
      <c r="P17" s="522"/>
    </row>
    <row r="25" spans="2:16" x14ac:dyDescent="0.25">
      <c r="B25" s="34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Maig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8" zoomScaleNormal="100" workbookViewId="0">
      <selection activeCell="H17" sqref="H17"/>
    </sheetView>
  </sheetViews>
  <sheetFormatPr defaultRowHeight="13.2" x14ac:dyDescent="0.25"/>
  <sheetData>
    <row r="1" spans="1:1" ht="13.8" x14ac:dyDescent="0.25">
      <c r="A1" s="7" t="s">
        <v>528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P137"/>
  <sheetViews>
    <sheetView topLeftCell="C1" zoomScaleNormal="100" workbookViewId="0">
      <selection activeCell="K21" sqref="K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127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13806991.970000001</v>
      </c>
      <c r="D5" s="204">
        <v>12329268.039999999</v>
      </c>
      <c r="E5" s="30">
        <v>500665.4</v>
      </c>
      <c r="F5" s="48">
        <f>E5/D5</f>
        <v>4.0607876994456199E-2</v>
      </c>
      <c r="G5" s="30">
        <v>500665.4</v>
      </c>
      <c r="H5" s="48">
        <f>G5/D5</f>
        <v>4.0607876994456199E-2</v>
      </c>
      <c r="I5" s="30">
        <v>500665.4</v>
      </c>
      <c r="J5" s="153">
        <f>I5/D5</f>
        <v>4.0607876994456199E-2</v>
      </c>
      <c r="K5" s="578">
        <v>10030242.15</v>
      </c>
      <c r="L5" s="48">
        <v>0.18132652999842366</v>
      </c>
      <c r="M5" s="210">
        <f>+G5/K5-1</f>
        <v>-0.95008441545950117</v>
      </c>
      <c r="N5" s="578">
        <v>10030242.15</v>
      </c>
      <c r="O5" s="48">
        <v>0.18132652999842366</v>
      </c>
      <c r="P5" s="210">
        <f>+I5/N5-1</f>
        <v>-0.95008441545950117</v>
      </c>
    </row>
    <row r="6" spans="1:16" ht="15" customHeight="1" x14ac:dyDescent="0.25">
      <c r="A6" s="23">
        <v>2</v>
      </c>
      <c r="B6" s="23" t="s">
        <v>1</v>
      </c>
      <c r="C6" s="159">
        <v>2915040</v>
      </c>
      <c r="D6" s="204">
        <v>2915040</v>
      </c>
      <c r="E6" s="30">
        <v>1178096.82</v>
      </c>
      <c r="F6" s="48">
        <f t="shared" ref="F6:F17" si="0">E6/D6</f>
        <v>0.40414430676766017</v>
      </c>
      <c r="G6" s="30">
        <v>1178096.82</v>
      </c>
      <c r="H6" s="280">
        <f t="shared" ref="H6:H17" si="1">G6/D6</f>
        <v>0.40414430676766017</v>
      </c>
      <c r="I6" s="30">
        <v>572875.14</v>
      </c>
      <c r="J6" s="178">
        <f t="shared" ref="J6:J17" si="2">I6/D6</f>
        <v>0.19652393792194961</v>
      </c>
      <c r="K6" s="579">
        <v>652949.35</v>
      </c>
      <c r="L6" s="412">
        <v>0.14547118789593316</v>
      </c>
      <c r="M6" s="210">
        <f t="shared" ref="M6:M17" si="3">+G6/K6-1</f>
        <v>0.80426984114464628</v>
      </c>
      <c r="N6" s="579">
        <v>537740.09</v>
      </c>
      <c r="O6" s="412">
        <v>0.11980361060404764</v>
      </c>
      <c r="P6" s="210">
        <f>+I6/N6-1</f>
        <v>6.5338349610496893E-2</v>
      </c>
    </row>
    <row r="7" spans="1:16" ht="15" customHeight="1" x14ac:dyDescent="0.25">
      <c r="A7" s="23">
        <v>3</v>
      </c>
      <c r="B7" s="23" t="s">
        <v>2</v>
      </c>
      <c r="C7" s="159">
        <v>22100000</v>
      </c>
      <c r="D7" s="204">
        <v>22100000</v>
      </c>
      <c r="E7" s="30">
        <v>5261110.22</v>
      </c>
      <c r="F7" s="48">
        <f t="shared" si="0"/>
        <v>0.23805928597285067</v>
      </c>
      <c r="G7" s="30">
        <v>5261110.22</v>
      </c>
      <c r="H7" s="280">
        <f t="shared" si="1"/>
        <v>0.23805928597285067</v>
      </c>
      <c r="I7" s="30">
        <v>5261110.22</v>
      </c>
      <c r="J7" s="178">
        <f t="shared" si="2"/>
        <v>0.23805928597285067</v>
      </c>
      <c r="K7" s="579">
        <v>6644486.8600000003</v>
      </c>
      <c r="L7" s="130">
        <v>0.26736899548407422</v>
      </c>
      <c r="M7" s="212">
        <f t="shared" si="3"/>
        <v>-0.20819916859614351</v>
      </c>
      <c r="N7" s="579">
        <v>6644486.8600000003</v>
      </c>
      <c r="O7" s="130">
        <v>0.26736899548407422</v>
      </c>
      <c r="P7" s="212">
        <f t="shared" ref="P7:P17" si="4">+I7/N7-1</f>
        <v>-0.20819916859614351</v>
      </c>
    </row>
    <row r="8" spans="1:16" ht="15" customHeight="1" x14ac:dyDescent="0.25">
      <c r="A8" s="235">
        <v>4</v>
      </c>
      <c r="B8" s="560" t="s">
        <v>3</v>
      </c>
      <c r="C8" s="159">
        <v>246750409.25999999</v>
      </c>
      <c r="D8" s="204">
        <v>246960603.63999999</v>
      </c>
      <c r="E8" s="30">
        <v>210044144.38999999</v>
      </c>
      <c r="F8" s="48">
        <f t="shared" si="0"/>
        <v>0.8505168083253718</v>
      </c>
      <c r="G8" s="30">
        <v>210044144.38999999</v>
      </c>
      <c r="H8" s="48">
        <f t="shared" si="1"/>
        <v>0.8505168083253718</v>
      </c>
      <c r="I8" s="30">
        <v>91200709.420000002</v>
      </c>
      <c r="J8" s="178">
        <f t="shared" si="2"/>
        <v>0.36929254332786343</v>
      </c>
      <c r="K8" s="635">
        <v>195381205.25</v>
      </c>
      <c r="L8" s="414">
        <v>0.61779383884360828</v>
      </c>
      <c r="M8" s="443">
        <f t="shared" si="3"/>
        <v>7.5047848749003387E-2</v>
      </c>
      <c r="N8" s="635">
        <v>95120898.159999996</v>
      </c>
      <c r="O8" s="414">
        <v>0.30077153405480034</v>
      </c>
      <c r="P8" s="443">
        <f t="shared" si="4"/>
        <v>-4.1212696850338459E-2</v>
      </c>
    </row>
    <row r="9" spans="1:16" ht="15" customHeight="1" x14ac:dyDescent="0.25">
      <c r="A9" s="55">
        <v>5</v>
      </c>
      <c r="B9" s="55" t="s">
        <v>453</v>
      </c>
      <c r="C9" s="176">
        <v>13197818.9</v>
      </c>
      <c r="D9" s="516">
        <v>9094613.3699999992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7">
        <v>0</v>
      </c>
      <c r="L9" s="78">
        <v>0</v>
      </c>
      <c r="M9" s="496" t="s">
        <v>129</v>
      </c>
      <c r="N9" s="567">
        <v>0</v>
      </c>
      <c r="O9" s="78">
        <v>0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298770260.13</v>
      </c>
      <c r="D10" s="152">
        <f t="shared" ref="D10:E10" si="5">SUM(D5:D9)</f>
        <v>293399525.05000001</v>
      </c>
      <c r="E10" s="84">
        <f t="shared" si="5"/>
        <v>216984016.82999998</v>
      </c>
      <c r="F10" s="90">
        <f t="shared" si="0"/>
        <v>0.73955135678226613</v>
      </c>
      <c r="G10" s="84">
        <f>SUM(G5:G9)</f>
        <v>216984016.82999998</v>
      </c>
      <c r="H10" s="90">
        <f t="shared" si="1"/>
        <v>0.73955135678226613</v>
      </c>
      <c r="I10" s="84">
        <f>SUM(I5:I9)</f>
        <v>97535360.180000007</v>
      </c>
      <c r="J10" s="170">
        <f t="shared" si="2"/>
        <v>0.33243189525742556</v>
      </c>
      <c r="K10" s="568">
        <f>SUM(K5:K9)</f>
        <v>212708883.61000001</v>
      </c>
      <c r="L10" s="90">
        <v>0.52132982073500189</v>
      </c>
      <c r="M10" s="213">
        <f t="shared" si="3"/>
        <v>2.0098517501687452E-2</v>
      </c>
      <c r="N10" s="568">
        <f>SUM(N5:N9)</f>
        <v>112333367.25999999</v>
      </c>
      <c r="O10" s="90">
        <v>0.27531870424175242</v>
      </c>
      <c r="P10" s="213">
        <f t="shared" si="4"/>
        <v>-0.13173296092646647</v>
      </c>
    </row>
    <row r="11" spans="1:16" ht="15" customHeight="1" x14ac:dyDescent="0.25">
      <c r="A11" s="21">
        <v>6</v>
      </c>
      <c r="B11" s="21" t="s">
        <v>5</v>
      </c>
      <c r="C11" s="159">
        <v>359896663.13999999</v>
      </c>
      <c r="D11" s="204">
        <v>339787256.81</v>
      </c>
      <c r="E11" s="30">
        <v>127746040.48</v>
      </c>
      <c r="F11" s="48">
        <f t="shared" si="0"/>
        <v>0.37595889168801933</v>
      </c>
      <c r="G11" s="30">
        <v>127746040.48</v>
      </c>
      <c r="H11" s="48">
        <f t="shared" si="1"/>
        <v>0.37595889168801933</v>
      </c>
      <c r="I11" s="30">
        <v>56530802.649999999</v>
      </c>
      <c r="J11" s="153">
        <f t="shared" si="2"/>
        <v>0.16637116759681933</v>
      </c>
      <c r="K11" s="565">
        <v>107298963.56999999</v>
      </c>
      <c r="L11" s="48">
        <v>0.36228073423933582</v>
      </c>
      <c r="M11" s="224">
        <f t="shared" si="3"/>
        <v>0.19056173731501791</v>
      </c>
      <c r="N11" s="565">
        <v>53162174.07</v>
      </c>
      <c r="O11" s="48">
        <v>0.17949503718434642</v>
      </c>
      <c r="P11" s="224">
        <f t="shared" si="4"/>
        <v>6.3365139573946738E-2</v>
      </c>
    </row>
    <row r="12" spans="1:16" ht="15" customHeight="1" x14ac:dyDescent="0.25">
      <c r="A12" s="24">
        <v>7</v>
      </c>
      <c r="B12" s="24" t="s">
        <v>6</v>
      </c>
      <c r="C12" s="161">
        <v>6607320.6799999997</v>
      </c>
      <c r="D12" s="206">
        <v>24322373.489999998</v>
      </c>
      <c r="E12" s="34">
        <v>15225855.199999999</v>
      </c>
      <c r="F12" s="390">
        <f t="shared" si="0"/>
        <v>0.62600203085689887</v>
      </c>
      <c r="G12" s="34">
        <v>15225855.199999999</v>
      </c>
      <c r="H12" s="390">
        <f t="shared" si="1"/>
        <v>0.62600203085689887</v>
      </c>
      <c r="I12" s="180">
        <v>129251.09</v>
      </c>
      <c r="J12" s="392">
        <f t="shared" si="2"/>
        <v>5.3140821167449318E-3</v>
      </c>
      <c r="K12" s="569">
        <v>845101.38</v>
      </c>
      <c r="L12" s="390">
        <v>0.1462720337987784</v>
      </c>
      <c r="M12" s="224">
        <f t="shared" si="3"/>
        <v>17.016601984486169</v>
      </c>
      <c r="N12" s="569">
        <v>98792.51</v>
      </c>
      <c r="O12" s="390">
        <v>1.7099228215419732E-2</v>
      </c>
      <c r="P12" s="224">
        <f t="shared" si="4"/>
        <v>0.30830859545931166</v>
      </c>
    </row>
    <row r="13" spans="1:16" ht="15" customHeight="1" x14ac:dyDescent="0.25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364109630.30000001</v>
      </c>
      <c r="E13" s="84">
        <f t="shared" si="6"/>
        <v>142971895.68000001</v>
      </c>
      <c r="F13" s="90">
        <f t="shared" si="0"/>
        <v>0.39266167050347311</v>
      </c>
      <c r="G13" s="84">
        <f t="shared" si="6"/>
        <v>142971895.68000001</v>
      </c>
      <c r="H13" s="90">
        <f t="shared" si="1"/>
        <v>0.39266167050347311</v>
      </c>
      <c r="I13" s="84">
        <f t="shared" si="6"/>
        <v>56660053.740000002</v>
      </c>
      <c r="J13" s="170">
        <f t="shared" si="2"/>
        <v>0.15561262055418917</v>
      </c>
      <c r="K13" s="568">
        <f t="shared" ref="K13" si="7">SUM(K11:K12)</f>
        <v>108144064.94999999</v>
      </c>
      <c r="L13" s="90">
        <v>0.3581476131768917</v>
      </c>
      <c r="M13" s="213">
        <f t="shared" si="3"/>
        <v>0.32205032006243273</v>
      </c>
      <c r="N13" s="568">
        <f t="shared" ref="N13" si="8">SUM(N11:N12)</f>
        <v>53260966.579999998</v>
      </c>
      <c r="O13" s="90">
        <v>0.17638774781529235</v>
      </c>
      <c r="P13" s="213">
        <f t="shared" si="4"/>
        <v>6.3819479409831015E-2</v>
      </c>
    </row>
    <row r="14" spans="1:16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10900399.48</v>
      </c>
      <c r="J14" s="153">
        <f t="shared" si="2"/>
        <v>0.38992557370198577</v>
      </c>
      <c r="K14" s="565">
        <v>19326131.140000001</v>
      </c>
      <c r="L14" s="48">
        <v>0.72796071824961106</v>
      </c>
      <c r="M14" s="224">
        <f t="shared" si="3"/>
        <v>0.18777405284646109</v>
      </c>
      <c r="N14" s="565">
        <v>12242837.65</v>
      </c>
      <c r="O14" s="48">
        <v>0.46115307945216505</v>
      </c>
      <c r="P14" s="224">
        <f t="shared" si="4"/>
        <v>-0.10965090025513813</v>
      </c>
    </row>
    <row r="15" spans="1:16" ht="15" customHeight="1" x14ac:dyDescent="0.25">
      <c r="A15" s="24">
        <v>9</v>
      </c>
      <c r="B15" s="24" t="s">
        <v>9</v>
      </c>
      <c r="C15" s="176">
        <v>127725000</v>
      </c>
      <c r="D15" s="206">
        <v>127725000</v>
      </c>
      <c r="E15" s="34">
        <v>37102631.979999997</v>
      </c>
      <c r="F15" s="390">
        <f t="shared" si="0"/>
        <v>0.29048840853395963</v>
      </c>
      <c r="G15" s="34">
        <v>37102631.979999997</v>
      </c>
      <c r="H15" s="390">
        <f t="shared" si="1"/>
        <v>0.29048840853395963</v>
      </c>
      <c r="I15" s="34">
        <v>37102631.979999997</v>
      </c>
      <c r="J15" s="392">
        <f t="shared" si="2"/>
        <v>0.29048840853395963</v>
      </c>
      <c r="K15" s="569">
        <v>146854497.88999999</v>
      </c>
      <c r="L15" s="390">
        <v>0.93117541140166238</v>
      </c>
      <c r="M15" s="520">
        <f t="shared" si="3"/>
        <v>-0.74735106848554689</v>
      </c>
      <c r="N15" s="569">
        <v>146854497.88999999</v>
      </c>
      <c r="O15" s="390">
        <v>0.93117541140166238</v>
      </c>
      <c r="P15" s="520">
        <f t="shared" si="4"/>
        <v>-0.74735106848554689</v>
      </c>
    </row>
    <row r="16" spans="1:16" ht="15" customHeight="1" thickBot="1" x14ac:dyDescent="0.3">
      <c r="A16" s="9"/>
      <c r="B16" s="2" t="s">
        <v>10</v>
      </c>
      <c r="C16" s="519">
        <f>SUM(C14:C15)</f>
        <v>155680077.11000001</v>
      </c>
      <c r="D16" s="152">
        <f t="shared" ref="D16:I16" si="9">SUM(D14:D15)</f>
        <v>155680077.11000001</v>
      </c>
      <c r="E16" s="84">
        <f t="shared" si="9"/>
        <v>60057709.089999996</v>
      </c>
      <c r="F16" s="90">
        <f t="shared" si="0"/>
        <v>0.38577646032102475</v>
      </c>
      <c r="G16" s="84">
        <f t="shared" si="9"/>
        <v>60057709.089999996</v>
      </c>
      <c r="H16" s="90">
        <f t="shared" si="1"/>
        <v>0.38577646032102475</v>
      </c>
      <c r="I16" s="84">
        <f t="shared" si="9"/>
        <v>48003031.459999993</v>
      </c>
      <c r="J16" s="170">
        <f t="shared" si="2"/>
        <v>0.30834408840947669</v>
      </c>
      <c r="K16" s="568">
        <f t="shared" ref="K16" si="10">SUM(K14:K15)</f>
        <v>166180629.02999997</v>
      </c>
      <c r="L16" s="90">
        <v>0.90189562104010712</v>
      </c>
      <c r="M16" s="641">
        <f t="shared" si="3"/>
        <v>-0.63859982092643297</v>
      </c>
      <c r="N16" s="568">
        <f t="shared" ref="N16" si="11">SUM(N14:N15)</f>
        <v>159097335.53999999</v>
      </c>
      <c r="O16" s="90">
        <v>0.86345316587272647</v>
      </c>
      <c r="P16" s="641">
        <f t="shared" si="4"/>
        <v>-0.69827884736679868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813189232.46000004</v>
      </c>
      <c r="E17" s="155">
        <f t="shared" si="12"/>
        <v>420013621.59999996</v>
      </c>
      <c r="F17" s="181">
        <f t="shared" si="0"/>
        <v>0.51650170075347135</v>
      </c>
      <c r="G17" s="155">
        <f t="shared" si="12"/>
        <v>420013621.59999996</v>
      </c>
      <c r="H17" s="181">
        <f t="shared" si="1"/>
        <v>0.51650170075347135</v>
      </c>
      <c r="I17" s="155">
        <f t="shared" si="12"/>
        <v>202198445.38</v>
      </c>
      <c r="J17" s="173">
        <f t="shared" si="2"/>
        <v>0.2486486998460668</v>
      </c>
      <c r="K17" s="576">
        <f t="shared" ref="K17" si="13">+K10+K13+K16</f>
        <v>487033577.58999997</v>
      </c>
      <c r="L17" s="181">
        <v>0.54464439554766486</v>
      </c>
      <c r="M17" s="607">
        <f t="shared" si="3"/>
        <v>-0.1376084916396042</v>
      </c>
      <c r="N17" s="576">
        <f t="shared" ref="N17" si="14">+N10+N13+N16</f>
        <v>324691669.38</v>
      </c>
      <c r="O17" s="181">
        <v>0.36309919099192589</v>
      </c>
      <c r="P17" s="607">
        <f t="shared" si="4"/>
        <v>-0.37726013800693214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138"/>
  <sheetViews>
    <sheetView topLeftCell="A11" zoomScaleNormal="100" workbookViewId="0">
      <selection activeCell="K31" sqref="K31"/>
    </sheetView>
  </sheetViews>
  <sheetFormatPr defaultColWidth="11.44140625" defaultRowHeight="13.2" x14ac:dyDescent="0.25"/>
  <cols>
    <col min="1" max="1" width="2.6640625" customWidth="1"/>
    <col min="2" max="2" width="35.33203125" customWidth="1"/>
    <col min="3" max="3" width="13.33203125" bestFit="1" customWidth="1"/>
    <col min="4" max="4" width="11.5546875" bestFit="1" customWidth="1"/>
    <col min="5" max="5" width="10.88671875" customWidth="1"/>
    <col min="6" max="6" width="6.33203125" style="97" bestFit="1" customWidth="1"/>
    <col min="7" max="7" width="11.109375" bestFit="1" customWidth="1"/>
    <col min="8" max="8" width="7.6640625" style="97" bestFit="1" customWidth="1"/>
    <col min="9" max="9" width="11.33203125" customWidth="1"/>
    <col min="10" max="10" width="10.5546875" style="97" bestFit="1" customWidth="1"/>
    <col min="11" max="11" width="7.109375" style="97" bestFit="1" customWidth="1"/>
    <col min="12" max="12" width="24.5546875" style="60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228</v>
      </c>
      <c r="E1" t="s">
        <v>148</v>
      </c>
    </row>
    <row r="2" spans="1:17" x14ac:dyDescent="0.25">
      <c r="A2" s="8" t="s">
        <v>291</v>
      </c>
      <c r="C2" s="164" t="s">
        <v>765</v>
      </c>
      <c r="D2" s="743" t="s">
        <v>780</v>
      </c>
      <c r="E2" s="744"/>
      <c r="F2" s="744"/>
      <c r="G2" s="744"/>
      <c r="H2" s="745"/>
      <c r="I2" s="740" t="s">
        <v>781</v>
      </c>
      <c r="J2" s="741"/>
      <c r="K2" s="197"/>
    </row>
    <row r="3" spans="1:17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  <c r="M4" s="339"/>
      <c r="O4" s="339"/>
    </row>
    <row r="5" spans="1:17" s="287" customFormat="1" ht="15" customHeight="1" x14ac:dyDescent="0.25">
      <c r="A5" s="281"/>
      <c r="B5" s="281" t="s">
        <v>151</v>
      </c>
      <c r="C5" s="282">
        <v>668207000</v>
      </c>
      <c r="D5" s="368">
        <v>668207000</v>
      </c>
      <c r="E5" s="284">
        <v>373794520.77000004</v>
      </c>
      <c r="F5" s="372">
        <f>+E5/D5</f>
        <v>0.55939928909754022</v>
      </c>
      <c r="G5" s="284">
        <v>342365518.84999996</v>
      </c>
      <c r="H5" s="364">
        <f>G5/E5</f>
        <v>0.91591904061285401</v>
      </c>
      <c r="I5" s="284">
        <v>377253500.90000004</v>
      </c>
      <c r="J5" s="372">
        <v>0.6051441101433227</v>
      </c>
      <c r="K5" s="285">
        <f>+E5/I5-1</f>
        <v>-9.1688483254576125E-3</v>
      </c>
      <c r="L5" s="286" t="s">
        <v>164</v>
      </c>
      <c r="M5" s="339"/>
      <c r="N5"/>
      <c r="O5" s="340"/>
    </row>
    <row r="6" spans="1:17" s="287" customFormat="1" ht="15" customHeight="1" x14ac:dyDescent="0.25">
      <c r="A6" s="288"/>
      <c r="B6" s="288" t="s">
        <v>153</v>
      </c>
      <c r="C6" s="291">
        <v>57140714</v>
      </c>
      <c r="D6" s="292">
        <v>57140714</v>
      </c>
      <c r="E6" s="132">
        <v>38817598.350000001</v>
      </c>
      <c r="F6" s="327">
        <f t="shared" ref="F6:F68" si="0">+E6/D6</f>
        <v>0.67933344952602448</v>
      </c>
      <c r="G6" s="132">
        <v>23886745.32</v>
      </c>
      <c r="H6" s="364">
        <f t="shared" ref="H6:H14" si="1">G6/E6</f>
        <v>0.61535866038451081</v>
      </c>
      <c r="I6" s="132">
        <v>38625749.119999997</v>
      </c>
      <c r="J6" s="327">
        <v>0.65891758990105764</v>
      </c>
      <c r="K6" s="293">
        <f t="shared" ref="K6:K68" si="2">+E6/I6-1</f>
        <v>4.966874024992407E-3</v>
      </c>
      <c r="L6" s="289">
        <v>115</v>
      </c>
      <c r="M6" s="339"/>
      <c r="N6"/>
      <c r="O6" s="339"/>
    </row>
    <row r="7" spans="1:17" s="287" customFormat="1" ht="15" customHeight="1" x14ac:dyDescent="0.25">
      <c r="A7" s="288"/>
      <c r="B7" s="288" t="s">
        <v>152</v>
      </c>
      <c r="C7" s="291">
        <v>172677000</v>
      </c>
      <c r="D7" s="292">
        <v>172677000</v>
      </c>
      <c r="E7" s="132">
        <v>98330128.200000003</v>
      </c>
      <c r="F7" s="327">
        <f t="shared" si="0"/>
        <v>0.56944542816935673</v>
      </c>
      <c r="G7" s="132">
        <v>93020795.640000001</v>
      </c>
      <c r="H7" s="364">
        <f t="shared" si="1"/>
        <v>0.94600502758217697</v>
      </c>
      <c r="I7" s="132">
        <v>78708079.590000004</v>
      </c>
      <c r="J7" s="327">
        <v>0.65148144743158909</v>
      </c>
      <c r="K7" s="293">
        <f t="shared" si="2"/>
        <v>0.2493015801200289</v>
      </c>
      <c r="L7" s="289">
        <v>116</v>
      </c>
      <c r="M7" s="339"/>
      <c r="N7" s="455"/>
      <c r="O7" s="456"/>
    </row>
    <row r="8" spans="1:17" s="287" customFormat="1" ht="15" customHeight="1" x14ac:dyDescent="0.25">
      <c r="A8" s="288"/>
      <c r="B8" s="288" t="s">
        <v>154</v>
      </c>
      <c r="C8" s="291">
        <v>90475310</v>
      </c>
      <c r="D8" s="292">
        <v>90475310</v>
      </c>
      <c r="E8" s="132">
        <v>6452225.5700000003</v>
      </c>
      <c r="F8" s="327">
        <f t="shared" si="0"/>
        <v>7.1314766094750057E-2</v>
      </c>
      <c r="G8" s="132">
        <v>4368703.74</v>
      </c>
      <c r="H8" s="364">
        <f t="shared" si="1"/>
        <v>0.67708478146091844</v>
      </c>
      <c r="I8" s="132">
        <v>10336395.300000001</v>
      </c>
      <c r="J8" s="327">
        <v>0.11526120282999144</v>
      </c>
      <c r="K8" s="293">
        <f t="shared" si="2"/>
        <v>-0.37577604351102945</v>
      </c>
      <c r="L8" s="289">
        <v>130</v>
      </c>
      <c r="M8" s="339"/>
      <c r="N8" s="455"/>
      <c r="O8" s="456"/>
    </row>
    <row r="9" spans="1:17" s="287" customFormat="1" ht="15" customHeight="1" x14ac:dyDescent="0.25">
      <c r="A9" s="290"/>
      <c r="B9" s="290" t="s">
        <v>357</v>
      </c>
      <c r="C9" s="291">
        <v>10</v>
      </c>
      <c r="D9" s="292">
        <v>10</v>
      </c>
      <c r="E9" s="132">
        <v>0</v>
      </c>
      <c r="F9" s="327">
        <v>0</v>
      </c>
      <c r="G9" s="132">
        <v>0</v>
      </c>
      <c r="H9" s="364" t="s">
        <v>129</v>
      </c>
      <c r="I9" s="399">
        <v>0</v>
      </c>
      <c r="J9" s="327" t="s">
        <v>129</v>
      </c>
      <c r="K9" s="293" t="s">
        <v>129</v>
      </c>
      <c r="L9" s="289">
        <v>180</v>
      </c>
      <c r="M9" s="339"/>
      <c r="N9" s="455"/>
      <c r="O9" s="456"/>
    </row>
    <row r="10" spans="1:17" s="287" customFormat="1" ht="15" customHeight="1" x14ac:dyDescent="0.25">
      <c r="A10" s="290"/>
      <c r="B10" s="290" t="s">
        <v>155</v>
      </c>
      <c r="C10" s="291">
        <v>22174400.02</v>
      </c>
      <c r="D10" s="292">
        <v>22174400.02</v>
      </c>
      <c r="E10" s="294">
        <v>12776457.210000001</v>
      </c>
      <c r="F10" s="373">
        <f t="shared" si="0"/>
        <v>0.57618051439842299</v>
      </c>
      <c r="G10" s="294">
        <v>12381996.720000001</v>
      </c>
      <c r="H10" s="543">
        <f t="shared" si="1"/>
        <v>0.96912598825194984</v>
      </c>
      <c r="I10" s="294">
        <v>10656321.890000001</v>
      </c>
      <c r="J10" s="373">
        <v>0.63555328263851618</v>
      </c>
      <c r="K10" s="295">
        <f t="shared" si="2"/>
        <v>0.19895563796637528</v>
      </c>
      <c r="L10" s="289">
        <v>290</v>
      </c>
      <c r="M10" s="339"/>
      <c r="N10" s="455"/>
      <c r="O10" s="456"/>
    </row>
    <row r="11" spans="1:17" ht="15" customHeight="1" x14ac:dyDescent="0.25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530170930.10000002</v>
      </c>
      <c r="F11" s="90">
        <f>+E11/D11</f>
        <v>0.52457142701356652</v>
      </c>
      <c r="G11" s="84">
        <f>SUM(G5:G10)</f>
        <v>476023760.26999998</v>
      </c>
      <c r="H11" s="170">
        <f t="shared" si="1"/>
        <v>0.89786846702480105</v>
      </c>
      <c r="I11" s="84">
        <f>SUM(I5:I10)</f>
        <v>515580046.80000001</v>
      </c>
      <c r="J11" s="43">
        <v>0.56701385673391802</v>
      </c>
      <c r="K11" s="144">
        <f>+E11/I11-1</f>
        <v>2.8299937886580029E-2</v>
      </c>
      <c r="M11" s="339"/>
      <c r="N11" s="455"/>
      <c r="O11" s="456"/>
      <c r="P11" s="287"/>
      <c r="Q11" s="287"/>
    </row>
    <row r="12" spans="1:17" s="287" customFormat="1" ht="15" customHeight="1" x14ac:dyDescent="0.25">
      <c r="A12" s="281"/>
      <c r="B12" s="281" t="s">
        <v>157</v>
      </c>
      <c r="C12" s="282">
        <v>90056137.610000014</v>
      </c>
      <c r="D12" s="368">
        <v>90056137.609999999</v>
      </c>
      <c r="E12" s="326">
        <v>37470822.900000006</v>
      </c>
      <c r="F12" s="655">
        <f t="shared" si="0"/>
        <v>0.41608294442153798</v>
      </c>
      <c r="G12" s="326">
        <v>29511589.52</v>
      </c>
      <c r="H12" s="355">
        <f t="shared" si="1"/>
        <v>0.78758850849790107</v>
      </c>
      <c r="I12" s="284">
        <v>37470822.900000006</v>
      </c>
      <c r="J12" s="372">
        <v>0.41529464214069661</v>
      </c>
      <c r="K12" s="285">
        <f t="shared" si="2"/>
        <v>0</v>
      </c>
      <c r="L12" s="286" t="s">
        <v>165</v>
      </c>
      <c r="M12" s="339"/>
      <c r="N12" s="455"/>
      <c r="O12" s="456"/>
    </row>
    <row r="13" spans="1:17" s="287" customFormat="1" ht="15" customHeight="1" x14ac:dyDescent="0.25">
      <c r="A13" s="290"/>
      <c r="B13" s="290" t="s">
        <v>158</v>
      </c>
      <c r="C13" s="291">
        <v>1007970486.3199999</v>
      </c>
      <c r="D13" s="292">
        <v>1007970486.3199999</v>
      </c>
      <c r="E13" s="656">
        <v>405317699.25</v>
      </c>
      <c r="F13" s="654">
        <f t="shared" si="0"/>
        <v>0.40211266574855248</v>
      </c>
      <c r="G13" s="656">
        <v>319545892.47999996</v>
      </c>
      <c r="H13" s="365">
        <f t="shared" si="1"/>
        <v>0.78838376185221559</v>
      </c>
      <c r="I13" s="294">
        <v>405317699.25</v>
      </c>
      <c r="J13" s="373">
        <v>0.43281527537257952</v>
      </c>
      <c r="K13" s="295">
        <f t="shared" si="2"/>
        <v>0</v>
      </c>
      <c r="L13" s="286" t="s">
        <v>186</v>
      </c>
      <c r="M13" s="339"/>
      <c r="N13" s="339"/>
      <c r="O13" s="339"/>
    </row>
    <row r="14" spans="1:17" ht="15" customHeight="1" x14ac:dyDescent="0.25">
      <c r="A14" s="9"/>
      <c r="B14" s="2" t="s">
        <v>159</v>
      </c>
      <c r="C14" s="162">
        <f>SUM(C12:C13)</f>
        <v>1098026623.9299998</v>
      </c>
      <c r="D14" s="152">
        <f>SUM(D12:D13)</f>
        <v>1098026623.9299998</v>
      </c>
      <c r="E14" s="84">
        <f>SUM(E12:E13)</f>
        <v>442788522.14999998</v>
      </c>
      <c r="F14" s="90">
        <f>+E14/D14</f>
        <v>0.40325845703558105</v>
      </c>
      <c r="G14" s="84">
        <f>SUM(G12:G13)</f>
        <v>349057481.99999994</v>
      </c>
      <c r="H14" s="171">
        <f t="shared" si="1"/>
        <v>0.7883164638169019</v>
      </c>
      <c r="I14" s="84">
        <f>SUM(I12:I13)</f>
        <v>442788522.14999998</v>
      </c>
      <c r="J14" s="43">
        <v>0.43127554322551986</v>
      </c>
      <c r="K14" s="144">
        <f t="shared" si="2"/>
        <v>0</v>
      </c>
      <c r="M14" s="339"/>
      <c r="N14" s="339"/>
      <c r="O14" s="339"/>
      <c r="P14" s="287"/>
      <c r="Q14" s="287"/>
    </row>
    <row r="15" spans="1:17" s="287" customFormat="1" ht="15" customHeight="1" x14ac:dyDescent="0.25">
      <c r="A15" s="281"/>
      <c r="B15" s="281" t="s">
        <v>160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58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4"/>
      <c r="O15" s="456"/>
    </row>
    <row r="16" spans="1:17" s="287" customFormat="1" ht="15" customHeight="1" x14ac:dyDescent="0.25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4"/>
      <c r="O16" s="456"/>
    </row>
    <row r="17" spans="1:17" s="287" customFormat="1" ht="15" customHeight="1" x14ac:dyDescent="0.25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4"/>
      <c r="O17" s="456"/>
    </row>
    <row r="18" spans="1:17" s="287" customFormat="1" ht="15" customHeight="1" x14ac:dyDescent="0.25">
      <c r="A18" s="281"/>
      <c r="B18" s="344" t="s">
        <v>162</v>
      </c>
      <c r="C18" s="486">
        <v>15107000</v>
      </c>
      <c r="D18" s="368">
        <v>15107000</v>
      </c>
      <c r="E18" s="341">
        <v>6131880.5499999998</v>
      </c>
      <c r="F18" s="375">
        <f t="shared" si="0"/>
        <v>0.40589664063017145</v>
      </c>
      <c r="G18" s="341">
        <v>4980461.66</v>
      </c>
      <c r="H18" s="355">
        <f t="shared" ref="H18:H23" si="3">+G18/E18</f>
        <v>0.81222418137287433</v>
      </c>
      <c r="I18" s="341">
        <v>5002895.79</v>
      </c>
      <c r="J18" s="401">
        <v>0.32276747032258063</v>
      </c>
      <c r="K18" s="384">
        <f t="shared" si="2"/>
        <v>0.22566625558274911</v>
      </c>
      <c r="L18" s="289">
        <v>301</v>
      </c>
      <c r="M18" s="339"/>
      <c r="N18" s="454"/>
      <c r="O18" s="456"/>
    </row>
    <row r="19" spans="1:17" s="287" customFormat="1" ht="15" customHeight="1" x14ac:dyDescent="0.25">
      <c r="A19" s="281"/>
      <c r="B19" s="343" t="s">
        <v>167</v>
      </c>
      <c r="C19" s="291">
        <v>9977000</v>
      </c>
      <c r="D19" s="292">
        <v>9977000</v>
      </c>
      <c r="E19" s="284">
        <v>2204871.38</v>
      </c>
      <c r="F19" s="374">
        <f t="shared" si="0"/>
        <v>0.22099542748321138</v>
      </c>
      <c r="G19" s="284">
        <v>2191560.7400000002</v>
      </c>
      <c r="H19" s="355">
        <f t="shared" si="3"/>
        <v>0.99396307643124304</v>
      </c>
      <c r="I19" s="284">
        <v>4320408.03</v>
      </c>
      <c r="J19" s="335">
        <v>0.71199868655240606</v>
      </c>
      <c r="K19" s="385">
        <f t="shared" si="2"/>
        <v>-0.4896613086796805</v>
      </c>
      <c r="L19" s="289">
        <v>321</v>
      </c>
      <c r="M19" s="339"/>
      <c r="N19" s="455"/>
      <c r="O19" s="456"/>
    </row>
    <row r="20" spans="1:17" s="287" customFormat="1" ht="15" customHeight="1" x14ac:dyDescent="0.25">
      <c r="A20" s="281"/>
      <c r="B20" s="343" t="s">
        <v>168</v>
      </c>
      <c r="C20" s="291">
        <v>15905000.01</v>
      </c>
      <c r="D20" s="292">
        <v>15905000.01</v>
      </c>
      <c r="E20" s="326">
        <v>16599641.199999999</v>
      </c>
      <c r="F20" s="374">
        <f t="shared" si="0"/>
        <v>1.0436743910445303</v>
      </c>
      <c r="G20" s="326">
        <v>15717213.49</v>
      </c>
      <c r="H20" s="355">
        <f t="shared" si="3"/>
        <v>0.94684055520428967</v>
      </c>
      <c r="I20" s="284">
        <v>15941347.550000001</v>
      </c>
      <c r="J20" s="335">
        <v>0.95132467270315413</v>
      </c>
      <c r="K20" s="385">
        <f t="shared" si="2"/>
        <v>4.1294730444541239E-2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5">
      <c r="A21" s="281"/>
      <c r="B21" s="343" t="s">
        <v>169</v>
      </c>
      <c r="C21" s="291">
        <v>33625000</v>
      </c>
      <c r="D21" s="292">
        <v>33625000</v>
      </c>
      <c r="E21" s="657">
        <v>12103518.91</v>
      </c>
      <c r="F21" s="374">
        <f t="shared" si="0"/>
        <v>0.35995595271375463</v>
      </c>
      <c r="G21" s="657">
        <v>5797449.8099999996</v>
      </c>
      <c r="H21" s="355">
        <f t="shared" si="3"/>
        <v>0.47898878442781723</v>
      </c>
      <c r="I21" s="284">
        <v>11782212.18</v>
      </c>
      <c r="J21" s="335">
        <v>0.38555620864557083</v>
      </c>
      <c r="K21" s="385">
        <f t="shared" si="2"/>
        <v>2.7270492594371198E-2</v>
      </c>
      <c r="L21" s="313" t="s">
        <v>170</v>
      </c>
      <c r="M21" s="339"/>
      <c r="N21" s="339"/>
      <c r="O21" s="339"/>
    </row>
    <row r="22" spans="1:17" s="287" customFormat="1" ht="15" customHeight="1" x14ac:dyDescent="0.25">
      <c r="A22" s="281"/>
      <c r="B22" s="343" t="s">
        <v>171</v>
      </c>
      <c r="C22" s="291">
        <v>8349000</v>
      </c>
      <c r="D22" s="292">
        <v>8349000</v>
      </c>
      <c r="E22" s="657">
        <v>6539327.5599999996</v>
      </c>
      <c r="F22" s="374">
        <f t="shared" si="0"/>
        <v>0.7832468032099652</v>
      </c>
      <c r="G22" s="326">
        <v>5713920.75</v>
      </c>
      <c r="H22" s="355">
        <f t="shared" si="3"/>
        <v>0.87377802955629891</v>
      </c>
      <c r="I22" s="284">
        <v>6366293.9699999997</v>
      </c>
      <c r="J22" s="335">
        <v>0.74660419578586157</v>
      </c>
      <c r="K22" s="385">
        <f t="shared" si="2"/>
        <v>2.7179641847421721E-2</v>
      </c>
      <c r="L22" s="313">
        <v>335</v>
      </c>
      <c r="M22" s="339"/>
      <c r="N22" s="339"/>
      <c r="O22" s="339"/>
    </row>
    <row r="23" spans="1:17" s="287" customFormat="1" ht="15" customHeight="1" x14ac:dyDescent="0.25">
      <c r="A23" s="318"/>
      <c r="B23" s="459" t="s">
        <v>172</v>
      </c>
      <c r="C23" s="492">
        <v>3208129.9999999963</v>
      </c>
      <c r="D23" s="324">
        <v>3208130</v>
      </c>
      <c r="E23" s="659">
        <v>3213176.0300000003</v>
      </c>
      <c r="F23" s="380">
        <f t="shared" si="0"/>
        <v>1.0015728882557753</v>
      </c>
      <c r="G23" s="659">
        <v>1998494.35</v>
      </c>
      <c r="H23" s="445">
        <f t="shared" si="3"/>
        <v>0.62196852314997508</v>
      </c>
      <c r="I23" s="324">
        <v>1899484.24</v>
      </c>
      <c r="J23" s="402">
        <v>0.62697171449836542</v>
      </c>
      <c r="K23" s="386">
        <f t="shared" si="2"/>
        <v>0.69160446943218656</v>
      </c>
      <c r="L23" s="317" t="s">
        <v>173</v>
      </c>
      <c r="M23" s="339"/>
      <c r="N23" s="339"/>
      <c r="O23" s="339"/>
    </row>
    <row r="24" spans="1:17" s="287" customFormat="1" ht="15" customHeight="1" x14ac:dyDescent="0.25">
      <c r="A24" s="281"/>
      <c r="B24" s="281" t="s">
        <v>174</v>
      </c>
      <c r="C24" s="497">
        <v>18467000</v>
      </c>
      <c r="D24" s="368">
        <v>18467000</v>
      </c>
      <c r="E24" s="284">
        <v>586528.55000000005</v>
      </c>
      <c r="F24" s="374">
        <f t="shared" si="0"/>
        <v>3.1760900525261281E-2</v>
      </c>
      <c r="G24" s="284">
        <v>350317.8</v>
      </c>
      <c r="H24" s="355">
        <f>+G24/E24</f>
        <v>0.59727322736463551</v>
      </c>
      <c r="I24" s="284">
        <v>2052449.29</v>
      </c>
      <c r="J24" s="335">
        <v>0.11638498950949816</v>
      </c>
      <c r="K24" s="285">
        <f t="shared" si="2"/>
        <v>-0.71422994328887901</v>
      </c>
      <c r="L24" s="313">
        <v>34920</v>
      </c>
      <c r="M24" s="339"/>
      <c r="N24" s="339"/>
      <c r="O24" s="339"/>
    </row>
    <row r="25" spans="1:17" s="287" customFormat="1" ht="15" customHeight="1" x14ac:dyDescent="0.25">
      <c r="A25" s="281"/>
      <c r="B25" s="281" t="s">
        <v>175</v>
      </c>
      <c r="C25" s="291">
        <v>5620000</v>
      </c>
      <c r="D25" s="292">
        <v>5620000</v>
      </c>
      <c r="E25" s="284">
        <v>427007.29</v>
      </c>
      <c r="F25" s="374">
        <f t="shared" si="0"/>
        <v>7.5979944839857649E-2</v>
      </c>
      <c r="G25" s="284">
        <v>143064.98000000001</v>
      </c>
      <c r="H25" s="355">
        <f>+G25/E25</f>
        <v>0.33504107154704554</v>
      </c>
      <c r="I25" s="284">
        <v>2356975.5099999998</v>
      </c>
      <c r="J25" s="335">
        <v>0.3765738153059594</v>
      </c>
      <c r="K25" s="285">
        <f t="shared" si="2"/>
        <v>-0.81883252999943135</v>
      </c>
      <c r="L25" s="313">
        <v>34921</v>
      </c>
      <c r="M25" s="339"/>
      <c r="N25" s="339"/>
      <c r="O25" s="339"/>
    </row>
    <row r="26" spans="1:17" s="287" customFormat="1" ht="15" customHeight="1" x14ac:dyDescent="0.25">
      <c r="A26" s="281"/>
      <c r="B26" s="281" t="s">
        <v>176</v>
      </c>
      <c r="C26" s="291">
        <v>2989289.9700000007</v>
      </c>
      <c r="D26" s="292">
        <v>2989289.9699999988</v>
      </c>
      <c r="E26" s="284">
        <v>1257916.5999999999</v>
      </c>
      <c r="F26" s="380">
        <f t="shared" si="0"/>
        <v>0.42080782146403828</v>
      </c>
      <c r="G26" s="284">
        <v>1170566.8400000001</v>
      </c>
      <c r="H26" s="355">
        <f t="shared" ref="H26:H68" si="4">+G26/E26</f>
        <v>0.93055997512076727</v>
      </c>
      <c r="I26" s="324">
        <v>1306398.45</v>
      </c>
      <c r="J26" s="335">
        <v>0.33727757951394205</v>
      </c>
      <c r="K26" s="285">
        <f t="shared" si="2"/>
        <v>-3.7111074343359918E-2</v>
      </c>
      <c r="L26" s="345" t="s">
        <v>351</v>
      </c>
      <c r="M26" s="339"/>
      <c r="N26" s="339"/>
      <c r="O26" s="339"/>
    </row>
    <row r="27" spans="1:17" s="287" customFormat="1" ht="15" customHeight="1" x14ac:dyDescent="0.25">
      <c r="A27" s="299"/>
      <c r="B27" s="299" t="s">
        <v>506</v>
      </c>
      <c r="C27" s="487">
        <v>10</v>
      </c>
      <c r="D27" s="301">
        <v>10</v>
      </c>
      <c r="E27" s="302">
        <v>0</v>
      </c>
      <c r="F27" s="374">
        <f t="shared" si="0"/>
        <v>0</v>
      </c>
      <c r="G27" s="302">
        <v>0</v>
      </c>
      <c r="H27" s="303" t="s">
        <v>129</v>
      </c>
      <c r="I27" s="301">
        <v>0</v>
      </c>
      <c r="J27" s="403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5">
      <c r="A28" s="281"/>
      <c r="B28" s="281" t="s">
        <v>177</v>
      </c>
      <c r="C28" s="486">
        <v>9100000</v>
      </c>
      <c r="D28" s="292">
        <v>9100000</v>
      </c>
      <c r="E28" s="284">
        <v>2688125.06</v>
      </c>
      <c r="F28" s="374">
        <f t="shared" si="0"/>
        <v>0.29539835824175825</v>
      </c>
      <c r="G28" s="284">
        <v>179352.72</v>
      </c>
      <c r="H28" s="355">
        <f>+G28/E28</f>
        <v>6.6720377957415422E-2</v>
      </c>
      <c r="I28" s="284">
        <v>3640804.26</v>
      </c>
      <c r="J28" s="335">
        <v>0.59685315737704914</v>
      </c>
      <c r="K28" s="285">
        <f t="shared" si="2"/>
        <v>-0.2616672394247308</v>
      </c>
      <c r="L28" s="313">
        <v>36500</v>
      </c>
      <c r="M28" s="339"/>
      <c r="N28" s="339"/>
      <c r="O28" s="339"/>
    </row>
    <row r="29" spans="1:17" s="287" customFormat="1" ht="15" customHeight="1" x14ac:dyDescent="0.25">
      <c r="A29" s="296"/>
      <c r="B29" s="296" t="s">
        <v>178</v>
      </c>
      <c r="C29" s="492">
        <v>420149.99000000022</v>
      </c>
      <c r="D29" s="324">
        <v>420149.99000000022</v>
      </c>
      <c r="E29" s="325">
        <v>118561.37000000011</v>
      </c>
      <c r="F29" s="347">
        <f t="shared" si="0"/>
        <v>0.2821882014087399</v>
      </c>
      <c r="G29" s="297">
        <v>64134.070000000007</v>
      </c>
      <c r="H29" s="366">
        <f t="shared" si="4"/>
        <v>0.54093563527479438</v>
      </c>
      <c r="I29" s="297">
        <v>105434.82</v>
      </c>
      <c r="J29" s="402">
        <v>0.27011021161039095</v>
      </c>
      <c r="K29" s="298">
        <f t="shared" si="2"/>
        <v>0.12449919296111189</v>
      </c>
      <c r="L29" s="317" t="s">
        <v>180</v>
      </c>
      <c r="N29"/>
    </row>
    <row r="30" spans="1:17" s="287" customFormat="1" ht="15" customHeight="1" x14ac:dyDescent="0.25">
      <c r="A30" s="281"/>
      <c r="B30" s="281" t="s">
        <v>179</v>
      </c>
      <c r="C30" s="321">
        <v>1127180.06</v>
      </c>
      <c r="D30" s="187">
        <v>1127180.06</v>
      </c>
      <c r="E30" s="310">
        <v>346571.84</v>
      </c>
      <c r="F30" s="374">
        <f t="shared" si="0"/>
        <v>0.30746803665068384</v>
      </c>
      <c r="G30" s="125">
        <v>344068.72</v>
      </c>
      <c r="H30" s="355">
        <f t="shared" si="4"/>
        <v>0.99277748590306691</v>
      </c>
      <c r="I30" s="284">
        <v>1132427.8999999999</v>
      </c>
      <c r="J30" s="401">
        <v>1.301156725567874</v>
      </c>
      <c r="K30" s="387">
        <f t="shared" si="2"/>
        <v>-0.69395681614697047</v>
      </c>
      <c r="L30" s="289">
        <v>38</v>
      </c>
      <c r="N30"/>
    </row>
    <row r="31" spans="1:17" s="287" customFormat="1" ht="15" customHeight="1" x14ac:dyDescent="0.25">
      <c r="A31" s="281"/>
      <c r="B31" s="281" t="s">
        <v>181</v>
      </c>
      <c r="C31" s="282">
        <v>54686190</v>
      </c>
      <c r="D31" s="187">
        <v>54686190</v>
      </c>
      <c r="E31" s="310">
        <v>27198575.23</v>
      </c>
      <c r="F31" s="374">
        <f t="shared" si="0"/>
        <v>0.49735728947289987</v>
      </c>
      <c r="G31" s="125">
        <v>13455587.710000001</v>
      </c>
      <c r="H31" s="355">
        <f t="shared" si="4"/>
        <v>0.49471663850827385</v>
      </c>
      <c r="I31" s="284">
        <v>40641055.219999999</v>
      </c>
      <c r="J31" s="335">
        <v>0.78821690305149761</v>
      </c>
      <c r="K31" s="285">
        <f t="shared" si="2"/>
        <v>-0.33076109656190167</v>
      </c>
      <c r="L31" s="289">
        <v>391</v>
      </c>
      <c r="N31"/>
    </row>
    <row r="32" spans="1:17" s="287" customFormat="1" ht="15" customHeight="1" x14ac:dyDescent="0.25">
      <c r="A32" s="281"/>
      <c r="B32" s="281" t="s">
        <v>182</v>
      </c>
      <c r="C32" s="291">
        <v>12205000</v>
      </c>
      <c r="D32" s="187">
        <v>12205000</v>
      </c>
      <c r="E32" s="310">
        <v>4567297.8899999997</v>
      </c>
      <c r="F32" s="374">
        <f t="shared" si="0"/>
        <v>0.37421531257681273</v>
      </c>
      <c r="G32" s="125">
        <v>4567297.8899999997</v>
      </c>
      <c r="H32" s="355">
        <f t="shared" si="4"/>
        <v>1</v>
      </c>
      <c r="I32" s="284">
        <v>4895066.24</v>
      </c>
      <c r="J32" s="335">
        <v>0.45714103847590587</v>
      </c>
      <c r="K32" s="285">
        <f t="shared" si="2"/>
        <v>-6.6958920253549103E-2</v>
      </c>
      <c r="L32" s="289">
        <v>392</v>
      </c>
    </row>
    <row r="33" spans="1:18" s="287" customFormat="1" ht="15" customHeight="1" x14ac:dyDescent="0.25">
      <c r="A33" s="281"/>
      <c r="B33" s="305" t="s">
        <v>183</v>
      </c>
      <c r="C33" s="291">
        <v>8093000</v>
      </c>
      <c r="D33" s="187">
        <v>8093000</v>
      </c>
      <c r="E33" s="310">
        <v>3857344.71</v>
      </c>
      <c r="F33" s="316">
        <f t="shared" si="0"/>
        <v>0.47662729642901275</v>
      </c>
      <c r="G33" s="125">
        <v>3371950.44</v>
      </c>
      <c r="H33" s="355">
        <f t="shared" si="4"/>
        <v>0.87416362640817757</v>
      </c>
      <c r="I33" s="125">
        <v>9945.56</v>
      </c>
      <c r="J33" s="335">
        <v>1.3884629345246404E-3</v>
      </c>
      <c r="K33" s="285">
        <f t="shared" si="2"/>
        <v>386.84590410193096</v>
      </c>
      <c r="L33" s="289">
        <v>393</v>
      </c>
      <c r="N33"/>
    </row>
    <row r="34" spans="1:18" s="287" customFormat="1" ht="15" customHeight="1" x14ac:dyDescent="0.25">
      <c r="A34" s="281"/>
      <c r="B34" s="307" t="s">
        <v>361</v>
      </c>
      <c r="C34" s="291">
        <v>10</v>
      </c>
      <c r="D34" s="187">
        <v>10</v>
      </c>
      <c r="E34" s="310">
        <v>0</v>
      </c>
      <c r="F34" s="316">
        <f t="shared" si="0"/>
        <v>0</v>
      </c>
      <c r="G34" s="125">
        <v>0</v>
      </c>
      <c r="H34" s="355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5">
      <c r="A35" s="309"/>
      <c r="B35" s="233" t="s">
        <v>415</v>
      </c>
      <c r="C35" s="291">
        <v>4478472.4000000004</v>
      </c>
      <c r="D35" s="187">
        <v>4478472.4000000004</v>
      </c>
      <c r="E35" s="310">
        <v>2803529.26</v>
      </c>
      <c r="F35" s="316">
        <f t="shared" si="0"/>
        <v>0.62600123649305051</v>
      </c>
      <c r="G35" s="125">
        <v>0</v>
      </c>
      <c r="H35" s="498" t="s">
        <v>129</v>
      </c>
      <c r="I35" s="310">
        <v>2113708.9500000002</v>
      </c>
      <c r="J35" s="335" t="s">
        <v>129</v>
      </c>
      <c r="K35" s="285" t="s">
        <v>129</v>
      </c>
      <c r="L35" s="289">
        <v>397</v>
      </c>
      <c r="N35"/>
    </row>
    <row r="36" spans="1:18" s="287" customFormat="1" ht="15" customHeight="1" x14ac:dyDescent="0.25">
      <c r="A36" s="309"/>
      <c r="B36" s="719" t="s">
        <v>774</v>
      </c>
      <c r="C36" s="291">
        <v>0</v>
      </c>
      <c r="D36" s="544">
        <v>0</v>
      </c>
      <c r="E36" s="399">
        <v>6765.03</v>
      </c>
      <c r="F36" s="376" t="s">
        <v>129</v>
      </c>
      <c r="G36" s="311">
        <v>6765.03</v>
      </c>
      <c r="H36" s="367">
        <f t="shared" si="4"/>
        <v>1</v>
      </c>
      <c r="I36" s="311">
        <v>0</v>
      </c>
      <c r="J36" s="404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5">
      <c r="A37" s="309"/>
      <c r="B37" s="247" t="s">
        <v>184</v>
      </c>
      <c r="C37" s="291">
        <v>10046099.98</v>
      </c>
      <c r="D37" s="544">
        <v>10046099.98</v>
      </c>
      <c r="E37" s="399">
        <v>7407077.54</v>
      </c>
      <c r="F37" s="376">
        <f t="shared" si="0"/>
        <v>0.73730876208142215</v>
      </c>
      <c r="G37" s="311">
        <v>6909283.0099999998</v>
      </c>
      <c r="H37" s="367">
        <f t="shared" si="4"/>
        <v>0.93279474565889309</v>
      </c>
      <c r="I37" s="311">
        <v>1124429.6100000001</v>
      </c>
      <c r="J37" s="404">
        <v>9.5734494859486749E-2</v>
      </c>
      <c r="K37" s="312">
        <f t="shared" si="2"/>
        <v>5.587408828552638</v>
      </c>
      <c r="L37" s="289">
        <v>399</v>
      </c>
      <c r="N37"/>
    </row>
    <row r="38" spans="1:18" ht="15" customHeight="1" thickBot="1" x14ac:dyDescent="0.3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98057716.000000015</v>
      </c>
      <c r="F38" s="377">
        <f>+E38/D38</f>
        <v>0.35006032669505843</v>
      </c>
      <c r="G38" s="174">
        <f>SUM(G15:G37)</f>
        <v>66961490.009999998</v>
      </c>
      <c r="H38" s="175">
        <f t="shared" si="4"/>
        <v>0.68287833677463983</v>
      </c>
      <c r="I38" s="152">
        <f>SUM(I15:I37)</f>
        <v>104691337.56999999</v>
      </c>
      <c r="J38" s="43">
        <v>0.40245524493082935</v>
      </c>
      <c r="K38" s="182">
        <f>+E38/I38-1</f>
        <v>-6.3363614640652766E-2</v>
      </c>
      <c r="L38" s="701" t="s">
        <v>148</v>
      </c>
    </row>
    <row r="39" spans="1:18" ht="14.4" thickBot="1" x14ac:dyDescent="0.3">
      <c r="A39" s="7" t="s">
        <v>228</v>
      </c>
    </row>
    <row r="40" spans="1:18" x14ac:dyDescent="0.25">
      <c r="A40" s="8" t="s">
        <v>290</v>
      </c>
      <c r="C40" s="164" t="s">
        <v>765</v>
      </c>
      <c r="D40" s="746" t="s">
        <v>780</v>
      </c>
      <c r="E40" s="744"/>
      <c r="F40" s="744"/>
      <c r="G40" s="744"/>
      <c r="H40" s="745"/>
      <c r="I40" s="742" t="s">
        <v>781</v>
      </c>
      <c r="J40" s="741"/>
      <c r="K40" s="197"/>
    </row>
    <row r="41" spans="1:18" x14ac:dyDescent="0.25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6.4" x14ac:dyDescent="0.25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764</v>
      </c>
      <c r="L42" s="58" t="s">
        <v>163</v>
      </c>
    </row>
    <row r="43" spans="1:18" s="287" customFormat="1" ht="15" customHeight="1" x14ac:dyDescent="0.25">
      <c r="A43" s="296"/>
      <c r="B43" s="296" t="s">
        <v>187</v>
      </c>
      <c r="C43" s="475">
        <v>11438669.410000086</v>
      </c>
      <c r="D43" s="297">
        <v>11444895.810000062</v>
      </c>
      <c r="E43" s="297">
        <v>1674932.5199999809</v>
      </c>
      <c r="F43" s="347">
        <f t="shared" ref="F43:F59" si="5">+E43/D43</f>
        <v>0.14634755508534175</v>
      </c>
      <c r="G43" s="369">
        <v>1310581.6800000668</v>
      </c>
      <c r="H43" s="463">
        <f t="shared" ref="H43:H44" si="6">G43/E43</f>
        <v>0.78246834684425481</v>
      </c>
      <c r="I43" s="297">
        <v>4588840.1199999899</v>
      </c>
      <c r="J43" s="402">
        <v>0.75993454617503986</v>
      </c>
      <c r="K43" s="502">
        <f t="shared" ref="K43:K44" si="7">+E43/I43-1</f>
        <v>-0.63499871945854924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5">
      <c r="A44" s="296"/>
      <c r="B44" s="296" t="s">
        <v>189</v>
      </c>
      <c r="C44" s="300">
        <v>170</v>
      </c>
      <c r="D44" s="297">
        <v>170</v>
      </c>
      <c r="E44" s="297">
        <v>77156.41</v>
      </c>
      <c r="F44" s="347" t="s">
        <v>129</v>
      </c>
      <c r="G44" s="297">
        <v>53695</v>
      </c>
      <c r="H44" s="463">
        <f t="shared" si="6"/>
        <v>0.69592403275372705</v>
      </c>
      <c r="I44" s="297">
        <v>150000</v>
      </c>
      <c r="J44" s="402">
        <v>0.99893446989877466</v>
      </c>
      <c r="K44" s="502">
        <f t="shared" si="7"/>
        <v>-0.48562393333333331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5">
      <c r="A45" s="281"/>
      <c r="B45" s="281" t="s">
        <v>190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129</v>
      </c>
      <c r="I45" s="284">
        <v>0</v>
      </c>
      <c r="J45" s="335">
        <v>0</v>
      </c>
      <c r="K45" s="501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5">
      <c r="A46" s="281"/>
      <c r="B46" s="281" t="s">
        <v>191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10" t="s">
        <v>129</v>
      </c>
      <c r="I46" s="284">
        <v>0</v>
      </c>
      <c r="J46" s="335">
        <v>0</v>
      </c>
      <c r="K46" s="388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5">
      <c r="A47" s="281"/>
      <c r="B47" s="305" t="s">
        <v>192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129</v>
      </c>
      <c r="I47" s="125">
        <v>0</v>
      </c>
      <c r="J47" s="328">
        <v>0</v>
      </c>
      <c r="K47" s="388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5">
      <c r="A48" s="281"/>
      <c r="B48" s="305" t="s">
        <v>193</v>
      </c>
      <c r="C48" s="306">
        <v>55432683.120000005</v>
      </c>
      <c r="D48" s="284">
        <v>55432683.120000005</v>
      </c>
      <c r="E48" s="125">
        <v>31179766.440000001</v>
      </c>
      <c r="F48" s="316">
        <f t="shared" si="5"/>
        <v>0.56247983473039576</v>
      </c>
      <c r="G48" s="125">
        <v>10105800.870000001</v>
      </c>
      <c r="H48" s="314">
        <f t="shared" ref="H48" si="8">G48/E48</f>
        <v>0.32411406574987806</v>
      </c>
      <c r="I48" s="125">
        <v>4215076.92</v>
      </c>
      <c r="J48" s="328">
        <v>9.3673627968074741E-2</v>
      </c>
      <c r="K48" s="388">
        <f t="shared" ref="K48" si="9">+E48/I48-1</f>
        <v>6.3971998688934963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5">
      <c r="A49" s="281"/>
      <c r="B49" s="305" t="s">
        <v>417</v>
      </c>
      <c r="C49" s="306">
        <v>0</v>
      </c>
      <c r="D49" s="284">
        <v>0</v>
      </c>
      <c r="E49" s="125">
        <v>0</v>
      </c>
      <c r="F49" s="316" t="s">
        <v>129</v>
      </c>
      <c r="G49" s="125">
        <v>0</v>
      </c>
      <c r="H49" s="710" t="s">
        <v>129</v>
      </c>
      <c r="I49" s="125">
        <v>0</v>
      </c>
      <c r="J49" s="328" t="s">
        <v>129</v>
      </c>
      <c r="K49" s="499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5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10" t="s">
        <v>129</v>
      </c>
      <c r="I50" s="125">
        <v>0</v>
      </c>
      <c r="J50" s="328" t="s">
        <v>129</v>
      </c>
      <c r="K50" s="499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5">
      <c r="A51" s="281"/>
      <c r="B51" s="305" t="s">
        <v>194</v>
      </c>
      <c r="C51" s="306">
        <v>428254.71999999997</v>
      </c>
      <c r="D51" s="125">
        <v>608265.06000000006</v>
      </c>
      <c r="E51" s="125">
        <v>0</v>
      </c>
      <c r="F51" s="316">
        <f t="shared" si="5"/>
        <v>0</v>
      </c>
      <c r="G51" s="125">
        <v>0</v>
      </c>
      <c r="H51" s="314" t="s">
        <v>129</v>
      </c>
      <c r="I51" s="125">
        <v>0</v>
      </c>
      <c r="J51" s="328">
        <v>0</v>
      </c>
      <c r="K51" s="388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5">
      <c r="A52" s="318"/>
      <c r="B52" s="400" t="s">
        <v>195</v>
      </c>
      <c r="C52" s="306">
        <v>716307</v>
      </c>
      <c r="D52" s="125">
        <v>2476217</v>
      </c>
      <c r="E52" s="319">
        <v>4236652.78</v>
      </c>
      <c r="F52" s="378">
        <f t="shared" si="5"/>
        <v>1.7109376036106692</v>
      </c>
      <c r="G52" s="319">
        <v>4236652.78</v>
      </c>
      <c r="H52" s="371">
        <f t="shared" ref="H52" si="10">G52/E52</f>
        <v>1</v>
      </c>
      <c r="I52" s="319">
        <v>-63112.94</v>
      </c>
      <c r="J52" s="328">
        <v>-0.16329561831330289</v>
      </c>
      <c r="K52" s="502" t="s">
        <v>129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5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 t="s">
        <v>129</v>
      </c>
      <c r="G53" s="125">
        <v>0</v>
      </c>
      <c r="H53" s="500" t="s">
        <v>129</v>
      </c>
      <c r="I53" s="302">
        <v>37291</v>
      </c>
      <c r="J53" s="403" t="s">
        <v>129</v>
      </c>
      <c r="K53" s="503" t="s">
        <v>129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5">
      <c r="A54" s="309"/>
      <c r="B54" s="320" t="s">
        <v>408</v>
      </c>
      <c r="C54" s="321">
        <v>10</v>
      </c>
      <c r="D54" s="322">
        <v>10</v>
      </c>
      <c r="E54" s="323">
        <v>0</v>
      </c>
      <c r="F54" s="379" t="s">
        <v>129</v>
      </c>
      <c r="G54" s="323">
        <v>0</v>
      </c>
      <c r="H54" s="711" t="s">
        <v>129</v>
      </c>
      <c r="I54" s="323">
        <v>0</v>
      </c>
      <c r="J54" s="336" t="s">
        <v>129</v>
      </c>
      <c r="K54" s="709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5">
      <c r="A55" s="281"/>
      <c r="B55" s="281" t="s">
        <v>418</v>
      </c>
      <c r="C55" s="282">
        <v>0</v>
      </c>
      <c r="D55" s="283">
        <v>0</v>
      </c>
      <c r="E55" s="284">
        <v>0</v>
      </c>
      <c r="F55" s="374" t="s">
        <v>129</v>
      </c>
      <c r="G55" s="284">
        <v>0</v>
      </c>
      <c r="H55" s="712" t="s">
        <v>129</v>
      </c>
      <c r="I55" s="284">
        <v>0</v>
      </c>
      <c r="J55" s="335" t="s">
        <v>129</v>
      </c>
      <c r="K55" s="499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5">
      <c r="A56" s="281"/>
      <c r="B56" s="281" t="s">
        <v>199</v>
      </c>
      <c r="C56" s="306">
        <v>0</v>
      </c>
      <c r="D56" s="125">
        <v>0</v>
      </c>
      <c r="E56" s="284">
        <v>0</v>
      </c>
      <c r="F56" s="374" t="s">
        <v>129</v>
      </c>
      <c r="G56" s="284">
        <v>0</v>
      </c>
      <c r="H56" s="355" t="s">
        <v>129</v>
      </c>
      <c r="I56" s="284">
        <v>4036234.07</v>
      </c>
      <c r="J56" s="335">
        <v>7.1974816658978327E-2</v>
      </c>
      <c r="K56" s="388">
        <f t="shared" ref="K56" si="11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5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80">
        <f t="shared" si="5"/>
        <v>0</v>
      </c>
      <c r="G57" s="325">
        <v>0</v>
      </c>
      <c r="H57" s="371" t="s">
        <v>129</v>
      </c>
      <c r="I57" s="325">
        <v>396571.94</v>
      </c>
      <c r="J57" s="405">
        <v>0.88520522321428574</v>
      </c>
      <c r="K57" s="504" t="s">
        <v>129</v>
      </c>
      <c r="L57" s="289">
        <v>46402</v>
      </c>
      <c r="N57"/>
    </row>
    <row r="58" spans="1:18" s="287" customFormat="1" ht="15" customHeight="1" x14ac:dyDescent="0.25">
      <c r="A58" s="299"/>
      <c r="B58" s="299" t="s">
        <v>197</v>
      </c>
      <c r="C58" s="300">
        <v>1039935.91</v>
      </c>
      <c r="D58" s="301">
        <v>1094802.58</v>
      </c>
      <c r="E58" s="302">
        <v>199385.54</v>
      </c>
      <c r="F58" s="361">
        <f t="shared" si="5"/>
        <v>0.18212008597933702</v>
      </c>
      <c r="G58" s="302">
        <v>199385.54</v>
      </c>
      <c r="H58" s="371">
        <f t="shared" ref="H58" si="12">G58/E58</f>
        <v>1</v>
      </c>
      <c r="I58" s="302">
        <v>773596.15</v>
      </c>
      <c r="J58" s="403" t="s">
        <v>129</v>
      </c>
      <c r="K58" s="505" t="s">
        <v>129</v>
      </c>
      <c r="L58" s="289">
        <v>49</v>
      </c>
      <c r="N58"/>
    </row>
    <row r="59" spans="1:18" s="287" customFormat="1" ht="15" customHeight="1" x14ac:dyDescent="0.25">
      <c r="A59" s="309"/>
      <c r="B59" s="309" t="s">
        <v>198</v>
      </c>
      <c r="C59" s="393">
        <v>400</v>
      </c>
      <c r="D59" s="393">
        <v>258224.78</v>
      </c>
      <c r="E59" s="326">
        <v>265835.15000000002</v>
      </c>
      <c r="F59" s="381">
        <f t="shared" si="5"/>
        <v>1.0294718810487515</v>
      </c>
      <c r="G59" s="326">
        <v>240835.15</v>
      </c>
      <c r="H59" s="356">
        <f t="shared" ref="H59" si="13">G59/E59</f>
        <v>0.90595675553063604</v>
      </c>
      <c r="I59" s="326">
        <v>50922.86</v>
      </c>
      <c r="J59" s="404">
        <v>0.22730516428236555</v>
      </c>
      <c r="K59" s="547">
        <f t="shared" ref="K59" si="14">+E59/I59-1</f>
        <v>4.2203499567777616</v>
      </c>
      <c r="L59" s="289" t="s">
        <v>759</v>
      </c>
      <c r="N59"/>
    </row>
    <row r="60" spans="1:18" ht="15" customHeight="1" x14ac:dyDescent="0.25">
      <c r="A60" s="9"/>
      <c r="B60" s="2" t="s">
        <v>204</v>
      </c>
      <c r="C60" s="162">
        <f>SUM(C43:C59)</f>
        <v>75356832.160000086</v>
      </c>
      <c r="D60" s="152">
        <f>SUM(D43:D59)</f>
        <v>77615670.350000069</v>
      </c>
      <c r="E60" s="84">
        <f>SUM(E43:E59)</f>
        <v>37633728.839999981</v>
      </c>
      <c r="F60" s="90">
        <f t="shared" si="0"/>
        <v>0.48487281846944646</v>
      </c>
      <c r="G60" s="84">
        <f>SUM(G43:G59)</f>
        <v>16146951.020000068</v>
      </c>
      <c r="H60" s="170">
        <f t="shared" si="4"/>
        <v>0.42905530537909026</v>
      </c>
      <c r="I60" s="84">
        <f>SUM(I43:I59)</f>
        <v>14185420.11999999</v>
      </c>
      <c r="J60" s="43">
        <v>0.12292684438333309</v>
      </c>
      <c r="K60" s="144">
        <f t="shared" si="2"/>
        <v>1.6529865539153317</v>
      </c>
      <c r="M60" s="46"/>
      <c r="N60" s="46"/>
      <c r="O60" s="46"/>
      <c r="P60" s="46"/>
    </row>
    <row r="61" spans="1:18" s="287" customFormat="1" ht="15" customHeight="1" x14ac:dyDescent="0.25">
      <c r="A61" s="281"/>
      <c r="B61" s="281" t="s">
        <v>206</v>
      </c>
      <c r="C61" s="282">
        <v>3700000</v>
      </c>
      <c r="D61" s="283">
        <v>3700000</v>
      </c>
      <c r="E61" s="284">
        <v>998522.5</v>
      </c>
      <c r="F61" s="374">
        <f t="shared" ref="F61:F65" si="15">+E61/D61</f>
        <v>0.26987094594594596</v>
      </c>
      <c r="G61" s="284">
        <v>998522.5</v>
      </c>
      <c r="H61" s="355">
        <f t="shared" ref="H61:H66" si="16">+G61/E61</f>
        <v>1</v>
      </c>
      <c r="I61" s="284">
        <v>225334.19</v>
      </c>
      <c r="J61" s="335">
        <v>6.0901132432432434E-2</v>
      </c>
      <c r="K61" s="285">
        <f t="shared" si="2"/>
        <v>3.4312960230313916</v>
      </c>
      <c r="L61" s="289" t="s">
        <v>207</v>
      </c>
      <c r="N61"/>
    </row>
    <row r="62" spans="1:18" s="287" customFormat="1" ht="15" customHeight="1" x14ac:dyDescent="0.25">
      <c r="A62" s="281"/>
      <c r="B62" s="281" t="s">
        <v>208</v>
      </c>
      <c r="C62" s="282">
        <v>1443010</v>
      </c>
      <c r="D62" s="283">
        <v>1443010</v>
      </c>
      <c r="E62" s="284">
        <v>714521.16</v>
      </c>
      <c r="F62" s="374">
        <f t="shared" si="15"/>
        <v>0.49516022757985045</v>
      </c>
      <c r="G62" s="284">
        <v>441454.98</v>
      </c>
      <c r="H62" s="355">
        <f t="shared" si="16"/>
        <v>0.61783331930995578</v>
      </c>
      <c r="I62" s="284">
        <v>759671.5</v>
      </c>
      <c r="J62" s="335">
        <v>0.37578850777130307</v>
      </c>
      <c r="K62" s="285">
        <f t="shared" si="2"/>
        <v>-5.9434031683431532E-2</v>
      </c>
      <c r="L62" s="289">
        <v>54</v>
      </c>
      <c r="N62"/>
    </row>
    <row r="63" spans="1:18" s="287" customFormat="1" ht="15" customHeight="1" x14ac:dyDescent="0.25">
      <c r="A63" s="281"/>
      <c r="B63" s="281" t="s">
        <v>209</v>
      </c>
      <c r="C63" s="282">
        <v>3599000</v>
      </c>
      <c r="D63" s="283">
        <v>3599000</v>
      </c>
      <c r="E63" s="284">
        <v>2600285.7799999998</v>
      </c>
      <c r="F63" s="374">
        <f t="shared" si="15"/>
        <v>0.7225023006390664</v>
      </c>
      <c r="G63" s="284">
        <v>697329.51</v>
      </c>
      <c r="H63" s="355">
        <f t="shared" si="16"/>
        <v>0.26817418122403458</v>
      </c>
      <c r="I63" s="284">
        <v>3203651.84</v>
      </c>
      <c r="J63" s="335">
        <v>1.0483153926701569</v>
      </c>
      <c r="K63" s="285">
        <f t="shared" si="2"/>
        <v>-0.18833696360713159</v>
      </c>
      <c r="L63" s="289">
        <v>55000</v>
      </c>
      <c r="N63"/>
    </row>
    <row r="64" spans="1:18" s="287" customFormat="1" ht="15" customHeight="1" x14ac:dyDescent="0.25">
      <c r="A64" s="281"/>
      <c r="B64" s="281" t="s">
        <v>210</v>
      </c>
      <c r="C64" s="282">
        <v>30755019.989999995</v>
      </c>
      <c r="D64" s="283">
        <v>30755019.989999998</v>
      </c>
      <c r="E64" s="284">
        <v>5656667.5999999996</v>
      </c>
      <c r="F64" s="374">
        <f t="shared" si="15"/>
        <v>0.18392664358011362</v>
      </c>
      <c r="G64" s="284">
        <v>2648185.3600000003</v>
      </c>
      <c r="H64" s="355">
        <f t="shared" si="16"/>
        <v>0.46815290331006909</v>
      </c>
      <c r="I64" s="284">
        <v>4894064.99</v>
      </c>
      <c r="J64" s="335">
        <v>0.15945719945722717</v>
      </c>
      <c r="K64" s="285">
        <f t="shared" si="2"/>
        <v>0.15582192135948714</v>
      </c>
      <c r="L64" s="289" t="s">
        <v>416</v>
      </c>
      <c r="N64"/>
    </row>
    <row r="65" spans="1:14" s="287" customFormat="1" ht="15" customHeight="1" x14ac:dyDescent="0.25">
      <c r="A65" s="281"/>
      <c r="B65" s="281" t="s">
        <v>211</v>
      </c>
      <c r="C65" s="282">
        <v>2600060</v>
      </c>
      <c r="D65" s="283">
        <v>2600060</v>
      </c>
      <c r="E65" s="284">
        <v>1541543.52</v>
      </c>
      <c r="F65" s="374">
        <f t="shared" si="15"/>
        <v>0.59288767182295798</v>
      </c>
      <c r="G65" s="284">
        <v>796897.62</v>
      </c>
      <c r="H65" s="355">
        <f t="shared" si="16"/>
        <v>0.51694785756032369</v>
      </c>
      <c r="I65" s="284">
        <v>914583.91</v>
      </c>
      <c r="J65" s="335">
        <v>0.34304958290198195</v>
      </c>
      <c r="K65" s="285">
        <f t="shared" si="2"/>
        <v>0.68551349214092339</v>
      </c>
      <c r="L65" s="289" t="s">
        <v>212</v>
      </c>
      <c r="N65"/>
    </row>
    <row r="66" spans="1:14" s="287" customFormat="1" ht="15" customHeight="1" x14ac:dyDescent="0.25">
      <c r="A66" s="281"/>
      <c r="B66" s="309" t="s">
        <v>213</v>
      </c>
      <c r="C66" s="497">
        <v>20.009999999999998</v>
      </c>
      <c r="D66" s="292">
        <v>20.009999999999998</v>
      </c>
      <c r="E66" s="294">
        <v>1242215.24</v>
      </c>
      <c r="F66" s="545" t="s">
        <v>129</v>
      </c>
      <c r="G66" s="294">
        <v>1242215.24</v>
      </c>
      <c r="H66" s="355">
        <f t="shared" si="16"/>
        <v>1</v>
      </c>
      <c r="I66" s="292">
        <v>0</v>
      </c>
      <c r="J66" s="546" t="s">
        <v>129</v>
      </c>
      <c r="K66" s="312" t="s">
        <v>129</v>
      </c>
      <c r="L66" s="286" t="s">
        <v>214</v>
      </c>
    </row>
    <row r="67" spans="1:14" ht="15" customHeight="1" thickBot="1" x14ac:dyDescent="0.3">
      <c r="A67" s="9"/>
      <c r="B67" s="541" t="s">
        <v>42</v>
      </c>
      <c r="C67" s="519">
        <f>SUM(C61:C66)</f>
        <v>42097109.999999993</v>
      </c>
      <c r="D67" s="152">
        <f>SUM(D61:D66)</f>
        <v>42097109.999999993</v>
      </c>
      <c r="E67" s="84">
        <f>SUM(E61:E66)</f>
        <v>12753755.799999999</v>
      </c>
      <c r="F67" s="90">
        <f t="shared" si="0"/>
        <v>0.30296036473762689</v>
      </c>
      <c r="G67" s="84">
        <f>SUM(G61:G66)</f>
        <v>6824605.2100000009</v>
      </c>
      <c r="H67" s="170">
        <f t="shared" si="4"/>
        <v>0.5351055263266058</v>
      </c>
      <c r="I67" s="84">
        <f>SUM(I61:I66)</f>
        <v>9997306.4299999997</v>
      </c>
      <c r="J67" s="43">
        <v>0.23726491492508631</v>
      </c>
      <c r="K67" s="231">
        <f>+E67/I67-1</f>
        <v>0.27571920389760418</v>
      </c>
    </row>
    <row r="68" spans="1:14" s="6" customFormat="1" ht="19.5" customHeight="1" thickBot="1" x14ac:dyDescent="0.3">
      <c r="A68" s="5"/>
      <c r="B68" s="4" t="s">
        <v>205</v>
      </c>
      <c r="C68" s="163">
        <f>+C11+C14+C38+C60+C67</f>
        <v>2506271621.5100002</v>
      </c>
      <c r="D68" s="154">
        <f>+D11+D14+D38+D60+D67</f>
        <v>2508530459.6999998</v>
      </c>
      <c r="E68" s="155">
        <f>+E11+E14+E38+E60+E67</f>
        <v>1121404652.8899999</v>
      </c>
      <c r="F68" s="181">
        <f t="shared" si="0"/>
        <v>0.44703649044951638</v>
      </c>
      <c r="G68" s="155">
        <f>+G11+G14+G38+G60+G67</f>
        <v>915014288.51000011</v>
      </c>
      <c r="H68" s="173">
        <f t="shared" si="4"/>
        <v>0.81595371140283213</v>
      </c>
      <c r="I68" s="147">
        <f>+I11+I14+I38+I60+I67</f>
        <v>1087242633.0699999</v>
      </c>
      <c r="J68" s="183">
        <v>0.46193901489921763</v>
      </c>
      <c r="K68" s="146">
        <f t="shared" si="2"/>
        <v>3.1420787578517073E-2</v>
      </c>
      <c r="L68" s="14"/>
    </row>
    <row r="69" spans="1:14" x14ac:dyDescent="0.25">
      <c r="D69" s="46"/>
      <c r="F69" s="382"/>
    </row>
    <row r="72" spans="1:14" x14ac:dyDescent="0.25">
      <c r="B72" s="254"/>
    </row>
    <row r="73" spans="1:14" x14ac:dyDescent="0.25">
      <c r="E73" s="46"/>
    </row>
    <row r="74" spans="1:14" x14ac:dyDescent="0.25">
      <c r="E74" s="46"/>
    </row>
    <row r="75" spans="1:14" x14ac:dyDescent="0.25">
      <c r="E75" s="254"/>
    </row>
    <row r="76" spans="1:14" x14ac:dyDescent="0.25">
      <c r="E76" s="46"/>
    </row>
    <row r="77" spans="1:14" x14ac:dyDescent="0.25">
      <c r="E77" s="46"/>
    </row>
    <row r="78" spans="1:14" x14ac:dyDescent="0.25">
      <c r="C78" s="46"/>
    </row>
    <row r="80" spans="1:14" x14ac:dyDescent="0.25">
      <c r="C80" s="254"/>
      <c r="E80" s="46"/>
    </row>
    <row r="81" spans="5:5" x14ac:dyDescent="0.25">
      <c r="E81" s="46"/>
    </row>
    <row r="82" spans="5:5" x14ac:dyDescent="0.25">
      <c r="E82" s="46"/>
    </row>
    <row r="83" spans="5:5" x14ac:dyDescent="0.25">
      <c r="E83" s="254"/>
    </row>
    <row r="137" spans="12:15" x14ac:dyDescent="0.25">
      <c r="L137" s="687"/>
      <c r="O137" s="688">
        <v>0.58699999999999997</v>
      </c>
    </row>
    <row r="138" spans="12:15" x14ac:dyDescent="0.25">
      <c r="L138" s="687"/>
      <c r="O138" s="688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opLeftCell="A7" zoomScaleNormal="100" workbookViewId="0">
      <selection activeCell="E9" sqref="E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127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P137"/>
  <sheetViews>
    <sheetView topLeftCell="C1" zoomScaleNormal="100" workbookViewId="0">
      <selection activeCell="J16" sqref="J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33203125" style="97" bestFit="1" customWidth="1"/>
  </cols>
  <sheetData>
    <row r="1" spans="1:16" ht="14.4" thickBot="1" x14ac:dyDescent="0.3">
      <c r="A1" s="7" t="s">
        <v>529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13414557.82</v>
      </c>
      <c r="D5" s="204">
        <v>15000445.85</v>
      </c>
      <c r="E5" s="180">
        <v>6456807.71</v>
      </c>
      <c r="F5" s="48">
        <f>E5/D5</f>
        <v>0.43044105319042902</v>
      </c>
      <c r="G5" s="30">
        <v>6386366.5899999999</v>
      </c>
      <c r="H5" s="48">
        <f>G5/D5</f>
        <v>0.42574511810260629</v>
      </c>
      <c r="I5" s="180">
        <v>6386366.5899999999</v>
      </c>
      <c r="J5" s="153">
        <f>I5/D5</f>
        <v>0.42574511810260629</v>
      </c>
      <c r="K5" s="180">
        <v>5944056.7999999998</v>
      </c>
      <c r="L5" s="48">
        <v>0.47506754536368367</v>
      </c>
      <c r="M5" s="210">
        <f>+G5/K5-1</f>
        <v>7.4412106896421415E-2</v>
      </c>
      <c r="N5" s="180">
        <v>5944056.7999999998</v>
      </c>
      <c r="O5" s="48">
        <v>0.47506754536368367</v>
      </c>
      <c r="P5" s="210">
        <f>+I5/N5-1</f>
        <v>7.4412106896421415E-2</v>
      </c>
    </row>
    <row r="6" spans="1:16" ht="15" customHeight="1" x14ac:dyDescent="0.25">
      <c r="A6" s="23">
        <v>2</v>
      </c>
      <c r="B6" s="23" t="s">
        <v>1</v>
      </c>
      <c r="C6" s="159">
        <v>22125531.309999999</v>
      </c>
      <c r="D6" s="204">
        <v>23159356.010000002</v>
      </c>
      <c r="E6" s="34">
        <v>17517266.550000001</v>
      </c>
      <c r="F6" s="48">
        <f>E6/D6</f>
        <v>0.75637969131940463</v>
      </c>
      <c r="G6" s="34">
        <v>15288914.9</v>
      </c>
      <c r="H6" s="48">
        <f>G6/D6</f>
        <v>0.66016148693419563</v>
      </c>
      <c r="I6" s="34">
        <v>4885334.47</v>
      </c>
      <c r="J6" s="153">
        <f>I6/D6</f>
        <v>0.21094431416359574</v>
      </c>
      <c r="K6" s="34">
        <v>7442267.3200000003</v>
      </c>
      <c r="L6" s="280">
        <v>0.6028537755096306</v>
      </c>
      <c r="M6" s="210">
        <f>+G6/K6-1</f>
        <v>1.0543356268476525</v>
      </c>
      <c r="N6" s="34">
        <v>1872090.97</v>
      </c>
      <c r="O6" s="280">
        <v>0.15164694586138389</v>
      </c>
      <c r="P6" s="210">
        <f>+I6/N6-1</f>
        <v>1.6095604050694181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5">
      <c r="A8" s="24">
        <v>4</v>
      </c>
      <c r="B8" s="24" t="s">
        <v>3</v>
      </c>
      <c r="C8" s="161">
        <v>37118559.759999998</v>
      </c>
      <c r="D8" s="206">
        <v>35798935.759999998</v>
      </c>
      <c r="E8" s="34">
        <v>32340456.59</v>
      </c>
      <c r="F8" s="390">
        <f>E8/D8</f>
        <v>0.90339156467706128</v>
      </c>
      <c r="G8" s="34">
        <v>29050321.079999998</v>
      </c>
      <c r="H8" s="390">
        <f>G8/D8</f>
        <v>0.81148560601791475</v>
      </c>
      <c r="I8" s="34">
        <v>7795147</v>
      </c>
      <c r="J8" s="392">
        <f>I8/D8</f>
        <v>0.21774800938942773</v>
      </c>
      <c r="K8" s="34">
        <v>137181819.65000001</v>
      </c>
      <c r="L8" s="390">
        <v>0.97611578770854779</v>
      </c>
      <c r="M8" s="520">
        <f>+G8/K8-1</f>
        <v>-0.7882349049304217</v>
      </c>
      <c r="N8" s="34">
        <v>65682366.219999999</v>
      </c>
      <c r="O8" s="390">
        <v>0.46736218257618517</v>
      </c>
      <c r="P8" s="520">
        <f>+I8/N8-1</f>
        <v>-0.88132055148728172</v>
      </c>
    </row>
    <row r="9" spans="1:16" ht="15" customHeight="1" x14ac:dyDescent="0.25">
      <c r="A9" s="9"/>
      <c r="B9" s="2" t="s">
        <v>4</v>
      </c>
      <c r="C9" s="162">
        <f>SUM(C5:C8)</f>
        <v>72658648.889999986</v>
      </c>
      <c r="D9" s="152">
        <f>SUM(D5:D8)</f>
        <v>73958737.620000005</v>
      </c>
      <c r="E9" s="84">
        <f>SUM(E5:E8)</f>
        <v>56314530.850000001</v>
      </c>
      <c r="F9" s="90">
        <f>E9/D9</f>
        <v>0.76143174778542144</v>
      </c>
      <c r="G9" s="84">
        <f t="shared" ref="G9:I9" si="0">SUM(G5:G8)</f>
        <v>50725602.57</v>
      </c>
      <c r="H9" s="90">
        <f>G9/D9</f>
        <v>0.68586355314267455</v>
      </c>
      <c r="I9" s="84">
        <f t="shared" si="0"/>
        <v>19066848.059999999</v>
      </c>
      <c r="J9" s="170">
        <f>I9/D9</f>
        <v>0.25780386028173524</v>
      </c>
      <c r="K9" s="84">
        <f t="shared" ref="K9" si="1">SUM(K5:K8)</f>
        <v>150568143.77000001</v>
      </c>
      <c r="L9" s="90">
        <v>0.91035180438246577</v>
      </c>
      <c r="M9" s="213">
        <f>+G9/K9-1</f>
        <v>-0.66310534685553568</v>
      </c>
      <c r="N9" s="84">
        <f t="shared" ref="N9" si="2">SUM(N5:N8)</f>
        <v>73498513.989999995</v>
      </c>
      <c r="O9" s="90">
        <v>0.44438021984539999</v>
      </c>
      <c r="P9" s="213">
        <f>+I9/N9-1</f>
        <v>-0.74058185635434504</v>
      </c>
    </row>
    <row r="10" spans="1:16" ht="15" customHeight="1" x14ac:dyDescent="0.25">
      <c r="A10" s="21">
        <v>6</v>
      </c>
      <c r="B10" s="21" t="s">
        <v>5</v>
      </c>
      <c r="C10" s="159">
        <v>271731.53000000003</v>
      </c>
      <c r="D10" s="204">
        <v>424810</v>
      </c>
      <c r="E10" s="30">
        <v>132314.26999999999</v>
      </c>
      <c r="F10" s="390">
        <f>E10/D10</f>
        <v>0.3114669381605894</v>
      </c>
      <c r="G10" s="136">
        <v>132314.26999999999</v>
      </c>
      <c r="H10" s="48">
        <f>G10/D10</f>
        <v>0.3114669381605894</v>
      </c>
      <c r="I10" s="136">
        <v>53050.09</v>
      </c>
      <c r="J10" s="517">
        <f>I10/D10</f>
        <v>0.12487956968997904</v>
      </c>
      <c r="K10" s="136">
        <v>12124.2</v>
      </c>
      <c r="L10" s="48">
        <v>1.0455943182010459E-2</v>
      </c>
      <c r="M10" s="224" t="s">
        <v>129</v>
      </c>
      <c r="N10" s="136">
        <v>0</v>
      </c>
      <c r="O10" s="417">
        <v>0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76">
        <v>3899248.15</v>
      </c>
      <c r="D11" s="516">
        <v>411190</v>
      </c>
      <c r="E11" s="180">
        <v>411190</v>
      </c>
      <c r="F11" s="390">
        <f>E11/D11</f>
        <v>1</v>
      </c>
      <c r="G11" s="180">
        <v>111190</v>
      </c>
      <c r="H11" s="390">
        <f>G11/D11</f>
        <v>0.27041027262336148</v>
      </c>
      <c r="I11" s="137">
        <v>0</v>
      </c>
      <c r="J11" s="392">
        <f>I11/D11</f>
        <v>0</v>
      </c>
      <c r="K11" s="180">
        <v>4376793</v>
      </c>
      <c r="L11" s="390">
        <v>1</v>
      </c>
      <c r="M11" s="496">
        <f>+G11/K11-1</f>
        <v>-0.97459555432482181</v>
      </c>
      <c r="N11" s="137">
        <v>2000000</v>
      </c>
      <c r="O11" s="390">
        <v>0.45695558368878764</v>
      </c>
      <c r="P11" s="496">
        <f>+I11/N11-1</f>
        <v>-1</v>
      </c>
    </row>
    <row r="12" spans="1:16" ht="15" customHeight="1" x14ac:dyDescent="0.25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836000</v>
      </c>
      <c r="E12" s="84">
        <f t="shared" si="3"/>
        <v>543504.27</v>
      </c>
      <c r="F12" s="90">
        <f>E12/D12</f>
        <v>0.65012472488038275</v>
      </c>
      <c r="G12" s="84">
        <f t="shared" si="3"/>
        <v>243504.27</v>
      </c>
      <c r="H12" s="90">
        <f>G12/D12</f>
        <v>0.29127305023923444</v>
      </c>
      <c r="I12" s="84">
        <f t="shared" si="3"/>
        <v>53050.09</v>
      </c>
      <c r="J12" s="170">
        <f>I12/D12</f>
        <v>6.3457045454545447E-2</v>
      </c>
      <c r="K12" s="152">
        <f t="shared" ref="K12" si="4">SUM(K10:K11)</f>
        <v>4388917.2</v>
      </c>
      <c r="L12" s="90">
        <v>0.79274646814490057</v>
      </c>
      <c r="M12" s="225">
        <f>+G12/K12-1</f>
        <v>-0.9445183723219932</v>
      </c>
      <c r="N12" s="84">
        <f t="shared" ref="N12" si="5">SUM(N10:N11)</f>
        <v>2000000</v>
      </c>
      <c r="O12" s="90">
        <v>0.36124922481786653</v>
      </c>
      <c r="P12" s="225">
        <f>+I12/N12-1</f>
        <v>-0.97347495500000003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42" t="s">
        <v>129</v>
      </c>
      <c r="N15" s="84">
        <f t="shared" ref="N15" si="8">SUM(N13:N14)</f>
        <v>0</v>
      </c>
      <c r="O15" s="58" t="s">
        <v>129</v>
      </c>
      <c r="P15" s="642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74794737.620000005</v>
      </c>
      <c r="E16" s="155">
        <f t="shared" si="9"/>
        <v>56858035.120000005</v>
      </c>
      <c r="F16" s="181">
        <f>E16/D16</f>
        <v>0.76018764059139166</v>
      </c>
      <c r="G16" s="155">
        <f t="shared" si="9"/>
        <v>50969106.840000004</v>
      </c>
      <c r="H16" s="181">
        <f>G16/D16</f>
        <v>0.68145311370637041</v>
      </c>
      <c r="I16" s="155">
        <f t="shared" si="9"/>
        <v>19119898.149999999</v>
      </c>
      <c r="J16" s="173">
        <f>I16/D16</f>
        <v>0.25563159599730134</v>
      </c>
      <c r="K16" s="155">
        <f t="shared" ref="K16" si="10">+K9+K12+K15</f>
        <v>154957060.97</v>
      </c>
      <c r="L16" s="181">
        <v>0.90654266401376171</v>
      </c>
      <c r="M16" s="607">
        <f>+G16/K16-1</f>
        <v>-0.67107593212633443</v>
      </c>
      <c r="N16" s="155">
        <f t="shared" ref="N16" si="11">+N9+N12+N15</f>
        <v>75498513.989999995</v>
      </c>
      <c r="O16" s="181">
        <v>0.44168767510907736</v>
      </c>
      <c r="P16" s="607">
        <f>+I16/N16-1</f>
        <v>-0.74675133139001271</v>
      </c>
    </row>
    <row r="21" spans="10:14" x14ac:dyDescent="0.25">
      <c r="J21" s="97" t="s">
        <v>148</v>
      </c>
    </row>
    <row r="24" spans="10:14" x14ac:dyDescent="0.25">
      <c r="N24" s="690"/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opLeftCell="A2" zoomScaleNormal="100" workbookViewId="0">
      <selection activeCell="E15" sqref="E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33203125" style="97" bestFit="1" customWidth="1"/>
  </cols>
  <sheetData>
    <row r="1" spans="1:13" ht="13.8" x14ac:dyDescent="0.25">
      <c r="A1" s="7" t="s">
        <v>538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46" customFormat="1" x14ac:dyDescent="0.25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XFD138"/>
  <sheetViews>
    <sheetView tabSelected="1" topLeftCell="C1" zoomScaleNormal="100" workbookViewId="0">
      <selection activeCell="O20" sqref="O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442" bestFit="1" customWidth="1"/>
    <col min="16" max="16" width="9" style="97" bestFit="1" customWidth="1"/>
  </cols>
  <sheetData>
    <row r="1" spans="1:16384" ht="14.4" thickBot="1" x14ac:dyDescent="0.3">
      <c r="A1" s="7" t="s">
        <v>128</v>
      </c>
    </row>
    <row r="2" spans="1:16384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43" t="s">
        <v>544</v>
      </c>
      <c r="M3" s="88" t="s">
        <v>545</v>
      </c>
      <c r="N3" s="217" t="s">
        <v>39</v>
      </c>
      <c r="O3" s="643" t="s">
        <v>40</v>
      </c>
      <c r="P3" s="611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31" t="s">
        <v>17</v>
      </c>
      <c r="O4" s="644" t="s">
        <v>18</v>
      </c>
      <c r="P4" s="587" t="s">
        <v>764</v>
      </c>
    </row>
    <row r="5" spans="1:16384" ht="15" customHeight="1" x14ac:dyDescent="0.25">
      <c r="A5" s="21">
        <v>1</v>
      </c>
      <c r="B5" s="21" t="s">
        <v>0</v>
      </c>
      <c r="C5" s="159">
        <v>43095322.840000004</v>
      </c>
      <c r="D5" s="204">
        <v>43711114.75</v>
      </c>
      <c r="E5" s="30">
        <v>18081603.420000002</v>
      </c>
      <c r="F5" s="48">
        <f>E5/D5</f>
        <v>0.41366145712401448</v>
      </c>
      <c r="G5" s="30">
        <v>18081603.420000002</v>
      </c>
      <c r="H5" s="48">
        <f>G5/D5</f>
        <v>0.41366145712401448</v>
      </c>
      <c r="I5" s="30">
        <v>18081603.420000002</v>
      </c>
      <c r="J5" s="153">
        <f>I5/D5</f>
        <v>0.41366145712401448</v>
      </c>
      <c r="K5" s="30">
        <v>21844292.07</v>
      </c>
      <c r="L5" s="48">
        <v>0.46250750537495866</v>
      </c>
      <c r="M5" s="210">
        <f>+G5/K5-1</f>
        <v>-0.17225042761479603</v>
      </c>
      <c r="N5" s="689">
        <v>21844292.07</v>
      </c>
      <c r="O5" s="48">
        <v>0.46250750537495866</v>
      </c>
      <c r="P5" s="210">
        <f>+I5/N5-1</f>
        <v>-0.17225042761479603</v>
      </c>
    </row>
    <row r="6" spans="1:16384" ht="15" customHeight="1" x14ac:dyDescent="0.25">
      <c r="A6" s="23">
        <v>2</v>
      </c>
      <c r="B6" s="23" t="s">
        <v>1</v>
      </c>
      <c r="C6" s="160">
        <v>175815344.53999999</v>
      </c>
      <c r="D6" s="205">
        <v>180289677.90000001</v>
      </c>
      <c r="E6" s="32">
        <v>166926672.53999999</v>
      </c>
      <c r="F6" s="48">
        <f>E6/D6</f>
        <v>0.92588036367000459</v>
      </c>
      <c r="G6" s="32">
        <v>161222623.75</v>
      </c>
      <c r="H6" s="48">
        <f>G6/D6</f>
        <v>0.8942421198368562</v>
      </c>
      <c r="I6" s="32">
        <v>42879954.649999999</v>
      </c>
      <c r="J6" s="153">
        <f>I6/D6</f>
        <v>0.23783921048316431</v>
      </c>
      <c r="K6" s="32">
        <v>149282470.34</v>
      </c>
      <c r="L6" s="280">
        <v>0.8702383353968941</v>
      </c>
      <c r="M6" s="210">
        <f>+G6/K6-1</f>
        <v>7.9983626897421889E-2</v>
      </c>
      <c r="N6" s="32">
        <v>39702888.820000008</v>
      </c>
      <c r="O6" s="280">
        <v>0.23144697296656999</v>
      </c>
      <c r="P6" s="210">
        <f>+I6/N6-1</f>
        <v>8.002102427366875E-2</v>
      </c>
    </row>
    <row r="7" spans="1:16384" ht="15" customHeight="1" x14ac:dyDescent="0.25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5">
      <c r="A8" s="24">
        <v>4</v>
      </c>
      <c r="B8" s="24" t="s">
        <v>3</v>
      </c>
      <c r="C8" s="161">
        <v>108768371</v>
      </c>
      <c r="D8" s="206">
        <v>108112810.87</v>
      </c>
      <c r="E8" s="34">
        <v>104934970.54000001</v>
      </c>
      <c r="F8" s="390">
        <f>E8/D8</f>
        <v>0.97060625559147484</v>
      </c>
      <c r="G8" s="34">
        <v>101350189.51000001</v>
      </c>
      <c r="H8" s="390">
        <f>G8/D8</f>
        <v>0.93744847344565208</v>
      </c>
      <c r="I8" s="34">
        <v>49366580.159999996</v>
      </c>
      <c r="J8" s="392">
        <f>I8/D8</f>
        <v>0.45662100321636001</v>
      </c>
      <c r="K8" s="34">
        <v>99364825.219999999</v>
      </c>
      <c r="L8" s="390">
        <v>0.91685732729024139</v>
      </c>
      <c r="M8" s="520">
        <f>+G8/K8-1</f>
        <v>1.9980554342085233E-2</v>
      </c>
      <c r="N8" s="34">
        <v>42503440.800000004</v>
      </c>
      <c r="O8" s="390">
        <v>0.3921869841389633</v>
      </c>
      <c r="P8" s="520">
        <f>+I8/N8-1</f>
        <v>0.16147255918160841</v>
      </c>
    </row>
    <row r="9" spans="1:16384" ht="15" customHeight="1" x14ac:dyDescent="0.25">
      <c r="A9" s="24">
        <v>5</v>
      </c>
      <c r="B9" s="24" t="s">
        <v>453</v>
      </c>
      <c r="C9" s="161">
        <v>450000</v>
      </c>
      <c r="D9" s="206">
        <v>0</v>
      </c>
      <c r="E9" s="34">
        <v>0</v>
      </c>
      <c r="F9" s="390" t="s">
        <v>129</v>
      </c>
      <c r="G9" s="34">
        <v>0</v>
      </c>
      <c r="H9" s="390" t="s">
        <v>129</v>
      </c>
      <c r="I9" s="34">
        <v>0</v>
      </c>
      <c r="J9" s="392" t="s">
        <v>129</v>
      </c>
      <c r="K9" s="34"/>
      <c r="L9" s="390" t="s">
        <v>129</v>
      </c>
      <c r="M9" s="520" t="s">
        <v>129</v>
      </c>
      <c r="N9" s="34"/>
      <c r="O9" s="390" t="s">
        <v>129</v>
      </c>
      <c r="P9" s="520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20"/>
      <c r="AD9" s="34"/>
      <c r="AE9" s="390"/>
      <c r="AF9" s="520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20"/>
      <c r="AT9" s="34"/>
      <c r="AU9" s="390"/>
      <c r="AV9" s="520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20"/>
      <c r="BJ9" s="34"/>
      <c r="BK9" s="390"/>
      <c r="BL9" s="520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20"/>
      <c r="BZ9" s="34"/>
      <c r="CA9" s="390"/>
      <c r="CB9" s="520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20"/>
      <c r="CP9" s="34"/>
      <c r="CQ9" s="390"/>
      <c r="CR9" s="520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20"/>
      <c r="DF9" s="34"/>
      <c r="DG9" s="390"/>
      <c r="DH9" s="520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20"/>
      <c r="DV9" s="34"/>
      <c r="DW9" s="390"/>
      <c r="DX9" s="520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20"/>
      <c r="EL9" s="34"/>
      <c r="EM9" s="390"/>
      <c r="EN9" s="520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20"/>
      <c r="FB9" s="34"/>
      <c r="FC9" s="390"/>
      <c r="FD9" s="520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20"/>
      <c r="FR9" s="34"/>
      <c r="FS9" s="390"/>
      <c r="FT9" s="520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20"/>
      <c r="GH9" s="34"/>
      <c r="GI9" s="390"/>
      <c r="GJ9" s="520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20"/>
      <c r="GX9" s="34"/>
      <c r="GY9" s="390"/>
      <c r="GZ9" s="520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20"/>
      <c r="HN9" s="34"/>
      <c r="HO9" s="390"/>
      <c r="HP9" s="520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20"/>
      <c r="ID9" s="34"/>
      <c r="IE9" s="390"/>
      <c r="IF9" s="520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20"/>
      <c r="IT9" s="34"/>
      <c r="IU9" s="390"/>
      <c r="IV9" s="520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20"/>
      <c r="JJ9" s="34"/>
      <c r="JK9" s="390"/>
      <c r="JL9" s="520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20"/>
      <c r="JZ9" s="34"/>
      <c r="KA9" s="390"/>
      <c r="KB9" s="520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20"/>
      <c r="KP9" s="34"/>
      <c r="KQ9" s="390"/>
      <c r="KR9" s="520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20"/>
      <c r="LF9" s="34"/>
      <c r="LG9" s="390"/>
      <c r="LH9" s="520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20"/>
      <c r="LV9" s="34"/>
      <c r="LW9" s="390"/>
      <c r="LX9" s="520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20"/>
      <c r="ML9" s="34"/>
      <c r="MM9" s="390"/>
      <c r="MN9" s="520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20"/>
      <c r="NB9" s="34"/>
      <c r="NC9" s="390"/>
      <c r="ND9" s="520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20"/>
      <c r="NR9" s="34"/>
      <c r="NS9" s="390"/>
      <c r="NT9" s="520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20"/>
      <c r="OH9" s="34"/>
      <c r="OI9" s="390"/>
      <c r="OJ9" s="520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20"/>
      <c r="OX9" s="34"/>
      <c r="OY9" s="390"/>
      <c r="OZ9" s="520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20"/>
      <c r="PN9" s="34"/>
      <c r="PO9" s="390"/>
      <c r="PP9" s="520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20"/>
      <c r="QD9" s="34"/>
      <c r="QE9" s="390"/>
      <c r="QF9" s="520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20"/>
      <c r="QT9" s="34"/>
      <c r="QU9" s="390"/>
      <c r="QV9" s="520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20"/>
      <c r="RJ9" s="34"/>
      <c r="RK9" s="390"/>
      <c r="RL9" s="520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20"/>
      <c r="RZ9" s="34"/>
      <c r="SA9" s="390"/>
      <c r="SB9" s="520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20"/>
      <c r="SP9" s="34"/>
      <c r="SQ9" s="390"/>
      <c r="SR9" s="520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20"/>
      <c r="TF9" s="34"/>
      <c r="TG9" s="390"/>
      <c r="TH9" s="520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20"/>
      <c r="TV9" s="34"/>
      <c r="TW9" s="390"/>
      <c r="TX9" s="520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20"/>
      <c r="UL9" s="34"/>
      <c r="UM9" s="390"/>
      <c r="UN9" s="520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20"/>
      <c r="VB9" s="34"/>
      <c r="VC9" s="390"/>
      <c r="VD9" s="520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20"/>
      <c r="VR9" s="34"/>
      <c r="VS9" s="390"/>
      <c r="VT9" s="520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20"/>
      <c r="WH9" s="34"/>
      <c r="WI9" s="390"/>
      <c r="WJ9" s="520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20"/>
      <c r="WX9" s="34"/>
      <c r="WY9" s="390"/>
      <c r="WZ9" s="520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20"/>
      <c r="XN9" s="34"/>
      <c r="XO9" s="390"/>
      <c r="XP9" s="520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20"/>
      <c r="YD9" s="34"/>
      <c r="YE9" s="390"/>
      <c r="YF9" s="520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20"/>
      <c r="YT9" s="34"/>
      <c r="YU9" s="390"/>
      <c r="YV9" s="520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20"/>
      <c r="ZJ9" s="34"/>
      <c r="ZK9" s="390"/>
      <c r="ZL9" s="520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20"/>
      <c r="ZZ9" s="34"/>
      <c r="AAA9" s="390"/>
      <c r="AAB9" s="520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20"/>
      <c r="AAP9" s="34"/>
      <c r="AAQ9" s="390"/>
      <c r="AAR9" s="520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20"/>
      <c r="ABF9" s="34"/>
      <c r="ABG9" s="390"/>
      <c r="ABH9" s="520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20"/>
      <c r="ABV9" s="34"/>
      <c r="ABW9" s="390"/>
      <c r="ABX9" s="520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20"/>
      <c r="ACL9" s="34"/>
      <c r="ACM9" s="390"/>
      <c r="ACN9" s="520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20"/>
      <c r="ADB9" s="34"/>
      <c r="ADC9" s="390"/>
      <c r="ADD9" s="520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20"/>
      <c r="ADR9" s="34"/>
      <c r="ADS9" s="390"/>
      <c r="ADT9" s="520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20"/>
      <c r="AEH9" s="34"/>
      <c r="AEI9" s="390"/>
      <c r="AEJ9" s="520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20"/>
      <c r="AEX9" s="34"/>
      <c r="AEY9" s="390"/>
      <c r="AEZ9" s="520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20"/>
      <c r="AFN9" s="34"/>
      <c r="AFO9" s="390"/>
      <c r="AFP9" s="520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20"/>
      <c r="AGD9" s="34"/>
      <c r="AGE9" s="390"/>
      <c r="AGF9" s="520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20"/>
      <c r="AGT9" s="34"/>
      <c r="AGU9" s="390"/>
      <c r="AGV9" s="520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20"/>
      <c r="AHJ9" s="34"/>
      <c r="AHK9" s="390"/>
      <c r="AHL9" s="520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20"/>
      <c r="AHZ9" s="34"/>
      <c r="AIA9" s="390"/>
      <c r="AIB9" s="520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20"/>
      <c r="AIP9" s="34"/>
      <c r="AIQ9" s="390"/>
      <c r="AIR9" s="520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20"/>
      <c r="AJF9" s="34"/>
      <c r="AJG9" s="390"/>
      <c r="AJH9" s="520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20"/>
      <c r="AJV9" s="34"/>
      <c r="AJW9" s="390"/>
      <c r="AJX9" s="520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20"/>
      <c r="AKL9" s="34"/>
      <c r="AKM9" s="390"/>
      <c r="AKN9" s="520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20"/>
      <c r="ALB9" s="34"/>
      <c r="ALC9" s="390"/>
      <c r="ALD9" s="520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20"/>
      <c r="ALR9" s="34"/>
      <c r="ALS9" s="390"/>
      <c r="ALT9" s="520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20"/>
      <c r="AMH9" s="34"/>
      <c r="AMI9" s="390"/>
      <c r="AMJ9" s="520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20"/>
      <c r="AMX9" s="34"/>
      <c r="AMY9" s="390"/>
      <c r="AMZ9" s="520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20"/>
      <c r="ANN9" s="34"/>
      <c r="ANO9" s="390"/>
      <c r="ANP9" s="520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20"/>
      <c r="AOD9" s="34"/>
      <c r="AOE9" s="390"/>
      <c r="AOF9" s="520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20"/>
      <c r="AOT9" s="34"/>
      <c r="AOU9" s="390"/>
      <c r="AOV9" s="520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20"/>
      <c r="APJ9" s="34"/>
      <c r="APK9" s="390"/>
      <c r="APL9" s="520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20"/>
      <c r="APZ9" s="34"/>
      <c r="AQA9" s="390"/>
      <c r="AQB9" s="520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20"/>
      <c r="AQP9" s="34"/>
      <c r="AQQ9" s="390"/>
      <c r="AQR9" s="520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20"/>
      <c r="ARF9" s="34"/>
      <c r="ARG9" s="390"/>
      <c r="ARH9" s="520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20"/>
      <c r="ARV9" s="34"/>
      <c r="ARW9" s="390"/>
      <c r="ARX9" s="520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20"/>
      <c r="ASL9" s="34"/>
      <c r="ASM9" s="390"/>
      <c r="ASN9" s="520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20"/>
      <c r="ATB9" s="34"/>
      <c r="ATC9" s="390"/>
      <c r="ATD9" s="520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20"/>
      <c r="ATR9" s="34"/>
      <c r="ATS9" s="390"/>
      <c r="ATT9" s="520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20"/>
      <c r="AUH9" s="34"/>
      <c r="AUI9" s="390"/>
      <c r="AUJ9" s="520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20"/>
      <c r="AUX9" s="34"/>
      <c r="AUY9" s="390"/>
      <c r="AUZ9" s="520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20"/>
      <c r="AVN9" s="34"/>
      <c r="AVO9" s="390"/>
      <c r="AVP9" s="520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20"/>
      <c r="AWD9" s="34"/>
      <c r="AWE9" s="390"/>
      <c r="AWF9" s="520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20"/>
      <c r="AWT9" s="34"/>
      <c r="AWU9" s="390"/>
      <c r="AWV9" s="520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20"/>
      <c r="AXJ9" s="34"/>
      <c r="AXK9" s="390"/>
      <c r="AXL9" s="520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20"/>
      <c r="AXZ9" s="34"/>
      <c r="AYA9" s="390"/>
      <c r="AYB9" s="520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20"/>
      <c r="AYP9" s="34"/>
      <c r="AYQ9" s="390"/>
      <c r="AYR9" s="520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20"/>
      <c r="AZF9" s="34"/>
      <c r="AZG9" s="390"/>
      <c r="AZH9" s="520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20"/>
      <c r="AZV9" s="34"/>
      <c r="AZW9" s="390"/>
      <c r="AZX9" s="520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20"/>
      <c r="BAL9" s="34"/>
      <c r="BAM9" s="390"/>
      <c r="BAN9" s="520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20"/>
      <c r="BBB9" s="34"/>
      <c r="BBC9" s="390"/>
      <c r="BBD9" s="520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20"/>
      <c r="BBR9" s="34"/>
      <c r="BBS9" s="390"/>
      <c r="BBT9" s="520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20"/>
      <c r="BCH9" s="34"/>
      <c r="BCI9" s="390"/>
      <c r="BCJ9" s="520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20"/>
      <c r="BCX9" s="34"/>
      <c r="BCY9" s="390"/>
      <c r="BCZ9" s="520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20"/>
      <c r="BDN9" s="34"/>
      <c r="BDO9" s="390"/>
      <c r="BDP9" s="520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20"/>
      <c r="BED9" s="34"/>
      <c r="BEE9" s="390"/>
      <c r="BEF9" s="520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20"/>
      <c r="BET9" s="34"/>
      <c r="BEU9" s="390"/>
      <c r="BEV9" s="520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20"/>
      <c r="BFJ9" s="34"/>
      <c r="BFK9" s="390"/>
      <c r="BFL9" s="520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20"/>
      <c r="BFZ9" s="34"/>
      <c r="BGA9" s="390"/>
      <c r="BGB9" s="520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20"/>
      <c r="BGP9" s="34"/>
      <c r="BGQ9" s="390"/>
      <c r="BGR9" s="520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20"/>
      <c r="BHF9" s="34"/>
      <c r="BHG9" s="390"/>
      <c r="BHH9" s="520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20"/>
      <c r="BHV9" s="34"/>
      <c r="BHW9" s="390"/>
      <c r="BHX9" s="520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20"/>
      <c r="BIL9" s="34"/>
      <c r="BIM9" s="390"/>
      <c r="BIN9" s="520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20"/>
      <c r="BJB9" s="34"/>
      <c r="BJC9" s="390"/>
      <c r="BJD9" s="520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20"/>
      <c r="BJR9" s="34"/>
      <c r="BJS9" s="390"/>
      <c r="BJT9" s="520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20"/>
      <c r="BKH9" s="34"/>
      <c r="BKI9" s="390"/>
      <c r="BKJ9" s="520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20"/>
      <c r="BKX9" s="34"/>
      <c r="BKY9" s="390"/>
      <c r="BKZ9" s="520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20"/>
      <c r="BLN9" s="34"/>
      <c r="BLO9" s="390"/>
      <c r="BLP9" s="520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20"/>
      <c r="BMD9" s="34"/>
      <c r="BME9" s="390"/>
      <c r="BMF9" s="520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20"/>
      <c r="BMT9" s="34"/>
      <c r="BMU9" s="390"/>
      <c r="BMV9" s="520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20"/>
      <c r="BNJ9" s="34"/>
      <c r="BNK9" s="390"/>
      <c r="BNL9" s="520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20"/>
      <c r="BNZ9" s="34"/>
      <c r="BOA9" s="390"/>
      <c r="BOB9" s="520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20"/>
      <c r="BOP9" s="34"/>
      <c r="BOQ9" s="390"/>
      <c r="BOR9" s="520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20"/>
      <c r="BPF9" s="34"/>
      <c r="BPG9" s="390"/>
      <c r="BPH9" s="520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20"/>
      <c r="BPV9" s="34"/>
      <c r="BPW9" s="390"/>
      <c r="BPX9" s="520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20"/>
      <c r="BQL9" s="34"/>
      <c r="BQM9" s="390"/>
      <c r="BQN9" s="520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20"/>
      <c r="BRB9" s="34"/>
      <c r="BRC9" s="390"/>
      <c r="BRD9" s="520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20"/>
      <c r="BRR9" s="34"/>
      <c r="BRS9" s="390"/>
      <c r="BRT9" s="520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20"/>
      <c r="BSH9" s="34"/>
      <c r="BSI9" s="390"/>
      <c r="BSJ9" s="520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20"/>
      <c r="BSX9" s="34"/>
      <c r="BSY9" s="390"/>
      <c r="BSZ9" s="520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20"/>
      <c r="BTN9" s="34"/>
      <c r="BTO9" s="390"/>
      <c r="BTP9" s="520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20"/>
      <c r="BUD9" s="34"/>
      <c r="BUE9" s="390"/>
      <c r="BUF9" s="520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20"/>
      <c r="BUT9" s="34"/>
      <c r="BUU9" s="390"/>
      <c r="BUV9" s="520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20"/>
      <c r="BVJ9" s="34"/>
      <c r="BVK9" s="390"/>
      <c r="BVL9" s="520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20"/>
      <c r="BVZ9" s="34"/>
      <c r="BWA9" s="390"/>
      <c r="BWB9" s="520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20"/>
      <c r="BWP9" s="34"/>
      <c r="BWQ9" s="390"/>
      <c r="BWR9" s="520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20"/>
      <c r="BXF9" s="34"/>
      <c r="BXG9" s="390"/>
      <c r="BXH9" s="520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20"/>
      <c r="BXV9" s="34"/>
      <c r="BXW9" s="390"/>
      <c r="BXX9" s="520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20"/>
      <c r="BYL9" s="34"/>
      <c r="BYM9" s="390"/>
      <c r="BYN9" s="520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20"/>
      <c r="BZB9" s="34"/>
      <c r="BZC9" s="390"/>
      <c r="BZD9" s="520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20"/>
      <c r="BZR9" s="34"/>
      <c r="BZS9" s="390"/>
      <c r="BZT9" s="520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20"/>
      <c r="CAH9" s="34"/>
      <c r="CAI9" s="390"/>
      <c r="CAJ9" s="520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20"/>
      <c r="CAX9" s="34"/>
      <c r="CAY9" s="390"/>
      <c r="CAZ9" s="520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20"/>
      <c r="CBN9" s="34"/>
      <c r="CBO9" s="390"/>
      <c r="CBP9" s="520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20"/>
      <c r="CCD9" s="34"/>
      <c r="CCE9" s="390"/>
      <c r="CCF9" s="520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20"/>
      <c r="CCT9" s="34"/>
      <c r="CCU9" s="390"/>
      <c r="CCV9" s="520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20"/>
      <c r="CDJ9" s="34"/>
      <c r="CDK9" s="390"/>
      <c r="CDL9" s="520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20"/>
      <c r="CDZ9" s="34"/>
      <c r="CEA9" s="390"/>
      <c r="CEB9" s="520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20"/>
      <c r="CEP9" s="34"/>
      <c r="CEQ9" s="390"/>
      <c r="CER9" s="520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20"/>
      <c r="CFF9" s="34"/>
      <c r="CFG9" s="390"/>
      <c r="CFH9" s="520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20"/>
      <c r="CFV9" s="34"/>
      <c r="CFW9" s="390"/>
      <c r="CFX9" s="520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20"/>
      <c r="CGL9" s="34"/>
      <c r="CGM9" s="390"/>
      <c r="CGN9" s="520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20"/>
      <c r="CHB9" s="34"/>
      <c r="CHC9" s="390"/>
      <c r="CHD9" s="520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20"/>
      <c r="CHR9" s="34"/>
      <c r="CHS9" s="390"/>
      <c r="CHT9" s="520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20"/>
      <c r="CIH9" s="34"/>
      <c r="CII9" s="390"/>
      <c r="CIJ9" s="520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20"/>
      <c r="CIX9" s="34"/>
      <c r="CIY9" s="390"/>
      <c r="CIZ9" s="520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20"/>
      <c r="CJN9" s="34"/>
      <c r="CJO9" s="390"/>
      <c r="CJP9" s="520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20"/>
      <c r="CKD9" s="34"/>
      <c r="CKE9" s="390"/>
      <c r="CKF9" s="520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20"/>
      <c r="CKT9" s="34"/>
      <c r="CKU9" s="390"/>
      <c r="CKV9" s="520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20"/>
      <c r="CLJ9" s="34"/>
      <c r="CLK9" s="390"/>
      <c r="CLL9" s="520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20"/>
      <c r="CLZ9" s="34"/>
      <c r="CMA9" s="390"/>
      <c r="CMB9" s="520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20"/>
      <c r="CMP9" s="34"/>
      <c r="CMQ9" s="390"/>
      <c r="CMR9" s="520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20"/>
      <c r="CNF9" s="34"/>
      <c r="CNG9" s="390"/>
      <c r="CNH9" s="520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20"/>
      <c r="CNV9" s="34"/>
      <c r="CNW9" s="390"/>
      <c r="CNX9" s="520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20"/>
      <c r="COL9" s="34"/>
      <c r="COM9" s="390"/>
      <c r="CON9" s="520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20"/>
      <c r="CPB9" s="34"/>
      <c r="CPC9" s="390"/>
      <c r="CPD9" s="520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20"/>
      <c r="CPR9" s="34"/>
      <c r="CPS9" s="390"/>
      <c r="CPT9" s="520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20"/>
      <c r="CQH9" s="34"/>
      <c r="CQI9" s="390"/>
      <c r="CQJ9" s="520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20"/>
      <c r="CQX9" s="34"/>
      <c r="CQY9" s="390"/>
      <c r="CQZ9" s="520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20"/>
      <c r="CRN9" s="34"/>
      <c r="CRO9" s="390"/>
      <c r="CRP9" s="520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20"/>
      <c r="CSD9" s="34"/>
      <c r="CSE9" s="390"/>
      <c r="CSF9" s="520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20"/>
      <c r="CST9" s="34"/>
      <c r="CSU9" s="390"/>
      <c r="CSV9" s="520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20"/>
      <c r="CTJ9" s="34"/>
      <c r="CTK9" s="390"/>
      <c r="CTL9" s="520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20"/>
      <c r="CTZ9" s="34"/>
      <c r="CUA9" s="390"/>
      <c r="CUB9" s="520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20"/>
      <c r="CUP9" s="34"/>
      <c r="CUQ9" s="390"/>
      <c r="CUR9" s="520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20"/>
      <c r="CVF9" s="34"/>
      <c r="CVG9" s="390"/>
      <c r="CVH9" s="520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20"/>
      <c r="CVV9" s="34"/>
      <c r="CVW9" s="390"/>
      <c r="CVX9" s="520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20"/>
      <c r="CWL9" s="34"/>
      <c r="CWM9" s="390"/>
      <c r="CWN9" s="520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20"/>
      <c r="CXB9" s="34"/>
      <c r="CXC9" s="390"/>
      <c r="CXD9" s="520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20"/>
      <c r="CXR9" s="34"/>
      <c r="CXS9" s="390"/>
      <c r="CXT9" s="520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20"/>
      <c r="CYH9" s="34"/>
      <c r="CYI9" s="390"/>
      <c r="CYJ9" s="520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20"/>
      <c r="CYX9" s="34"/>
      <c r="CYY9" s="390"/>
      <c r="CYZ9" s="520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20"/>
      <c r="CZN9" s="34"/>
      <c r="CZO9" s="390"/>
      <c r="CZP9" s="520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20"/>
      <c r="DAD9" s="34"/>
      <c r="DAE9" s="390"/>
      <c r="DAF9" s="520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20"/>
      <c r="DAT9" s="34"/>
      <c r="DAU9" s="390"/>
      <c r="DAV9" s="520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20"/>
      <c r="DBJ9" s="34"/>
      <c r="DBK9" s="390"/>
      <c r="DBL9" s="520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20"/>
      <c r="DBZ9" s="34"/>
      <c r="DCA9" s="390"/>
      <c r="DCB9" s="520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20"/>
      <c r="DCP9" s="34"/>
      <c r="DCQ9" s="390"/>
      <c r="DCR9" s="520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20"/>
      <c r="DDF9" s="34"/>
      <c r="DDG9" s="390"/>
      <c r="DDH9" s="520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20"/>
      <c r="DDV9" s="34"/>
      <c r="DDW9" s="390"/>
      <c r="DDX9" s="520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20"/>
      <c r="DEL9" s="34"/>
      <c r="DEM9" s="390"/>
      <c r="DEN9" s="520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20"/>
      <c r="DFB9" s="34"/>
      <c r="DFC9" s="390"/>
      <c r="DFD9" s="520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20"/>
      <c r="DFR9" s="34"/>
      <c r="DFS9" s="390"/>
      <c r="DFT9" s="520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20"/>
      <c r="DGH9" s="34"/>
      <c r="DGI9" s="390"/>
      <c r="DGJ9" s="520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20"/>
      <c r="DGX9" s="34"/>
      <c r="DGY9" s="390"/>
      <c r="DGZ9" s="520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20"/>
      <c r="DHN9" s="34"/>
      <c r="DHO9" s="390"/>
      <c r="DHP9" s="520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20"/>
      <c r="DID9" s="34"/>
      <c r="DIE9" s="390"/>
      <c r="DIF9" s="520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20"/>
      <c r="DIT9" s="34"/>
      <c r="DIU9" s="390"/>
      <c r="DIV9" s="520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20"/>
      <c r="DJJ9" s="34"/>
      <c r="DJK9" s="390"/>
      <c r="DJL9" s="520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20"/>
      <c r="DJZ9" s="34"/>
      <c r="DKA9" s="390"/>
      <c r="DKB9" s="520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20"/>
      <c r="DKP9" s="34"/>
      <c r="DKQ9" s="390"/>
      <c r="DKR9" s="520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20"/>
      <c r="DLF9" s="34"/>
      <c r="DLG9" s="390"/>
      <c r="DLH9" s="520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20"/>
      <c r="DLV9" s="34"/>
      <c r="DLW9" s="390"/>
      <c r="DLX9" s="520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20"/>
      <c r="DML9" s="34"/>
      <c r="DMM9" s="390"/>
      <c r="DMN9" s="520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20"/>
      <c r="DNB9" s="34"/>
      <c r="DNC9" s="390"/>
      <c r="DND9" s="520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20"/>
      <c r="DNR9" s="34"/>
      <c r="DNS9" s="390"/>
      <c r="DNT9" s="520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20"/>
      <c r="DOH9" s="34"/>
      <c r="DOI9" s="390"/>
      <c r="DOJ9" s="520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20"/>
      <c r="DOX9" s="34"/>
      <c r="DOY9" s="390"/>
      <c r="DOZ9" s="520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20"/>
      <c r="DPN9" s="34"/>
      <c r="DPO9" s="390"/>
      <c r="DPP9" s="520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20"/>
      <c r="DQD9" s="34"/>
      <c r="DQE9" s="390"/>
      <c r="DQF9" s="520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20"/>
      <c r="DQT9" s="34"/>
      <c r="DQU9" s="390"/>
      <c r="DQV9" s="520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20"/>
      <c r="DRJ9" s="34"/>
      <c r="DRK9" s="390"/>
      <c r="DRL9" s="520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20"/>
      <c r="DRZ9" s="34"/>
      <c r="DSA9" s="390"/>
      <c r="DSB9" s="520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20"/>
      <c r="DSP9" s="34"/>
      <c r="DSQ9" s="390"/>
      <c r="DSR9" s="520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20"/>
      <c r="DTF9" s="34"/>
      <c r="DTG9" s="390"/>
      <c r="DTH9" s="520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20"/>
      <c r="DTV9" s="34"/>
      <c r="DTW9" s="390"/>
      <c r="DTX9" s="520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20"/>
      <c r="DUL9" s="34"/>
      <c r="DUM9" s="390"/>
      <c r="DUN9" s="520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20"/>
      <c r="DVB9" s="34"/>
      <c r="DVC9" s="390"/>
      <c r="DVD9" s="520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20"/>
      <c r="DVR9" s="34"/>
      <c r="DVS9" s="390"/>
      <c r="DVT9" s="520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20"/>
      <c r="DWH9" s="34"/>
      <c r="DWI9" s="390"/>
      <c r="DWJ9" s="520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20"/>
      <c r="DWX9" s="34"/>
      <c r="DWY9" s="390"/>
      <c r="DWZ9" s="520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20"/>
      <c r="DXN9" s="34"/>
      <c r="DXO9" s="390"/>
      <c r="DXP9" s="520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20"/>
      <c r="DYD9" s="34"/>
      <c r="DYE9" s="390"/>
      <c r="DYF9" s="520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20"/>
      <c r="DYT9" s="34"/>
      <c r="DYU9" s="390"/>
      <c r="DYV9" s="520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20"/>
      <c r="DZJ9" s="34"/>
      <c r="DZK9" s="390"/>
      <c r="DZL9" s="520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20"/>
      <c r="DZZ9" s="34"/>
      <c r="EAA9" s="390"/>
      <c r="EAB9" s="520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20"/>
      <c r="EAP9" s="34"/>
      <c r="EAQ9" s="390"/>
      <c r="EAR9" s="520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20"/>
      <c r="EBF9" s="34"/>
      <c r="EBG9" s="390"/>
      <c r="EBH9" s="520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20"/>
      <c r="EBV9" s="34"/>
      <c r="EBW9" s="390"/>
      <c r="EBX9" s="520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20"/>
      <c r="ECL9" s="34"/>
      <c r="ECM9" s="390"/>
      <c r="ECN9" s="520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20"/>
      <c r="EDB9" s="34"/>
      <c r="EDC9" s="390"/>
      <c r="EDD9" s="520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20"/>
      <c r="EDR9" s="34"/>
      <c r="EDS9" s="390"/>
      <c r="EDT9" s="520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20"/>
      <c r="EEH9" s="34"/>
      <c r="EEI9" s="390"/>
      <c r="EEJ9" s="520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20"/>
      <c r="EEX9" s="34"/>
      <c r="EEY9" s="390"/>
      <c r="EEZ9" s="520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20"/>
      <c r="EFN9" s="34"/>
      <c r="EFO9" s="390"/>
      <c r="EFP9" s="520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20"/>
      <c r="EGD9" s="34"/>
      <c r="EGE9" s="390"/>
      <c r="EGF9" s="520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20"/>
      <c r="EGT9" s="34"/>
      <c r="EGU9" s="390"/>
      <c r="EGV9" s="520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20"/>
      <c r="EHJ9" s="34"/>
      <c r="EHK9" s="390"/>
      <c r="EHL9" s="520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20"/>
      <c r="EHZ9" s="34"/>
      <c r="EIA9" s="390"/>
      <c r="EIB9" s="520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20"/>
      <c r="EIP9" s="34"/>
      <c r="EIQ9" s="390"/>
      <c r="EIR9" s="520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20"/>
      <c r="EJF9" s="34"/>
      <c r="EJG9" s="390"/>
      <c r="EJH9" s="520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20"/>
      <c r="EJV9" s="34"/>
      <c r="EJW9" s="390"/>
      <c r="EJX9" s="520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20"/>
      <c r="EKL9" s="34"/>
      <c r="EKM9" s="390"/>
      <c r="EKN9" s="520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20"/>
      <c r="ELB9" s="34"/>
      <c r="ELC9" s="390"/>
      <c r="ELD9" s="520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20"/>
      <c r="ELR9" s="34"/>
      <c r="ELS9" s="390"/>
      <c r="ELT9" s="520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20"/>
      <c r="EMH9" s="34"/>
      <c r="EMI9" s="390"/>
      <c r="EMJ9" s="520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20"/>
      <c r="EMX9" s="34"/>
      <c r="EMY9" s="390"/>
      <c r="EMZ9" s="520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20"/>
      <c r="ENN9" s="34"/>
      <c r="ENO9" s="390"/>
      <c r="ENP9" s="520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20"/>
      <c r="EOD9" s="34"/>
      <c r="EOE9" s="390"/>
      <c r="EOF9" s="520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20"/>
      <c r="EOT9" s="34"/>
      <c r="EOU9" s="390"/>
      <c r="EOV9" s="520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20"/>
      <c r="EPJ9" s="34"/>
      <c r="EPK9" s="390"/>
      <c r="EPL9" s="520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20"/>
      <c r="EPZ9" s="34"/>
      <c r="EQA9" s="390"/>
      <c r="EQB9" s="520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20"/>
      <c r="EQP9" s="34"/>
      <c r="EQQ9" s="390"/>
      <c r="EQR9" s="520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20"/>
      <c r="ERF9" s="34"/>
      <c r="ERG9" s="390"/>
      <c r="ERH9" s="520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20"/>
      <c r="ERV9" s="34"/>
      <c r="ERW9" s="390"/>
      <c r="ERX9" s="520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20"/>
      <c r="ESL9" s="34"/>
      <c r="ESM9" s="390"/>
      <c r="ESN9" s="520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20"/>
      <c r="ETB9" s="34"/>
      <c r="ETC9" s="390"/>
      <c r="ETD9" s="520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20"/>
      <c r="ETR9" s="34"/>
      <c r="ETS9" s="390"/>
      <c r="ETT9" s="520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20"/>
      <c r="EUH9" s="34"/>
      <c r="EUI9" s="390"/>
      <c r="EUJ9" s="520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20"/>
      <c r="EUX9" s="34"/>
      <c r="EUY9" s="390"/>
      <c r="EUZ9" s="520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20"/>
      <c r="EVN9" s="34"/>
      <c r="EVO9" s="390"/>
      <c r="EVP9" s="520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20"/>
      <c r="EWD9" s="34"/>
      <c r="EWE9" s="390"/>
      <c r="EWF9" s="520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20"/>
      <c r="EWT9" s="34"/>
      <c r="EWU9" s="390"/>
      <c r="EWV9" s="520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20"/>
      <c r="EXJ9" s="34"/>
      <c r="EXK9" s="390"/>
      <c r="EXL9" s="520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20"/>
      <c r="EXZ9" s="34"/>
      <c r="EYA9" s="390"/>
      <c r="EYB9" s="520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20"/>
      <c r="EYP9" s="34"/>
      <c r="EYQ9" s="390"/>
      <c r="EYR9" s="520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20"/>
      <c r="EZF9" s="34"/>
      <c r="EZG9" s="390"/>
      <c r="EZH9" s="520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20"/>
      <c r="EZV9" s="34"/>
      <c r="EZW9" s="390"/>
      <c r="EZX9" s="520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20"/>
      <c r="FAL9" s="34"/>
      <c r="FAM9" s="390"/>
      <c r="FAN9" s="520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20"/>
      <c r="FBB9" s="34"/>
      <c r="FBC9" s="390"/>
      <c r="FBD9" s="520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20"/>
      <c r="FBR9" s="34"/>
      <c r="FBS9" s="390"/>
      <c r="FBT9" s="520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20"/>
      <c r="FCH9" s="34"/>
      <c r="FCI9" s="390"/>
      <c r="FCJ9" s="520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20"/>
      <c r="FCX9" s="34"/>
      <c r="FCY9" s="390"/>
      <c r="FCZ9" s="520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20"/>
      <c r="FDN9" s="34"/>
      <c r="FDO9" s="390"/>
      <c r="FDP9" s="520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20"/>
      <c r="FED9" s="34"/>
      <c r="FEE9" s="390"/>
      <c r="FEF9" s="520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20"/>
      <c r="FET9" s="34"/>
      <c r="FEU9" s="390"/>
      <c r="FEV9" s="520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20"/>
      <c r="FFJ9" s="34"/>
      <c r="FFK9" s="390"/>
      <c r="FFL9" s="520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20"/>
      <c r="FFZ9" s="34"/>
      <c r="FGA9" s="390"/>
      <c r="FGB9" s="520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20"/>
      <c r="FGP9" s="34"/>
      <c r="FGQ9" s="390"/>
      <c r="FGR9" s="520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20"/>
      <c r="FHF9" s="34"/>
      <c r="FHG9" s="390"/>
      <c r="FHH9" s="520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20"/>
      <c r="FHV9" s="34"/>
      <c r="FHW9" s="390"/>
      <c r="FHX9" s="520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20"/>
      <c r="FIL9" s="34"/>
      <c r="FIM9" s="390"/>
      <c r="FIN9" s="520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20"/>
      <c r="FJB9" s="34"/>
      <c r="FJC9" s="390"/>
      <c r="FJD9" s="520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20"/>
      <c r="FJR9" s="34"/>
      <c r="FJS9" s="390"/>
      <c r="FJT9" s="520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20"/>
      <c r="FKH9" s="34"/>
      <c r="FKI9" s="390"/>
      <c r="FKJ9" s="520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20"/>
      <c r="FKX9" s="34"/>
      <c r="FKY9" s="390"/>
      <c r="FKZ9" s="520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20"/>
      <c r="FLN9" s="34"/>
      <c r="FLO9" s="390"/>
      <c r="FLP9" s="520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20"/>
      <c r="FMD9" s="34"/>
      <c r="FME9" s="390"/>
      <c r="FMF9" s="520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20"/>
      <c r="FMT9" s="34"/>
      <c r="FMU9" s="390"/>
      <c r="FMV9" s="520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20"/>
      <c r="FNJ9" s="34"/>
      <c r="FNK9" s="390"/>
      <c r="FNL9" s="520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20"/>
      <c r="FNZ9" s="34"/>
      <c r="FOA9" s="390"/>
      <c r="FOB9" s="520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20"/>
      <c r="FOP9" s="34"/>
      <c r="FOQ9" s="390"/>
      <c r="FOR9" s="520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20"/>
      <c r="FPF9" s="34"/>
      <c r="FPG9" s="390"/>
      <c r="FPH9" s="520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20"/>
      <c r="FPV9" s="34"/>
      <c r="FPW9" s="390"/>
      <c r="FPX9" s="520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20"/>
      <c r="FQL9" s="34"/>
      <c r="FQM9" s="390"/>
      <c r="FQN9" s="520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20"/>
      <c r="FRB9" s="34"/>
      <c r="FRC9" s="390"/>
      <c r="FRD9" s="520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20"/>
      <c r="FRR9" s="34"/>
      <c r="FRS9" s="390"/>
      <c r="FRT9" s="520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20"/>
      <c r="FSH9" s="34"/>
      <c r="FSI9" s="390"/>
      <c r="FSJ9" s="520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20"/>
      <c r="FSX9" s="34"/>
      <c r="FSY9" s="390"/>
      <c r="FSZ9" s="520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20"/>
      <c r="FTN9" s="34"/>
      <c r="FTO9" s="390"/>
      <c r="FTP9" s="520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20"/>
      <c r="FUD9" s="34"/>
      <c r="FUE9" s="390"/>
      <c r="FUF9" s="520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20"/>
      <c r="FUT9" s="34"/>
      <c r="FUU9" s="390"/>
      <c r="FUV9" s="520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20"/>
      <c r="FVJ9" s="34"/>
      <c r="FVK9" s="390"/>
      <c r="FVL9" s="520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20"/>
      <c r="FVZ9" s="34"/>
      <c r="FWA9" s="390"/>
      <c r="FWB9" s="520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20"/>
      <c r="FWP9" s="34"/>
      <c r="FWQ9" s="390"/>
      <c r="FWR9" s="520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20"/>
      <c r="FXF9" s="34"/>
      <c r="FXG9" s="390"/>
      <c r="FXH9" s="520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20"/>
      <c r="FXV9" s="34"/>
      <c r="FXW9" s="390"/>
      <c r="FXX9" s="520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20"/>
      <c r="FYL9" s="34"/>
      <c r="FYM9" s="390"/>
      <c r="FYN9" s="520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20"/>
      <c r="FZB9" s="34"/>
      <c r="FZC9" s="390"/>
      <c r="FZD9" s="520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20"/>
      <c r="FZR9" s="34"/>
      <c r="FZS9" s="390"/>
      <c r="FZT9" s="520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20"/>
      <c r="GAH9" s="34"/>
      <c r="GAI9" s="390"/>
      <c r="GAJ9" s="520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20"/>
      <c r="GAX9" s="34"/>
      <c r="GAY9" s="390"/>
      <c r="GAZ9" s="520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20"/>
      <c r="GBN9" s="34"/>
      <c r="GBO9" s="390"/>
      <c r="GBP9" s="520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20"/>
      <c r="GCD9" s="34"/>
      <c r="GCE9" s="390"/>
      <c r="GCF9" s="520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20"/>
      <c r="GCT9" s="34"/>
      <c r="GCU9" s="390"/>
      <c r="GCV9" s="520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20"/>
      <c r="GDJ9" s="34"/>
      <c r="GDK9" s="390"/>
      <c r="GDL9" s="520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20"/>
      <c r="GDZ9" s="34"/>
      <c r="GEA9" s="390"/>
      <c r="GEB9" s="520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20"/>
      <c r="GEP9" s="34"/>
      <c r="GEQ9" s="390"/>
      <c r="GER9" s="520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20"/>
      <c r="GFF9" s="34"/>
      <c r="GFG9" s="390"/>
      <c r="GFH9" s="520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20"/>
      <c r="GFV9" s="34"/>
      <c r="GFW9" s="390"/>
      <c r="GFX9" s="520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20"/>
      <c r="GGL9" s="34"/>
      <c r="GGM9" s="390"/>
      <c r="GGN9" s="520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20"/>
      <c r="GHB9" s="34"/>
      <c r="GHC9" s="390"/>
      <c r="GHD9" s="520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20"/>
      <c r="GHR9" s="34"/>
      <c r="GHS9" s="390"/>
      <c r="GHT9" s="520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20"/>
      <c r="GIH9" s="34"/>
      <c r="GII9" s="390"/>
      <c r="GIJ9" s="520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20"/>
      <c r="GIX9" s="34"/>
      <c r="GIY9" s="390"/>
      <c r="GIZ9" s="520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20"/>
      <c r="GJN9" s="34"/>
      <c r="GJO9" s="390"/>
      <c r="GJP9" s="520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20"/>
      <c r="GKD9" s="34"/>
      <c r="GKE9" s="390"/>
      <c r="GKF9" s="520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20"/>
      <c r="GKT9" s="34"/>
      <c r="GKU9" s="390"/>
      <c r="GKV9" s="520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20"/>
      <c r="GLJ9" s="34"/>
      <c r="GLK9" s="390"/>
      <c r="GLL9" s="520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20"/>
      <c r="GLZ9" s="34"/>
      <c r="GMA9" s="390"/>
      <c r="GMB9" s="520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20"/>
      <c r="GMP9" s="34"/>
      <c r="GMQ9" s="390"/>
      <c r="GMR9" s="520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20"/>
      <c r="GNF9" s="34"/>
      <c r="GNG9" s="390"/>
      <c r="GNH9" s="520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20"/>
      <c r="GNV9" s="34"/>
      <c r="GNW9" s="390"/>
      <c r="GNX9" s="520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20"/>
      <c r="GOL9" s="34"/>
      <c r="GOM9" s="390"/>
      <c r="GON9" s="520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20"/>
      <c r="GPB9" s="34"/>
      <c r="GPC9" s="390"/>
      <c r="GPD9" s="520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20"/>
      <c r="GPR9" s="34"/>
      <c r="GPS9" s="390"/>
      <c r="GPT9" s="520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20"/>
      <c r="GQH9" s="34"/>
      <c r="GQI9" s="390"/>
      <c r="GQJ9" s="520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20"/>
      <c r="GQX9" s="34"/>
      <c r="GQY9" s="390"/>
      <c r="GQZ9" s="520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20"/>
      <c r="GRN9" s="34"/>
      <c r="GRO9" s="390"/>
      <c r="GRP9" s="520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20"/>
      <c r="GSD9" s="34"/>
      <c r="GSE9" s="390"/>
      <c r="GSF9" s="520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20"/>
      <c r="GST9" s="34"/>
      <c r="GSU9" s="390"/>
      <c r="GSV9" s="520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20"/>
      <c r="GTJ9" s="34"/>
      <c r="GTK9" s="390"/>
      <c r="GTL9" s="520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20"/>
      <c r="GTZ9" s="34"/>
      <c r="GUA9" s="390"/>
      <c r="GUB9" s="520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20"/>
      <c r="GUP9" s="34"/>
      <c r="GUQ9" s="390"/>
      <c r="GUR9" s="520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20"/>
      <c r="GVF9" s="34"/>
      <c r="GVG9" s="390"/>
      <c r="GVH9" s="520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20"/>
      <c r="GVV9" s="34"/>
      <c r="GVW9" s="390"/>
      <c r="GVX9" s="520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20"/>
      <c r="GWL9" s="34"/>
      <c r="GWM9" s="390"/>
      <c r="GWN9" s="520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20"/>
      <c r="GXB9" s="34"/>
      <c r="GXC9" s="390"/>
      <c r="GXD9" s="520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20"/>
      <c r="GXR9" s="34"/>
      <c r="GXS9" s="390"/>
      <c r="GXT9" s="520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20"/>
      <c r="GYH9" s="34"/>
      <c r="GYI9" s="390"/>
      <c r="GYJ9" s="520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20"/>
      <c r="GYX9" s="34"/>
      <c r="GYY9" s="390"/>
      <c r="GYZ9" s="520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20"/>
      <c r="GZN9" s="34"/>
      <c r="GZO9" s="390"/>
      <c r="GZP9" s="520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20"/>
      <c r="HAD9" s="34"/>
      <c r="HAE9" s="390"/>
      <c r="HAF9" s="520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20"/>
      <c r="HAT9" s="34"/>
      <c r="HAU9" s="390"/>
      <c r="HAV9" s="520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20"/>
      <c r="HBJ9" s="34"/>
      <c r="HBK9" s="390"/>
      <c r="HBL9" s="520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20"/>
      <c r="HBZ9" s="34"/>
      <c r="HCA9" s="390"/>
      <c r="HCB9" s="520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20"/>
      <c r="HCP9" s="34"/>
      <c r="HCQ9" s="390"/>
      <c r="HCR9" s="520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20"/>
      <c r="HDF9" s="34"/>
      <c r="HDG9" s="390"/>
      <c r="HDH9" s="520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20"/>
      <c r="HDV9" s="34"/>
      <c r="HDW9" s="390"/>
      <c r="HDX9" s="520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20"/>
      <c r="HEL9" s="34"/>
      <c r="HEM9" s="390"/>
      <c r="HEN9" s="520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20"/>
      <c r="HFB9" s="34"/>
      <c r="HFC9" s="390"/>
      <c r="HFD9" s="520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20"/>
      <c r="HFR9" s="34"/>
      <c r="HFS9" s="390"/>
      <c r="HFT9" s="520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20"/>
      <c r="HGH9" s="34"/>
      <c r="HGI9" s="390"/>
      <c r="HGJ9" s="520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20"/>
      <c r="HGX9" s="34"/>
      <c r="HGY9" s="390"/>
      <c r="HGZ9" s="520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20"/>
      <c r="HHN9" s="34"/>
      <c r="HHO9" s="390"/>
      <c r="HHP9" s="520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20"/>
      <c r="HID9" s="34"/>
      <c r="HIE9" s="390"/>
      <c r="HIF9" s="520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20"/>
      <c r="HIT9" s="34"/>
      <c r="HIU9" s="390"/>
      <c r="HIV9" s="520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20"/>
      <c r="HJJ9" s="34"/>
      <c r="HJK9" s="390"/>
      <c r="HJL9" s="520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20"/>
      <c r="HJZ9" s="34"/>
      <c r="HKA9" s="390"/>
      <c r="HKB9" s="520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20"/>
      <c r="HKP9" s="34"/>
      <c r="HKQ9" s="390"/>
      <c r="HKR9" s="520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20"/>
      <c r="HLF9" s="34"/>
      <c r="HLG9" s="390"/>
      <c r="HLH9" s="520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20"/>
      <c r="HLV9" s="34"/>
      <c r="HLW9" s="390"/>
      <c r="HLX9" s="520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20"/>
      <c r="HML9" s="34"/>
      <c r="HMM9" s="390"/>
      <c r="HMN9" s="520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20"/>
      <c r="HNB9" s="34"/>
      <c r="HNC9" s="390"/>
      <c r="HND9" s="520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20"/>
      <c r="HNR9" s="34"/>
      <c r="HNS9" s="390"/>
      <c r="HNT9" s="520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20"/>
      <c r="HOH9" s="34"/>
      <c r="HOI9" s="390"/>
      <c r="HOJ9" s="520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20"/>
      <c r="HOX9" s="34"/>
      <c r="HOY9" s="390"/>
      <c r="HOZ9" s="520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20"/>
      <c r="HPN9" s="34"/>
      <c r="HPO9" s="390"/>
      <c r="HPP9" s="520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20"/>
      <c r="HQD9" s="34"/>
      <c r="HQE9" s="390"/>
      <c r="HQF9" s="520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20"/>
      <c r="HQT9" s="34"/>
      <c r="HQU9" s="390"/>
      <c r="HQV9" s="520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20"/>
      <c r="HRJ9" s="34"/>
      <c r="HRK9" s="390"/>
      <c r="HRL9" s="520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20"/>
      <c r="HRZ9" s="34"/>
      <c r="HSA9" s="390"/>
      <c r="HSB9" s="520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20"/>
      <c r="HSP9" s="34"/>
      <c r="HSQ9" s="390"/>
      <c r="HSR9" s="520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20"/>
      <c r="HTF9" s="34"/>
      <c r="HTG9" s="390"/>
      <c r="HTH9" s="520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20"/>
      <c r="HTV9" s="34"/>
      <c r="HTW9" s="390"/>
      <c r="HTX9" s="520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20"/>
      <c r="HUL9" s="34"/>
      <c r="HUM9" s="390"/>
      <c r="HUN9" s="520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20"/>
      <c r="HVB9" s="34"/>
      <c r="HVC9" s="390"/>
      <c r="HVD9" s="520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20"/>
      <c r="HVR9" s="34"/>
      <c r="HVS9" s="390"/>
      <c r="HVT9" s="520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20"/>
      <c r="HWH9" s="34"/>
      <c r="HWI9" s="390"/>
      <c r="HWJ9" s="520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20"/>
      <c r="HWX9" s="34"/>
      <c r="HWY9" s="390"/>
      <c r="HWZ9" s="520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20"/>
      <c r="HXN9" s="34"/>
      <c r="HXO9" s="390"/>
      <c r="HXP9" s="520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20"/>
      <c r="HYD9" s="34"/>
      <c r="HYE9" s="390"/>
      <c r="HYF9" s="520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20"/>
      <c r="HYT9" s="34"/>
      <c r="HYU9" s="390"/>
      <c r="HYV9" s="520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20"/>
      <c r="HZJ9" s="34"/>
      <c r="HZK9" s="390"/>
      <c r="HZL9" s="520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20"/>
      <c r="HZZ9" s="34"/>
      <c r="IAA9" s="390"/>
      <c r="IAB9" s="520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20"/>
      <c r="IAP9" s="34"/>
      <c r="IAQ9" s="390"/>
      <c r="IAR9" s="520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20"/>
      <c r="IBF9" s="34"/>
      <c r="IBG9" s="390"/>
      <c r="IBH9" s="520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20"/>
      <c r="IBV9" s="34"/>
      <c r="IBW9" s="390"/>
      <c r="IBX9" s="520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20"/>
      <c r="ICL9" s="34"/>
      <c r="ICM9" s="390"/>
      <c r="ICN9" s="520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20"/>
      <c r="IDB9" s="34"/>
      <c r="IDC9" s="390"/>
      <c r="IDD9" s="520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20"/>
      <c r="IDR9" s="34"/>
      <c r="IDS9" s="390"/>
      <c r="IDT9" s="520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20"/>
      <c r="IEH9" s="34"/>
      <c r="IEI9" s="390"/>
      <c r="IEJ9" s="520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20"/>
      <c r="IEX9" s="34"/>
      <c r="IEY9" s="390"/>
      <c r="IEZ9" s="520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20"/>
      <c r="IFN9" s="34"/>
      <c r="IFO9" s="390"/>
      <c r="IFP9" s="520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20"/>
      <c r="IGD9" s="34"/>
      <c r="IGE9" s="390"/>
      <c r="IGF9" s="520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20"/>
      <c r="IGT9" s="34"/>
      <c r="IGU9" s="390"/>
      <c r="IGV9" s="520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20"/>
      <c r="IHJ9" s="34"/>
      <c r="IHK9" s="390"/>
      <c r="IHL9" s="520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20"/>
      <c r="IHZ9" s="34"/>
      <c r="IIA9" s="390"/>
      <c r="IIB9" s="520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20"/>
      <c r="IIP9" s="34"/>
      <c r="IIQ9" s="390"/>
      <c r="IIR9" s="520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20"/>
      <c r="IJF9" s="34"/>
      <c r="IJG9" s="390"/>
      <c r="IJH9" s="520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20"/>
      <c r="IJV9" s="34"/>
      <c r="IJW9" s="390"/>
      <c r="IJX9" s="520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20"/>
      <c r="IKL9" s="34"/>
      <c r="IKM9" s="390"/>
      <c r="IKN9" s="520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20"/>
      <c r="ILB9" s="34"/>
      <c r="ILC9" s="390"/>
      <c r="ILD9" s="520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20"/>
      <c r="ILR9" s="34"/>
      <c r="ILS9" s="390"/>
      <c r="ILT9" s="520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20"/>
      <c r="IMH9" s="34"/>
      <c r="IMI9" s="390"/>
      <c r="IMJ9" s="520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20"/>
      <c r="IMX9" s="34"/>
      <c r="IMY9" s="390"/>
      <c r="IMZ9" s="520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20"/>
      <c r="INN9" s="34"/>
      <c r="INO9" s="390"/>
      <c r="INP9" s="520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20"/>
      <c r="IOD9" s="34"/>
      <c r="IOE9" s="390"/>
      <c r="IOF9" s="520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20"/>
      <c r="IOT9" s="34"/>
      <c r="IOU9" s="390"/>
      <c r="IOV9" s="520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20"/>
      <c r="IPJ9" s="34"/>
      <c r="IPK9" s="390"/>
      <c r="IPL9" s="520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20"/>
      <c r="IPZ9" s="34"/>
      <c r="IQA9" s="390"/>
      <c r="IQB9" s="520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20"/>
      <c r="IQP9" s="34"/>
      <c r="IQQ9" s="390"/>
      <c r="IQR9" s="520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20"/>
      <c r="IRF9" s="34"/>
      <c r="IRG9" s="390"/>
      <c r="IRH9" s="520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20"/>
      <c r="IRV9" s="34"/>
      <c r="IRW9" s="390"/>
      <c r="IRX9" s="520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20"/>
      <c r="ISL9" s="34"/>
      <c r="ISM9" s="390"/>
      <c r="ISN9" s="520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20"/>
      <c r="ITB9" s="34"/>
      <c r="ITC9" s="390"/>
      <c r="ITD9" s="520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20"/>
      <c r="ITR9" s="34"/>
      <c r="ITS9" s="390"/>
      <c r="ITT9" s="520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20"/>
      <c r="IUH9" s="34"/>
      <c r="IUI9" s="390"/>
      <c r="IUJ9" s="520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20"/>
      <c r="IUX9" s="34"/>
      <c r="IUY9" s="390"/>
      <c r="IUZ9" s="520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20"/>
      <c r="IVN9" s="34"/>
      <c r="IVO9" s="390"/>
      <c r="IVP9" s="520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20"/>
      <c r="IWD9" s="34"/>
      <c r="IWE9" s="390"/>
      <c r="IWF9" s="520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20"/>
      <c r="IWT9" s="34"/>
      <c r="IWU9" s="390"/>
      <c r="IWV9" s="520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20"/>
      <c r="IXJ9" s="34"/>
      <c r="IXK9" s="390"/>
      <c r="IXL9" s="520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20"/>
      <c r="IXZ9" s="34"/>
      <c r="IYA9" s="390"/>
      <c r="IYB9" s="520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20"/>
      <c r="IYP9" s="34"/>
      <c r="IYQ9" s="390"/>
      <c r="IYR9" s="520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20"/>
      <c r="IZF9" s="34"/>
      <c r="IZG9" s="390"/>
      <c r="IZH9" s="520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20"/>
      <c r="IZV9" s="34"/>
      <c r="IZW9" s="390"/>
      <c r="IZX9" s="520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20"/>
      <c r="JAL9" s="34"/>
      <c r="JAM9" s="390"/>
      <c r="JAN9" s="520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20"/>
      <c r="JBB9" s="34"/>
      <c r="JBC9" s="390"/>
      <c r="JBD9" s="520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20"/>
      <c r="JBR9" s="34"/>
      <c r="JBS9" s="390"/>
      <c r="JBT9" s="520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20"/>
      <c r="JCH9" s="34"/>
      <c r="JCI9" s="390"/>
      <c r="JCJ9" s="520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20"/>
      <c r="JCX9" s="34"/>
      <c r="JCY9" s="390"/>
      <c r="JCZ9" s="520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20"/>
      <c r="JDN9" s="34"/>
      <c r="JDO9" s="390"/>
      <c r="JDP9" s="520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20"/>
      <c r="JED9" s="34"/>
      <c r="JEE9" s="390"/>
      <c r="JEF9" s="520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20"/>
      <c r="JET9" s="34"/>
      <c r="JEU9" s="390"/>
      <c r="JEV9" s="520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20"/>
      <c r="JFJ9" s="34"/>
      <c r="JFK9" s="390"/>
      <c r="JFL9" s="520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20"/>
      <c r="JFZ9" s="34"/>
      <c r="JGA9" s="390"/>
      <c r="JGB9" s="520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20"/>
      <c r="JGP9" s="34"/>
      <c r="JGQ9" s="390"/>
      <c r="JGR9" s="520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20"/>
      <c r="JHF9" s="34"/>
      <c r="JHG9" s="390"/>
      <c r="JHH9" s="520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20"/>
      <c r="JHV9" s="34"/>
      <c r="JHW9" s="390"/>
      <c r="JHX9" s="520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20"/>
      <c r="JIL9" s="34"/>
      <c r="JIM9" s="390"/>
      <c r="JIN9" s="520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20"/>
      <c r="JJB9" s="34"/>
      <c r="JJC9" s="390"/>
      <c r="JJD9" s="520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20"/>
      <c r="JJR9" s="34"/>
      <c r="JJS9" s="390"/>
      <c r="JJT9" s="520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20"/>
      <c r="JKH9" s="34"/>
      <c r="JKI9" s="390"/>
      <c r="JKJ9" s="520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20"/>
      <c r="JKX9" s="34"/>
      <c r="JKY9" s="390"/>
      <c r="JKZ9" s="520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20"/>
      <c r="JLN9" s="34"/>
      <c r="JLO9" s="390"/>
      <c r="JLP9" s="520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20"/>
      <c r="JMD9" s="34"/>
      <c r="JME9" s="390"/>
      <c r="JMF9" s="520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20"/>
      <c r="JMT9" s="34"/>
      <c r="JMU9" s="390"/>
      <c r="JMV9" s="520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20"/>
      <c r="JNJ9" s="34"/>
      <c r="JNK9" s="390"/>
      <c r="JNL9" s="520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20"/>
      <c r="JNZ9" s="34"/>
      <c r="JOA9" s="390"/>
      <c r="JOB9" s="520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20"/>
      <c r="JOP9" s="34"/>
      <c r="JOQ9" s="390"/>
      <c r="JOR9" s="520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20"/>
      <c r="JPF9" s="34"/>
      <c r="JPG9" s="390"/>
      <c r="JPH9" s="520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20"/>
      <c r="JPV9" s="34"/>
      <c r="JPW9" s="390"/>
      <c r="JPX9" s="520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20"/>
      <c r="JQL9" s="34"/>
      <c r="JQM9" s="390"/>
      <c r="JQN9" s="520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20"/>
      <c r="JRB9" s="34"/>
      <c r="JRC9" s="390"/>
      <c r="JRD9" s="520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20"/>
      <c r="JRR9" s="34"/>
      <c r="JRS9" s="390"/>
      <c r="JRT9" s="520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20"/>
      <c r="JSH9" s="34"/>
      <c r="JSI9" s="390"/>
      <c r="JSJ9" s="520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20"/>
      <c r="JSX9" s="34"/>
      <c r="JSY9" s="390"/>
      <c r="JSZ9" s="520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20"/>
      <c r="JTN9" s="34"/>
      <c r="JTO9" s="390"/>
      <c r="JTP9" s="520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20"/>
      <c r="JUD9" s="34"/>
      <c r="JUE9" s="390"/>
      <c r="JUF9" s="520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20"/>
      <c r="JUT9" s="34"/>
      <c r="JUU9" s="390"/>
      <c r="JUV9" s="520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20"/>
      <c r="JVJ9" s="34"/>
      <c r="JVK9" s="390"/>
      <c r="JVL9" s="520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20"/>
      <c r="JVZ9" s="34"/>
      <c r="JWA9" s="390"/>
      <c r="JWB9" s="520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20"/>
      <c r="JWP9" s="34"/>
      <c r="JWQ9" s="390"/>
      <c r="JWR9" s="520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20"/>
      <c r="JXF9" s="34"/>
      <c r="JXG9" s="390"/>
      <c r="JXH9" s="520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20"/>
      <c r="JXV9" s="34"/>
      <c r="JXW9" s="390"/>
      <c r="JXX9" s="520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20"/>
      <c r="JYL9" s="34"/>
      <c r="JYM9" s="390"/>
      <c r="JYN9" s="520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20"/>
      <c r="JZB9" s="34"/>
      <c r="JZC9" s="390"/>
      <c r="JZD9" s="520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20"/>
      <c r="JZR9" s="34"/>
      <c r="JZS9" s="390"/>
      <c r="JZT9" s="520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20"/>
      <c r="KAH9" s="34"/>
      <c r="KAI9" s="390"/>
      <c r="KAJ9" s="520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20"/>
      <c r="KAX9" s="34"/>
      <c r="KAY9" s="390"/>
      <c r="KAZ9" s="520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20"/>
      <c r="KBN9" s="34"/>
      <c r="KBO9" s="390"/>
      <c r="KBP9" s="520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20"/>
      <c r="KCD9" s="34"/>
      <c r="KCE9" s="390"/>
      <c r="KCF9" s="520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20"/>
      <c r="KCT9" s="34"/>
      <c r="KCU9" s="390"/>
      <c r="KCV9" s="520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20"/>
      <c r="KDJ9" s="34"/>
      <c r="KDK9" s="390"/>
      <c r="KDL9" s="520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20"/>
      <c r="KDZ9" s="34"/>
      <c r="KEA9" s="390"/>
      <c r="KEB9" s="520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20"/>
      <c r="KEP9" s="34"/>
      <c r="KEQ9" s="390"/>
      <c r="KER9" s="520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20"/>
      <c r="KFF9" s="34"/>
      <c r="KFG9" s="390"/>
      <c r="KFH9" s="520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20"/>
      <c r="KFV9" s="34"/>
      <c r="KFW9" s="390"/>
      <c r="KFX9" s="520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20"/>
      <c r="KGL9" s="34"/>
      <c r="KGM9" s="390"/>
      <c r="KGN9" s="520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20"/>
      <c r="KHB9" s="34"/>
      <c r="KHC9" s="390"/>
      <c r="KHD9" s="520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20"/>
      <c r="KHR9" s="34"/>
      <c r="KHS9" s="390"/>
      <c r="KHT9" s="520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20"/>
      <c r="KIH9" s="34"/>
      <c r="KII9" s="390"/>
      <c r="KIJ9" s="520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20"/>
      <c r="KIX9" s="34"/>
      <c r="KIY9" s="390"/>
      <c r="KIZ9" s="520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20"/>
      <c r="KJN9" s="34"/>
      <c r="KJO9" s="390"/>
      <c r="KJP9" s="520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20"/>
      <c r="KKD9" s="34"/>
      <c r="KKE9" s="390"/>
      <c r="KKF9" s="520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20"/>
      <c r="KKT9" s="34"/>
      <c r="KKU9" s="390"/>
      <c r="KKV9" s="520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20"/>
      <c r="KLJ9" s="34"/>
      <c r="KLK9" s="390"/>
      <c r="KLL9" s="520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20"/>
      <c r="KLZ9" s="34"/>
      <c r="KMA9" s="390"/>
      <c r="KMB9" s="520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20"/>
      <c r="KMP9" s="34"/>
      <c r="KMQ9" s="390"/>
      <c r="KMR9" s="520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20"/>
      <c r="KNF9" s="34"/>
      <c r="KNG9" s="390"/>
      <c r="KNH9" s="520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20"/>
      <c r="KNV9" s="34"/>
      <c r="KNW9" s="390"/>
      <c r="KNX9" s="520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20"/>
      <c r="KOL9" s="34"/>
      <c r="KOM9" s="390"/>
      <c r="KON9" s="520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20"/>
      <c r="KPB9" s="34"/>
      <c r="KPC9" s="390"/>
      <c r="KPD9" s="520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20"/>
      <c r="KPR9" s="34"/>
      <c r="KPS9" s="390"/>
      <c r="KPT9" s="520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20"/>
      <c r="KQH9" s="34"/>
      <c r="KQI9" s="390"/>
      <c r="KQJ9" s="520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20"/>
      <c r="KQX9" s="34"/>
      <c r="KQY9" s="390"/>
      <c r="KQZ9" s="520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20"/>
      <c r="KRN9" s="34"/>
      <c r="KRO9" s="390"/>
      <c r="KRP9" s="520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20"/>
      <c r="KSD9" s="34"/>
      <c r="KSE9" s="390"/>
      <c r="KSF9" s="520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20"/>
      <c r="KST9" s="34"/>
      <c r="KSU9" s="390"/>
      <c r="KSV9" s="520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20"/>
      <c r="KTJ9" s="34"/>
      <c r="KTK9" s="390"/>
      <c r="KTL9" s="520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20"/>
      <c r="KTZ9" s="34"/>
      <c r="KUA9" s="390"/>
      <c r="KUB9" s="520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20"/>
      <c r="KUP9" s="34"/>
      <c r="KUQ9" s="390"/>
      <c r="KUR9" s="520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20"/>
      <c r="KVF9" s="34"/>
      <c r="KVG9" s="390"/>
      <c r="KVH9" s="520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20"/>
      <c r="KVV9" s="34"/>
      <c r="KVW9" s="390"/>
      <c r="KVX9" s="520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20"/>
      <c r="KWL9" s="34"/>
      <c r="KWM9" s="390"/>
      <c r="KWN9" s="520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20"/>
      <c r="KXB9" s="34"/>
      <c r="KXC9" s="390"/>
      <c r="KXD9" s="520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20"/>
      <c r="KXR9" s="34"/>
      <c r="KXS9" s="390"/>
      <c r="KXT9" s="520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20"/>
      <c r="KYH9" s="34"/>
      <c r="KYI9" s="390"/>
      <c r="KYJ9" s="520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20"/>
      <c r="KYX9" s="34"/>
      <c r="KYY9" s="390"/>
      <c r="KYZ9" s="520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20"/>
      <c r="KZN9" s="34"/>
      <c r="KZO9" s="390"/>
      <c r="KZP9" s="520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20"/>
      <c r="LAD9" s="34"/>
      <c r="LAE9" s="390"/>
      <c r="LAF9" s="520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20"/>
      <c r="LAT9" s="34"/>
      <c r="LAU9" s="390"/>
      <c r="LAV9" s="520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20"/>
      <c r="LBJ9" s="34"/>
      <c r="LBK9" s="390"/>
      <c r="LBL9" s="520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20"/>
      <c r="LBZ9" s="34"/>
      <c r="LCA9" s="390"/>
      <c r="LCB9" s="520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20"/>
      <c r="LCP9" s="34"/>
      <c r="LCQ9" s="390"/>
      <c r="LCR9" s="520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20"/>
      <c r="LDF9" s="34"/>
      <c r="LDG9" s="390"/>
      <c r="LDH9" s="520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20"/>
      <c r="LDV9" s="34"/>
      <c r="LDW9" s="390"/>
      <c r="LDX9" s="520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20"/>
      <c r="LEL9" s="34"/>
      <c r="LEM9" s="390"/>
      <c r="LEN9" s="520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20"/>
      <c r="LFB9" s="34"/>
      <c r="LFC9" s="390"/>
      <c r="LFD9" s="520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20"/>
      <c r="LFR9" s="34"/>
      <c r="LFS9" s="390"/>
      <c r="LFT9" s="520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20"/>
      <c r="LGH9" s="34"/>
      <c r="LGI9" s="390"/>
      <c r="LGJ9" s="520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20"/>
      <c r="LGX9" s="34"/>
      <c r="LGY9" s="390"/>
      <c r="LGZ9" s="520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20"/>
      <c r="LHN9" s="34"/>
      <c r="LHO9" s="390"/>
      <c r="LHP9" s="520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20"/>
      <c r="LID9" s="34"/>
      <c r="LIE9" s="390"/>
      <c r="LIF9" s="520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20"/>
      <c r="LIT9" s="34"/>
      <c r="LIU9" s="390"/>
      <c r="LIV9" s="520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20"/>
      <c r="LJJ9" s="34"/>
      <c r="LJK9" s="390"/>
      <c r="LJL9" s="520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20"/>
      <c r="LJZ9" s="34"/>
      <c r="LKA9" s="390"/>
      <c r="LKB9" s="520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20"/>
      <c r="LKP9" s="34"/>
      <c r="LKQ9" s="390"/>
      <c r="LKR9" s="520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20"/>
      <c r="LLF9" s="34"/>
      <c r="LLG9" s="390"/>
      <c r="LLH9" s="520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20"/>
      <c r="LLV9" s="34"/>
      <c r="LLW9" s="390"/>
      <c r="LLX9" s="520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20"/>
      <c r="LML9" s="34"/>
      <c r="LMM9" s="390"/>
      <c r="LMN9" s="520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20"/>
      <c r="LNB9" s="34"/>
      <c r="LNC9" s="390"/>
      <c r="LND9" s="520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20"/>
      <c r="LNR9" s="34"/>
      <c r="LNS9" s="390"/>
      <c r="LNT9" s="520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20"/>
      <c r="LOH9" s="34"/>
      <c r="LOI9" s="390"/>
      <c r="LOJ9" s="520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20"/>
      <c r="LOX9" s="34"/>
      <c r="LOY9" s="390"/>
      <c r="LOZ9" s="520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20"/>
      <c r="LPN9" s="34"/>
      <c r="LPO9" s="390"/>
      <c r="LPP9" s="520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20"/>
      <c r="LQD9" s="34"/>
      <c r="LQE9" s="390"/>
      <c r="LQF9" s="520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20"/>
      <c r="LQT9" s="34"/>
      <c r="LQU9" s="390"/>
      <c r="LQV9" s="520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20"/>
      <c r="LRJ9" s="34"/>
      <c r="LRK9" s="390"/>
      <c r="LRL9" s="520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20"/>
      <c r="LRZ9" s="34"/>
      <c r="LSA9" s="390"/>
      <c r="LSB9" s="520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20"/>
      <c r="LSP9" s="34"/>
      <c r="LSQ9" s="390"/>
      <c r="LSR9" s="520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20"/>
      <c r="LTF9" s="34"/>
      <c r="LTG9" s="390"/>
      <c r="LTH9" s="520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20"/>
      <c r="LTV9" s="34"/>
      <c r="LTW9" s="390"/>
      <c r="LTX9" s="520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20"/>
      <c r="LUL9" s="34"/>
      <c r="LUM9" s="390"/>
      <c r="LUN9" s="520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20"/>
      <c r="LVB9" s="34"/>
      <c r="LVC9" s="390"/>
      <c r="LVD9" s="520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20"/>
      <c r="LVR9" s="34"/>
      <c r="LVS9" s="390"/>
      <c r="LVT9" s="520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20"/>
      <c r="LWH9" s="34"/>
      <c r="LWI9" s="390"/>
      <c r="LWJ9" s="520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20"/>
      <c r="LWX9" s="34"/>
      <c r="LWY9" s="390"/>
      <c r="LWZ9" s="520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20"/>
      <c r="LXN9" s="34"/>
      <c r="LXO9" s="390"/>
      <c r="LXP9" s="520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20"/>
      <c r="LYD9" s="34"/>
      <c r="LYE9" s="390"/>
      <c r="LYF9" s="520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20"/>
      <c r="LYT9" s="34"/>
      <c r="LYU9" s="390"/>
      <c r="LYV9" s="520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20"/>
      <c r="LZJ9" s="34"/>
      <c r="LZK9" s="390"/>
      <c r="LZL9" s="520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20"/>
      <c r="LZZ9" s="34"/>
      <c r="MAA9" s="390"/>
      <c r="MAB9" s="520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20"/>
      <c r="MAP9" s="34"/>
      <c r="MAQ9" s="390"/>
      <c r="MAR9" s="520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20"/>
      <c r="MBF9" s="34"/>
      <c r="MBG9" s="390"/>
      <c r="MBH9" s="520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20"/>
      <c r="MBV9" s="34"/>
      <c r="MBW9" s="390"/>
      <c r="MBX9" s="520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20"/>
      <c r="MCL9" s="34"/>
      <c r="MCM9" s="390"/>
      <c r="MCN9" s="520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20"/>
      <c r="MDB9" s="34"/>
      <c r="MDC9" s="390"/>
      <c r="MDD9" s="520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20"/>
      <c r="MDR9" s="34"/>
      <c r="MDS9" s="390"/>
      <c r="MDT9" s="520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20"/>
      <c r="MEH9" s="34"/>
      <c r="MEI9" s="390"/>
      <c r="MEJ9" s="520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20"/>
      <c r="MEX9" s="34"/>
      <c r="MEY9" s="390"/>
      <c r="MEZ9" s="520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20"/>
      <c r="MFN9" s="34"/>
      <c r="MFO9" s="390"/>
      <c r="MFP9" s="520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20"/>
      <c r="MGD9" s="34"/>
      <c r="MGE9" s="390"/>
      <c r="MGF9" s="520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20"/>
      <c r="MGT9" s="34"/>
      <c r="MGU9" s="390"/>
      <c r="MGV9" s="520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20"/>
      <c r="MHJ9" s="34"/>
      <c r="MHK9" s="390"/>
      <c r="MHL9" s="520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20"/>
      <c r="MHZ9" s="34"/>
      <c r="MIA9" s="390"/>
      <c r="MIB9" s="520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20"/>
      <c r="MIP9" s="34"/>
      <c r="MIQ9" s="390"/>
      <c r="MIR9" s="520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20"/>
      <c r="MJF9" s="34"/>
      <c r="MJG9" s="390"/>
      <c r="MJH9" s="520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20"/>
      <c r="MJV9" s="34"/>
      <c r="MJW9" s="390"/>
      <c r="MJX9" s="520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20"/>
      <c r="MKL9" s="34"/>
      <c r="MKM9" s="390"/>
      <c r="MKN9" s="520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20"/>
      <c r="MLB9" s="34"/>
      <c r="MLC9" s="390"/>
      <c r="MLD9" s="520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20"/>
      <c r="MLR9" s="34"/>
      <c r="MLS9" s="390"/>
      <c r="MLT9" s="520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20"/>
      <c r="MMH9" s="34"/>
      <c r="MMI9" s="390"/>
      <c r="MMJ9" s="520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20"/>
      <c r="MMX9" s="34"/>
      <c r="MMY9" s="390"/>
      <c r="MMZ9" s="520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20"/>
      <c r="MNN9" s="34"/>
      <c r="MNO9" s="390"/>
      <c r="MNP9" s="520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20"/>
      <c r="MOD9" s="34"/>
      <c r="MOE9" s="390"/>
      <c r="MOF9" s="520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20"/>
      <c r="MOT9" s="34"/>
      <c r="MOU9" s="390"/>
      <c r="MOV9" s="520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20"/>
      <c r="MPJ9" s="34"/>
      <c r="MPK9" s="390"/>
      <c r="MPL9" s="520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20"/>
      <c r="MPZ9" s="34"/>
      <c r="MQA9" s="390"/>
      <c r="MQB9" s="520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20"/>
      <c r="MQP9" s="34"/>
      <c r="MQQ9" s="390"/>
      <c r="MQR9" s="520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20"/>
      <c r="MRF9" s="34"/>
      <c r="MRG9" s="390"/>
      <c r="MRH9" s="520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20"/>
      <c r="MRV9" s="34"/>
      <c r="MRW9" s="390"/>
      <c r="MRX9" s="520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20"/>
      <c r="MSL9" s="34"/>
      <c r="MSM9" s="390"/>
      <c r="MSN9" s="520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20"/>
      <c r="MTB9" s="34"/>
      <c r="MTC9" s="390"/>
      <c r="MTD9" s="520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20"/>
      <c r="MTR9" s="34"/>
      <c r="MTS9" s="390"/>
      <c r="MTT9" s="520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20"/>
      <c r="MUH9" s="34"/>
      <c r="MUI9" s="390"/>
      <c r="MUJ9" s="520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20"/>
      <c r="MUX9" s="34"/>
      <c r="MUY9" s="390"/>
      <c r="MUZ9" s="520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20"/>
      <c r="MVN9" s="34"/>
      <c r="MVO9" s="390"/>
      <c r="MVP9" s="520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20"/>
      <c r="MWD9" s="34"/>
      <c r="MWE9" s="390"/>
      <c r="MWF9" s="520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20"/>
      <c r="MWT9" s="34"/>
      <c r="MWU9" s="390"/>
      <c r="MWV9" s="520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20"/>
      <c r="MXJ9" s="34"/>
      <c r="MXK9" s="390"/>
      <c r="MXL9" s="520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20"/>
      <c r="MXZ9" s="34"/>
      <c r="MYA9" s="390"/>
      <c r="MYB9" s="520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20"/>
      <c r="MYP9" s="34"/>
      <c r="MYQ9" s="390"/>
      <c r="MYR9" s="520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20"/>
      <c r="MZF9" s="34"/>
      <c r="MZG9" s="390"/>
      <c r="MZH9" s="520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20"/>
      <c r="MZV9" s="34"/>
      <c r="MZW9" s="390"/>
      <c r="MZX9" s="520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20"/>
      <c r="NAL9" s="34"/>
      <c r="NAM9" s="390"/>
      <c r="NAN9" s="520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20"/>
      <c r="NBB9" s="34"/>
      <c r="NBC9" s="390"/>
      <c r="NBD9" s="520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20"/>
      <c r="NBR9" s="34"/>
      <c r="NBS9" s="390"/>
      <c r="NBT9" s="520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20"/>
      <c r="NCH9" s="34"/>
      <c r="NCI9" s="390"/>
      <c r="NCJ9" s="520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20"/>
      <c r="NCX9" s="34"/>
      <c r="NCY9" s="390"/>
      <c r="NCZ9" s="520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20"/>
      <c r="NDN9" s="34"/>
      <c r="NDO9" s="390"/>
      <c r="NDP9" s="520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20"/>
      <c r="NED9" s="34"/>
      <c r="NEE9" s="390"/>
      <c r="NEF9" s="520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20"/>
      <c r="NET9" s="34"/>
      <c r="NEU9" s="390"/>
      <c r="NEV9" s="520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20"/>
      <c r="NFJ9" s="34"/>
      <c r="NFK9" s="390"/>
      <c r="NFL9" s="520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20"/>
      <c r="NFZ9" s="34"/>
      <c r="NGA9" s="390"/>
      <c r="NGB9" s="520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20"/>
      <c r="NGP9" s="34"/>
      <c r="NGQ9" s="390"/>
      <c r="NGR9" s="520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20"/>
      <c r="NHF9" s="34"/>
      <c r="NHG9" s="390"/>
      <c r="NHH9" s="520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20"/>
      <c r="NHV9" s="34"/>
      <c r="NHW9" s="390"/>
      <c r="NHX9" s="520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20"/>
      <c r="NIL9" s="34"/>
      <c r="NIM9" s="390"/>
      <c r="NIN9" s="520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20"/>
      <c r="NJB9" s="34"/>
      <c r="NJC9" s="390"/>
      <c r="NJD9" s="520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20"/>
      <c r="NJR9" s="34"/>
      <c r="NJS9" s="390"/>
      <c r="NJT9" s="520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20"/>
      <c r="NKH9" s="34"/>
      <c r="NKI9" s="390"/>
      <c r="NKJ9" s="520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20"/>
      <c r="NKX9" s="34"/>
      <c r="NKY9" s="390"/>
      <c r="NKZ9" s="520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20"/>
      <c r="NLN9" s="34"/>
      <c r="NLO9" s="390"/>
      <c r="NLP9" s="520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20"/>
      <c r="NMD9" s="34"/>
      <c r="NME9" s="390"/>
      <c r="NMF9" s="520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20"/>
      <c r="NMT9" s="34"/>
      <c r="NMU9" s="390"/>
      <c r="NMV9" s="520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20"/>
      <c r="NNJ9" s="34"/>
      <c r="NNK9" s="390"/>
      <c r="NNL9" s="520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20"/>
      <c r="NNZ9" s="34"/>
      <c r="NOA9" s="390"/>
      <c r="NOB9" s="520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20"/>
      <c r="NOP9" s="34"/>
      <c r="NOQ9" s="390"/>
      <c r="NOR9" s="520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20"/>
      <c r="NPF9" s="34"/>
      <c r="NPG9" s="390"/>
      <c r="NPH9" s="520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20"/>
      <c r="NPV9" s="34"/>
      <c r="NPW9" s="390"/>
      <c r="NPX9" s="520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20"/>
      <c r="NQL9" s="34"/>
      <c r="NQM9" s="390"/>
      <c r="NQN9" s="520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20"/>
      <c r="NRB9" s="34"/>
      <c r="NRC9" s="390"/>
      <c r="NRD9" s="520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20"/>
      <c r="NRR9" s="34"/>
      <c r="NRS9" s="390"/>
      <c r="NRT9" s="520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20"/>
      <c r="NSH9" s="34"/>
      <c r="NSI9" s="390"/>
      <c r="NSJ9" s="520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20"/>
      <c r="NSX9" s="34"/>
      <c r="NSY9" s="390"/>
      <c r="NSZ9" s="520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20"/>
      <c r="NTN9" s="34"/>
      <c r="NTO9" s="390"/>
      <c r="NTP9" s="520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20"/>
      <c r="NUD9" s="34"/>
      <c r="NUE9" s="390"/>
      <c r="NUF9" s="520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20"/>
      <c r="NUT9" s="34"/>
      <c r="NUU9" s="390"/>
      <c r="NUV9" s="520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20"/>
      <c r="NVJ9" s="34"/>
      <c r="NVK9" s="390"/>
      <c r="NVL9" s="520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20"/>
      <c r="NVZ9" s="34"/>
      <c r="NWA9" s="390"/>
      <c r="NWB9" s="520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20"/>
      <c r="NWP9" s="34"/>
      <c r="NWQ9" s="390"/>
      <c r="NWR9" s="520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20"/>
      <c r="NXF9" s="34"/>
      <c r="NXG9" s="390"/>
      <c r="NXH9" s="520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20"/>
      <c r="NXV9" s="34"/>
      <c r="NXW9" s="390"/>
      <c r="NXX9" s="520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20"/>
      <c r="NYL9" s="34"/>
      <c r="NYM9" s="390"/>
      <c r="NYN9" s="520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20"/>
      <c r="NZB9" s="34"/>
      <c r="NZC9" s="390"/>
      <c r="NZD9" s="520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20"/>
      <c r="NZR9" s="34"/>
      <c r="NZS9" s="390"/>
      <c r="NZT9" s="520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20"/>
      <c r="OAH9" s="34"/>
      <c r="OAI9" s="390"/>
      <c r="OAJ9" s="520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20"/>
      <c r="OAX9" s="34"/>
      <c r="OAY9" s="390"/>
      <c r="OAZ9" s="520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20"/>
      <c r="OBN9" s="34"/>
      <c r="OBO9" s="390"/>
      <c r="OBP9" s="520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20"/>
      <c r="OCD9" s="34"/>
      <c r="OCE9" s="390"/>
      <c r="OCF9" s="520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20"/>
      <c r="OCT9" s="34"/>
      <c r="OCU9" s="390"/>
      <c r="OCV9" s="520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20"/>
      <c r="ODJ9" s="34"/>
      <c r="ODK9" s="390"/>
      <c r="ODL9" s="520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20"/>
      <c r="ODZ9" s="34"/>
      <c r="OEA9" s="390"/>
      <c r="OEB9" s="520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20"/>
      <c r="OEP9" s="34"/>
      <c r="OEQ9" s="390"/>
      <c r="OER9" s="520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20"/>
      <c r="OFF9" s="34"/>
      <c r="OFG9" s="390"/>
      <c r="OFH9" s="520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20"/>
      <c r="OFV9" s="34"/>
      <c r="OFW9" s="390"/>
      <c r="OFX9" s="520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20"/>
      <c r="OGL9" s="34"/>
      <c r="OGM9" s="390"/>
      <c r="OGN9" s="520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20"/>
      <c r="OHB9" s="34"/>
      <c r="OHC9" s="390"/>
      <c r="OHD9" s="520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20"/>
      <c r="OHR9" s="34"/>
      <c r="OHS9" s="390"/>
      <c r="OHT9" s="520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20"/>
      <c r="OIH9" s="34"/>
      <c r="OII9" s="390"/>
      <c r="OIJ9" s="520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20"/>
      <c r="OIX9" s="34"/>
      <c r="OIY9" s="390"/>
      <c r="OIZ9" s="520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20"/>
      <c r="OJN9" s="34"/>
      <c r="OJO9" s="390"/>
      <c r="OJP9" s="520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20"/>
      <c r="OKD9" s="34"/>
      <c r="OKE9" s="390"/>
      <c r="OKF9" s="520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20"/>
      <c r="OKT9" s="34"/>
      <c r="OKU9" s="390"/>
      <c r="OKV9" s="520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20"/>
      <c r="OLJ9" s="34"/>
      <c r="OLK9" s="390"/>
      <c r="OLL9" s="520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20"/>
      <c r="OLZ9" s="34"/>
      <c r="OMA9" s="390"/>
      <c r="OMB9" s="520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20"/>
      <c r="OMP9" s="34"/>
      <c r="OMQ9" s="390"/>
      <c r="OMR9" s="520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20"/>
      <c r="ONF9" s="34"/>
      <c r="ONG9" s="390"/>
      <c r="ONH9" s="520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20"/>
      <c r="ONV9" s="34"/>
      <c r="ONW9" s="390"/>
      <c r="ONX9" s="520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20"/>
      <c r="OOL9" s="34"/>
      <c r="OOM9" s="390"/>
      <c r="OON9" s="520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20"/>
      <c r="OPB9" s="34"/>
      <c r="OPC9" s="390"/>
      <c r="OPD9" s="520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20"/>
      <c r="OPR9" s="34"/>
      <c r="OPS9" s="390"/>
      <c r="OPT9" s="520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20"/>
      <c r="OQH9" s="34"/>
      <c r="OQI9" s="390"/>
      <c r="OQJ9" s="520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20"/>
      <c r="OQX9" s="34"/>
      <c r="OQY9" s="390"/>
      <c r="OQZ9" s="520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20"/>
      <c r="ORN9" s="34"/>
      <c r="ORO9" s="390"/>
      <c r="ORP9" s="520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20"/>
      <c r="OSD9" s="34"/>
      <c r="OSE9" s="390"/>
      <c r="OSF9" s="520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20"/>
      <c r="OST9" s="34"/>
      <c r="OSU9" s="390"/>
      <c r="OSV9" s="520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20"/>
      <c r="OTJ9" s="34"/>
      <c r="OTK9" s="390"/>
      <c r="OTL9" s="520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20"/>
      <c r="OTZ9" s="34"/>
      <c r="OUA9" s="390"/>
      <c r="OUB9" s="520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20"/>
      <c r="OUP9" s="34"/>
      <c r="OUQ9" s="390"/>
      <c r="OUR9" s="520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20"/>
      <c r="OVF9" s="34"/>
      <c r="OVG9" s="390"/>
      <c r="OVH9" s="520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20"/>
      <c r="OVV9" s="34"/>
      <c r="OVW9" s="390"/>
      <c r="OVX9" s="520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20"/>
      <c r="OWL9" s="34"/>
      <c r="OWM9" s="390"/>
      <c r="OWN9" s="520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20"/>
      <c r="OXB9" s="34"/>
      <c r="OXC9" s="390"/>
      <c r="OXD9" s="520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20"/>
      <c r="OXR9" s="34"/>
      <c r="OXS9" s="390"/>
      <c r="OXT9" s="520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20"/>
      <c r="OYH9" s="34"/>
      <c r="OYI9" s="390"/>
      <c r="OYJ9" s="520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20"/>
      <c r="OYX9" s="34"/>
      <c r="OYY9" s="390"/>
      <c r="OYZ9" s="520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20"/>
      <c r="OZN9" s="34"/>
      <c r="OZO9" s="390"/>
      <c r="OZP9" s="520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20"/>
      <c r="PAD9" s="34"/>
      <c r="PAE9" s="390"/>
      <c r="PAF9" s="520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20"/>
      <c r="PAT9" s="34"/>
      <c r="PAU9" s="390"/>
      <c r="PAV9" s="520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20"/>
      <c r="PBJ9" s="34"/>
      <c r="PBK9" s="390"/>
      <c r="PBL9" s="520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20"/>
      <c r="PBZ9" s="34"/>
      <c r="PCA9" s="390"/>
      <c r="PCB9" s="520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20"/>
      <c r="PCP9" s="34"/>
      <c r="PCQ9" s="390"/>
      <c r="PCR9" s="520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20"/>
      <c r="PDF9" s="34"/>
      <c r="PDG9" s="390"/>
      <c r="PDH9" s="520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20"/>
      <c r="PDV9" s="34"/>
      <c r="PDW9" s="390"/>
      <c r="PDX9" s="520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20"/>
      <c r="PEL9" s="34"/>
      <c r="PEM9" s="390"/>
      <c r="PEN9" s="520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20"/>
      <c r="PFB9" s="34"/>
      <c r="PFC9" s="390"/>
      <c r="PFD9" s="520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20"/>
      <c r="PFR9" s="34"/>
      <c r="PFS9" s="390"/>
      <c r="PFT9" s="520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20"/>
      <c r="PGH9" s="34"/>
      <c r="PGI9" s="390"/>
      <c r="PGJ9" s="520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20"/>
      <c r="PGX9" s="34"/>
      <c r="PGY9" s="390"/>
      <c r="PGZ9" s="520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20"/>
      <c r="PHN9" s="34"/>
      <c r="PHO9" s="390"/>
      <c r="PHP9" s="520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20"/>
      <c r="PID9" s="34"/>
      <c r="PIE9" s="390"/>
      <c r="PIF9" s="520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20"/>
      <c r="PIT9" s="34"/>
      <c r="PIU9" s="390"/>
      <c r="PIV9" s="520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20"/>
      <c r="PJJ9" s="34"/>
      <c r="PJK9" s="390"/>
      <c r="PJL9" s="520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20"/>
      <c r="PJZ9" s="34"/>
      <c r="PKA9" s="390"/>
      <c r="PKB9" s="520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20"/>
      <c r="PKP9" s="34"/>
      <c r="PKQ9" s="390"/>
      <c r="PKR9" s="520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20"/>
      <c r="PLF9" s="34"/>
      <c r="PLG9" s="390"/>
      <c r="PLH9" s="520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20"/>
      <c r="PLV9" s="34"/>
      <c r="PLW9" s="390"/>
      <c r="PLX9" s="520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20"/>
      <c r="PML9" s="34"/>
      <c r="PMM9" s="390"/>
      <c r="PMN9" s="520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20"/>
      <c r="PNB9" s="34"/>
      <c r="PNC9" s="390"/>
      <c r="PND9" s="520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20"/>
      <c r="PNR9" s="34"/>
      <c r="PNS9" s="390"/>
      <c r="PNT9" s="520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20"/>
      <c r="POH9" s="34"/>
      <c r="POI9" s="390"/>
      <c r="POJ9" s="520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20"/>
      <c r="POX9" s="34"/>
      <c r="POY9" s="390"/>
      <c r="POZ9" s="520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20"/>
      <c r="PPN9" s="34"/>
      <c r="PPO9" s="390"/>
      <c r="PPP9" s="520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20"/>
      <c r="PQD9" s="34"/>
      <c r="PQE9" s="390"/>
      <c r="PQF9" s="520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20"/>
      <c r="PQT9" s="34"/>
      <c r="PQU9" s="390"/>
      <c r="PQV9" s="520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20"/>
      <c r="PRJ9" s="34"/>
      <c r="PRK9" s="390"/>
      <c r="PRL9" s="520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20"/>
      <c r="PRZ9" s="34"/>
      <c r="PSA9" s="390"/>
      <c r="PSB9" s="520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20"/>
      <c r="PSP9" s="34"/>
      <c r="PSQ9" s="390"/>
      <c r="PSR9" s="520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20"/>
      <c r="PTF9" s="34"/>
      <c r="PTG9" s="390"/>
      <c r="PTH9" s="520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20"/>
      <c r="PTV9" s="34"/>
      <c r="PTW9" s="390"/>
      <c r="PTX9" s="520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20"/>
      <c r="PUL9" s="34"/>
      <c r="PUM9" s="390"/>
      <c r="PUN9" s="520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20"/>
      <c r="PVB9" s="34"/>
      <c r="PVC9" s="390"/>
      <c r="PVD9" s="520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20"/>
      <c r="PVR9" s="34"/>
      <c r="PVS9" s="390"/>
      <c r="PVT9" s="520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20"/>
      <c r="PWH9" s="34"/>
      <c r="PWI9" s="390"/>
      <c r="PWJ9" s="520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20"/>
      <c r="PWX9" s="34"/>
      <c r="PWY9" s="390"/>
      <c r="PWZ9" s="520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20"/>
      <c r="PXN9" s="34"/>
      <c r="PXO9" s="390"/>
      <c r="PXP9" s="520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20"/>
      <c r="PYD9" s="34"/>
      <c r="PYE9" s="390"/>
      <c r="PYF9" s="520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20"/>
      <c r="PYT9" s="34"/>
      <c r="PYU9" s="390"/>
      <c r="PYV9" s="520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20"/>
      <c r="PZJ9" s="34"/>
      <c r="PZK9" s="390"/>
      <c r="PZL9" s="520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20"/>
      <c r="PZZ9" s="34"/>
      <c r="QAA9" s="390"/>
      <c r="QAB9" s="520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20"/>
      <c r="QAP9" s="34"/>
      <c r="QAQ9" s="390"/>
      <c r="QAR9" s="520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20"/>
      <c r="QBF9" s="34"/>
      <c r="QBG9" s="390"/>
      <c r="QBH9" s="520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20"/>
      <c r="QBV9" s="34"/>
      <c r="QBW9" s="390"/>
      <c r="QBX9" s="520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20"/>
      <c r="QCL9" s="34"/>
      <c r="QCM9" s="390"/>
      <c r="QCN9" s="520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20"/>
      <c r="QDB9" s="34"/>
      <c r="QDC9" s="390"/>
      <c r="QDD9" s="520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20"/>
      <c r="QDR9" s="34"/>
      <c r="QDS9" s="390"/>
      <c r="QDT9" s="520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20"/>
      <c r="QEH9" s="34"/>
      <c r="QEI9" s="390"/>
      <c r="QEJ9" s="520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20"/>
      <c r="QEX9" s="34"/>
      <c r="QEY9" s="390"/>
      <c r="QEZ9" s="520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20"/>
      <c r="QFN9" s="34"/>
      <c r="QFO9" s="390"/>
      <c r="QFP9" s="520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20"/>
      <c r="QGD9" s="34"/>
      <c r="QGE9" s="390"/>
      <c r="QGF9" s="520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20"/>
      <c r="QGT9" s="34"/>
      <c r="QGU9" s="390"/>
      <c r="QGV9" s="520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20"/>
      <c r="QHJ9" s="34"/>
      <c r="QHK9" s="390"/>
      <c r="QHL9" s="520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20"/>
      <c r="QHZ9" s="34"/>
      <c r="QIA9" s="390"/>
      <c r="QIB9" s="520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20"/>
      <c r="QIP9" s="34"/>
      <c r="QIQ9" s="390"/>
      <c r="QIR9" s="520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20"/>
      <c r="QJF9" s="34"/>
      <c r="QJG9" s="390"/>
      <c r="QJH9" s="520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20"/>
      <c r="QJV9" s="34"/>
      <c r="QJW9" s="390"/>
      <c r="QJX9" s="520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20"/>
      <c r="QKL9" s="34"/>
      <c r="QKM9" s="390"/>
      <c r="QKN9" s="520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20"/>
      <c r="QLB9" s="34"/>
      <c r="QLC9" s="390"/>
      <c r="QLD9" s="520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20"/>
      <c r="QLR9" s="34"/>
      <c r="QLS9" s="390"/>
      <c r="QLT9" s="520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20"/>
      <c r="QMH9" s="34"/>
      <c r="QMI9" s="390"/>
      <c r="QMJ9" s="520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20"/>
      <c r="QMX9" s="34"/>
      <c r="QMY9" s="390"/>
      <c r="QMZ9" s="520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20"/>
      <c r="QNN9" s="34"/>
      <c r="QNO9" s="390"/>
      <c r="QNP9" s="520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20"/>
      <c r="QOD9" s="34"/>
      <c r="QOE9" s="390"/>
      <c r="QOF9" s="520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20"/>
      <c r="QOT9" s="34"/>
      <c r="QOU9" s="390"/>
      <c r="QOV9" s="520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20"/>
      <c r="QPJ9" s="34"/>
      <c r="QPK9" s="390"/>
      <c r="QPL9" s="520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20"/>
      <c r="QPZ9" s="34"/>
      <c r="QQA9" s="390"/>
      <c r="QQB9" s="520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20"/>
      <c r="QQP9" s="34"/>
      <c r="QQQ9" s="390"/>
      <c r="QQR9" s="520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20"/>
      <c r="QRF9" s="34"/>
      <c r="QRG9" s="390"/>
      <c r="QRH9" s="520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20"/>
      <c r="QRV9" s="34"/>
      <c r="QRW9" s="390"/>
      <c r="QRX9" s="520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20"/>
      <c r="QSL9" s="34"/>
      <c r="QSM9" s="390"/>
      <c r="QSN9" s="520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20"/>
      <c r="QTB9" s="34"/>
      <c r="QTC9" s="390"/>
      <c r="QTD9" s="520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20"/>
      <c r="QTR9" s="34"/>
      <c r="QTS9" s="390"/>
      <c r="QTT9" s="520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20"/>
      <c r="QUH9" s="34"/>
      <c r="QUI9" s="390"/>
      <c r="QUJ9" s="520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20"/>
      <c r="QUX9" s="34"/>
      <c r="QUY9" s="390"/>
      <c r="QUZ9" s="520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20"/>
      <c r="QVN9" s="34"/>
      <c r="QVO9" s="390"/>
      <c r="QVP9" s="520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20"/>
      <c r="QWD9" s="34"/>
      <c r="QWE9" s="390"/>
      <c r="QWF9" s="520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20"/>
      <c r="QWT9" s="34"/>
      <c r="QWU9" s="390"/>
      <c r="QWV9" s="520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20"/>
      <c r="QXJ9" s="34"/>
      <c r="QXK9" s="390"/>
      <c r="QXL9" s="520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20"/>
      <c r="QXZ9" s="34"/>
      <c r="QYA9" s="390"/>
      <c r="QYB9" s="520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20"/>
      <c r="QYP9" s="34"/>
      <c r="QYQ9" s="390"/>
      <c r="QYR9" s="520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20"/>
      <c r="QZF9" s="34"/>
      <c r="QZG9" s="390"/>
      <c r="QZH9" s="520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20"/>
      <c r="QZV9" s="34"/>
      <c r="QZW9" s="390"/>
      <c r="QZX9" s="520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20"/>
      <c r="RAL9" s="34"/>
      <c r="RAM9" s="390"/>
      <c r="RAN9" s="520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20"/>
      <c r="RBB9" s="34"/>
      <c r="RBC9" s="390"/>
      <c r="RBD9" s="520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20"/>
      <c r="RBR9" s="34"/>
      <c r="RBS9" s="390"/>
      <c r="RBT9" s="520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20"/>
      <c r="RCH9" s="34"/>
      <c r="RCI9" s="390"/>
      <c r="RCJ9" s="520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20"/>
      <c r="RCX9" s="34"/>
      <c r="RCY9" s="390"/>
      <c r="RCZ9" s="520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20"/>
      <c r="RDN9" s="34"/>
      <c r="RDO9" s="390"/>
      <c r="RDP9" s="520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20"/>
      <c r="RED9" s="34"/>
      <c r="REE9" s="390"/>
      <c r="REF9" s="520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20"/>
      <c r="RET9" s="34"/>
      <c r="REU9" s="390"/>
      <c r="REV9" s="520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20"/>
      <c r="RFJ9" s="34"/>
      <c r="RFK9" s="390"/>
      <c r="RFL9" s="520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20"/>
      <c r="RFZ9" s="34"/>
      <c r="RGA9" s="390"/>
      <c r="RGB9" s="520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20"/>
      <c r="RGP9" s="34"/>
      <c r="RGQ9" s="390"/>
      <c r="RGR9" s="520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20"/>
      <c r="RHF9" s="34"/>
      <c r="RHG9" s="390"/>
      <c r="RHH9" s="520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20"/>
      <c r="RHV9" s="34"/>
      <c r="RHW9" s="390"/>
      <c r="RHX9" s="520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20"/>
      <c r="RIL9" s="34"/>
      <c r="RIM9" s="390"/>
      <c r="RIN9" s="520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20"/>
      <c r="RJB9" s="34"/>
      <c r="RJC9" s="390"/>
      <c r="RJD9" s="520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20"/>
      <c r="RJR9" s="34"/>
      <c r="RJS9" s="390"/>
      <c r="RJT9" s="520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20"/>
      <c r="RKH9" s="34"/>
      <c r="RKI9" s="390"/>
      <c r="RKJ9" s="520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20"/>
      <c r="RKX9" s="34"/>
      <c r="RKY9" s="390"/>
      <c r="RKZ9" s="520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20"/>
      <c r="RLN9" s="34"/>
      <c r="RLO9" s="390"/>
      <c r="RLP9" s="520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20"/>
      <c r="RMD9" s="34"/>
      <c r="RME9" s="390"/>
      <c r="RMF9" s="520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20"/>
      <c r="RMT9" s="34"/>
      <c r="RMU9" s="390"/>
      <c r="RMV9" s="520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20"/>
      <c r="RNJ9" s="34"/>
      <c r="RNK9" s="390"/>
      <c r="RNL9" s="520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20"/>
      <c r="RNZ9" s="34"/>
      <c r="ROA9" s="390"/>
      <c r="ROB9" s="520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20"/>
      <c r="ROP9" s="34"/>
      <c r="ROQ9" s="390"/>
      <c r="ROR9" s="520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20"/>
      <c r="RPF9" s="34"/>
      <c r="RPG9" s="390"/>
      <c r="RPH9" s="520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20"/>
      <c r="RPV9" s="34"/>
      <c r="RPW9" s="390"/>
      <c r="RPX9" s="520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20"/>
      <c r="RQL9" s="34"/>
      <c r="RQM9" s="390"/>
      <c r="RQN9" s="520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20"/>
      <c r="RRB9" s="34"/>
      <c r="RRC9" s="390"/>
      <c r="RRD9" s="520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20"/>
      <c r="RRR9" s="34"/>
      <c r="RRS9" s="390"/>
      <c r="RRT9" s="520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20"/>
      <c r="RSH9" s="34"/>
      <c r="RSI9" s="390"/>
      <c r="RSJ9" s="520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20"/>
      <c r="RSX9" s="34"/>
      <c r="RSY9" s="390"/>
      <c r="RSZ9" s="520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20"/>
      <c r="RTN9" s="34"/>
      <c r="RTO9" s="390"/>
      <c r="RTP9" s="520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20"/>
      <c r="RUD9" s="34"/>
      <c r="RUE9" s="390"/>
      <c r="RUF9" s="520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20"/>
      <c r="RUT9" s="34"/>
      <c r="RUU9" s="390"/>
      <c r="RUV9" s="520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20"/>
      <c r="RVJ9" s="34"/>
      <c r="RVK9" s="390"/>
      <c r="RVL9" s="520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20"/>
      <c r="RVZ9" s="34"/>
      <c r="RWA9" s="390"/>
      <c r="RWB9" s="520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20"/>
      <c r="RWP9" s="34"/>
      <c r="RWQ9" s="390"/>
      <c r="RWR9" s="520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20"/>
      <c r="RXF9" s="34"/>
      <c r="RXG9" s="390"/>
      <c r="RXH9" s="520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20"/>
      <c r="RXV9" s="34"/>
      <c r="RXW9" s="390"/>
      <c r="RXX9" s="520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20"/>
      <c r="RYL9" s="34"/>
      <c r="RYM9" s="390"/>
      <c r="RYN9" s="520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20"/>
      <c r="RZB9" s="34"/>
      <c r="RZC9" s="390"/>
      <c r="RZD9" s="520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20"/>
      <c r="RZR9" s="34"/>
      <c r="RZS9" s="390"/>
      <c r="RZT9" s="520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20"/>
      <c r="SAH9" s="34"/>
      <c r="SAI9" s="390"/>
      <c r="SAJ9" s="520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20"/>
      <c r="SAX9" s="34"/>
      <c r="SAY9" s="390"/>
      <c r="SAZ9" s="520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20"/>
      <c r="SBN9" s="34"/>
      <c r="SBO9" s="390"/>
      <c r="SBP9" s="520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20"/>
      <c r="SCD9" s="34"/>
      <c r="SCE9" s="390"/>
      <c r="SCF9" s="520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20"/>
      <c r="SCT9" s="34"/>
      <c r="SCU9" s="390"/>
      <c r="SCV9" s="520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20"/>
      <c r="SDJ9" s="34"/>
      <c r="SDK9" s="390"/>
      <c r="SDL9" s="520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20"/>
      <c r="SDZ9" s="34"/>
      <c r="SEA9" s="390"/>
      <c r="SEB9" s="520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20"/>
      <c r="SEP9" s="34"/>
      <c r="SEQ9" s="390"/>
      <c r="SER9" s="520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20"/>
      <c r="SFF9" s="34"/>
      <c r="SFG9" s="390"/>
      <c r="SFH9" s="520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20"/>
      <c r="SFV9" s="34"/>
      <c r="SFW9" s="390"/>
      <c r="SFX9" s="520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20"/>
      <c r="SGL9" s="34"/>
      <c r="SGM9" s="390"/>
      <c r="SGN9" s="520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20"/>
      <c r="SHB9" s="34"/>
      <c r="SHC9" s="390"/>
      <c r="SHD9" s="520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20"/>
      <c r="SHR9" s="34"/>
      <c r="SHS9" s="390"/>
      <c r="SHT9" s="520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20"/>
      <c r="SIH9" s="34"/>
      <c r="SII9" s="390"/>
      <c r="SIJ9" s="520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20"/>
      <c r="SIX9" s="34"/>
      <c r="SIY9" s="390"/>
      <c r="SIZ9" s="520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20"/>
      <c r="SJN9" s="34"/>
      <c r="SJO9" s="390"/>
      <c r="SJP9" s="520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20"/>
      <c r="SKD9" s="34"/>
      <c r="SKE9" s="390"/>
      <c r="SKF9" s="520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20"/>
      <c r="SKT9" s="34"/>
      <c r="SKU9" s="390"/>
      <c r="SKV9" s="520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20"/>
      <c r="SLJ9" s="34"/>
      <c r="SLK9" s="390"/>
      <c r="SLL9" s="520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20"/>
      <c r="SLZ9" s="34"/>
      <c r="SMA9" s="390"/>
      <c r="SMB9" s="520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20"/>
      <c r="SMP9" s="34"/>
      <c r="SMQ9" s="390"/>
      <c r="SMR9" s="520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20"/>
      <c r="SNF9" s="34"/>
      <c r="SNG9" s="390"/>
      <c r="SNH9" s="520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20"/>
      <c r="SNV9" s="34"/>
      <c r="SNW9" s="390"/>
      <c r="SNX9" s="520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20"/>
      <c r="SOL9" s="34"/>
      <c r="SOM9" s="390"/>
      <c r="SON9" s="520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20"/>
      <c r="SPB9" s="34"/>
      <c r="SPC9" s="390"/>
      <c r="SPD9" s="520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20"/>
      <c r="SPR9" s="34"/>
      <c r="SPS9" s="390"/>
      <c r="SPT9" s="520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20"/>
      <c r="SQH9" s="34"/>
      <c r="SQI9" s="390"/>
      <c r="SQJ9" s="520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20"/>
      <c r="SQX9" s="34"/>
      <c r="SQY9" s="390"/>
      <c r="SQZ9" s="520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20"/>
      <c r="SRN9" s="34"/>
      <c r="SRO9" s="390"/>
      <c r="SRP9" s="520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20"/>
      <c r="SSD9" s="34"/>
      <c r="SSE9" s="390"/>
      <c r="SSF9" s="520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20"/>
      <c r="SST9" s="34"/>
      <c r="SSU9" s="390"/>
      <c r="SSV9" s="520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20"/>
      <c r="STJ9" s="34"/>
      <c r="STK9" s="390"/>
      <c r="STL9" s="520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20"/>
      <c r="STZ9" s="34"/>
      <c r="SUA9" s="390"/>
      <c r="SUB9" s="520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20"/>
      <c r="SUP9" s="34"/>
      <c r="SUQ9" s="390"/>
      <c r="SUR9" s="520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20"/>
      <c r="SVF9" s="34"/>
      <c r="SVG9" s="390"/>
      <c r="SVH9" s="520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20"/>
      <c r="SVV9" s="34"/>
      <c r="SVW9" s="390"/>
      <c r="SVX9" s="520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20"/>
      <c r="SWL9" s="34"/>
      <c r="SWM9" s="390"/>
      <c r="SWN9" s="520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20"/>
      <c r="SXB9" s="34"/>
      <c r="SXC9" s="390"/>
      <c r="SXD9" s="520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20"/>
      <c r="SXR9" s="34"/>
      <c r="SXS9" s="390"/>
      <c r="SXT9" s="520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20"/>
      <c r="SYH9" s="34"/>
      <c r="SYI9" s="390"/>
      <c r="SYJ9" s="520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20"/>
      <c r="SYX9" s="34"/>
      <c r="SYY9" s="390"/>
      <c r="SYZ9" s="520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20"/>
      <c r="SZN9" s="34"/>
      <c r="SZO9" s="390"/>
      <c r="SZP9" s="520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20"/>
      <c r="TAD9" s="34"/>
      <c r="TAE9" s="390"/>
      <c r="TAF9" s="520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20"/>
      <c r="TAT9" s="34"/>
      <c r="TAU9" s="390"/>
      <c r="TAV9" s="520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20"/>
      <c r="TBJ9" s="34"/>
      <c r="TBK9" s="390"/>
      <c r="TBL9" s="520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20"/>
      <c r="TBZ9" s="34"/>
      <c r="TCA9" s="390"/>
      <c r="TCB9" s="520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20"/>
      <c r="TCP9" s="34"/>
      <c r="TCQ9" s="390"/>
      <c r="TCR9" s="520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20"/>
      <c r="TDF9" s="34"/>
      <c r="TDG9" s="390"/>
      <c r="TDH9" s="520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20"/>
      <c r="TDV9" s="34"/>
      <c r="TDW9" s="390"/>
      <c r="TDX9" s="520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20"/>
      <c r="TEL9" s="34"/>
      <c r="TEM9" s="390"/>
      <c r="TEN9" s="520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20"/>
      <c r="TFB9" s="34"/>
      <c r="TFC9" s="390"/>
      <c r="TFD9" s="520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20"/>
      <c r="TFR9" s="34"/>
      <c r="TFS9" s="390"/>
      <c r="TFT9" s="520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20"/>
      <c r="TGH9" s="34"/>
      <c r="TGI9" s="390"/>
      <c r="TGJ9" s="520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20"/>
      <c r="TGX9" s="34"/>
      <c r="TGY9" s="390"/>
      <c r="TGZ9" s="520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20"/>
      <c r="THN9" s="34"/>
      <c r="THO9" s="390"/>
      <c r="THP9" s="520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20"/>
      <c r="TID9" s="34"/>
      <c r="TIE9" s="390"/>
      <c r="TIF9" s="520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20"/>
      <c r="TIT9" s="34"/>
      <c r="TIU9" s="390"/>
      <c r="TIV9" s="520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20"/>
      <c r="TJJ9" s="34"/>
      <c r="TJK9" s="390"/>
      <c r="TJL9" s="520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20"/>
      <c r="TJZ9" s="34"/>
      <c r="TKA9" s="390"/>
      <c r="TKB9" s="520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20"/>
      <c r="TKP9" s="34"/>
      <c r="TKQ9" s="390"/>
      <c r="TKR9" s="520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20"/>
      <c r="TLF9" s="34"/>
      <c r="TLG9" s="390"/>
      <c r="TLH9" s="520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20"/>
      <c r="TLV9" s="34"/>
      <c r="TLW9" s="390"/>
      <c r="TLX9" s="520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20"/>
      <c r="TML9" s="34"/>
      <c r="TMM9" s="390"/>
      <c r="TMN9" s="520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20"/>
      <c r="TNB9" s="34"/>
      <c r="TNC9" s="390"/>
      <c r="TND9" s="520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20"/>
      <c r="TNR9" s="34"/>
      <c r="TNS9" s="390"/>
      <c r="TNT9" s="520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20"/>
      <c r="TOH9" s="34"/>
      <c r="TOI9" s="390"/>
      <c r="TOJ9" s="520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20"/>
      <c r="TOX9" s="34"/>
      <c r="TOY9" s="390"/>
      <c r="TOZ9" s="520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20"/>
      <c r="TPN9" s="34"/>
      <c r="TPO9" s="390"/>
      <c r="TPP9" s="520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20"/>
      <c r="TQD9" s="34"/>
      <c r="TQE9" s="390"/>
      <c r="TQF9" s="520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20"/>
      <c r="TQT9" s="34"/>
      <c r="TQU9" s="390"/>
      <c r="TQV9" s="520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20"/>
      <c r="TRJ9" s="34"/>
      <c r="TRK9" s="390"/>
      <c r="TRL9" s="520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20"/>
      <c r="TRZ9" s="34"/>
      <c r="TSA9" s="390"/>
      <c r="TSB9" s="520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20"/>
      <c r="TSP9" s="34"/>
      <c r="TSQ9" s="390"/>
      <c r="TSR9" s="520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20"/>
      <c r="TTF9" s="34"/>
      <c r="TTG9" s="390"/>
      <c r="TTH9" s="520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20"/>
      <c r="TTV9" s="34"/>
      <c r="TTW9" s="390"/>
      <c r="TTX9" s="520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20"/>
      <c r="TUL9" s="34"/>
      <c r="TUM9" s="390"/>
      <c r="TUN9" s="520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20"/>
      <c r="TVB9" s="34"/>
      <c r="TVC9" s="390"/>
      <c r="TVD9" s="520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20"/>
      <c r="TVR9" s="34"/>
      <c r="TVS9" s="390"/>
      <c r="TVT9" s="520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20"/>
      <c r="TWH9" s="34"/>
      <c r="TWI9" s="390"/>
      <c r="TWJ9" s="520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20"/>
      <c r="TWX9" s="34"/>
      <c r="TWY9" s="390"/>
      <c r="TWZ9" s="520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20"/>
      <c r="TXN9" s="34"/>
      <c r="TXO9" s="390"/>
      <c r="TXP9" s="520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20"/>
      <c r="TYD9" s="34"/>
      <c r="TYE9" s="390"/>
      <c r="TYF9" s="520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20"/>
      <c r="TYT9" s="34"/>
      <c r="TYU9" s="390"/>
      <c r="TYV9" s="520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20"/>
      <c r="TZJ9" s="34"/>
      <c r="TZK9" s="390"/>
      <c r="TZL9" s="520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20"/>
      <c r="TZZ9" s="34"/>
      <c r="UAA9" s="390"/>
      <c r="UAB9" s="520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20"/>
      <c r="UAP9" s="34"/>
      <c r="UAQ9" s="390"/>
      <c r="UAR9" s="520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20"/>
      <c r="UBF9" s="34"/>
      <c r="UBG9" s="390"/>
      <c r="UBH9" s="520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20"/>
      <c r="UBV9" s="34"/>
      <c r="UBW9" s="390"/>
      <c r="UBX9" s="520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20"/>
      <c r="UCL9" s="34"/>
      <c r="UCM9" s="390"/>
      <c r="UCN9" s="520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20"/>
      <c r="UDB9" s="34"/>
      <c r="UDC9" s="390"/>
      <c r="UDD9" s="520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20"/>
      <c r="UDR9" s="34"/>
      <c r="UDS9" s="390"/>
      <c r="UDT9" s="520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20"/>
      <c r="UEH9" s="34"/>
      <c r="UEI9" s="390"/>
      <c r="UEJ9" s="520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20"/>
      <c r="UEX9" s="34"/>
      <c r="UEY9" s="390"/>
      <c r="UEZ9" s="520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20"/>
      <c r="UFN9" s="34"/>
      <c r="UFO9" s="390"/>
      <c r="UFP9" s="520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20"/>
      <c r="UGD9" s="34"/>
      <c r="UGE9" s="390"/>
      <c r="UGF9" s="520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20"/>
      <c r="UGT9" s="34"/>
      <c r="UGU9" s="390"/>
      <c r="UGV9" s="520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20"/>
      <c r="UHJ9" s="34"/>
      <c r="UHK9" s="390"/>
      <c r="UHL9" s="520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20"/>
      <c r="UHZ9" s="34"/>
      <c r="UIA9" s="390"/>
      <c r="UIB9" s="520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20"/>
      <c r="UIP9" s="34"/>
      <c r="UIQ9" s="390"/>
      <c r="UIR9" s="520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20"/>
      <c r="UJF9" s="34"/>
      <c r="UJG9" s="390"/>
      <c r="UJH9" s="520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20"/>
      <c r="UJV9" s="34"/>
      <c r="UJW9" s="390"/>
      <c r="UJX9" s="520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20"/>
      <c r="UKL9" s="34"/>
      <c r="UKM9" s="390"/>
      <c r="UKN9" s="520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20"/>
      <c r="ULB9" s="34"/>
      <c r="ULC9" s="390"/>
      <c r="ULD9" s="520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20"/>
      <c r="ULR9" s="34"/>
      <c r="ULS9" s="390"/>
      <c r="ULT9" s="520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20"/>
      <c r="UMH9" s="34"/>
      <c r="UMI9" s="390"/>
      <c r="UMJ9" s="520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20"/>
      <c r="UMX9" s="34"/>
      <c r="UMY9" s="390"/>
      <c r="UMZ9" s="520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20"/>
      <c r="UNN9" s="34"/>
      <c r="UNO9" s="390"/>
      <c r="UNP9" s="520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20"/>
      <c r="UOD9" s="34"/>
      <c r="UOE9" s="390"/>
      <c r="UOF9" s="520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20"/>
      <c r="UOT9" s="34"/>
      <c r="UOU9" s="390"/>
      <c r="UOV9" s="520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20"/>
      <c r="UPJ9" s="34"/>
      <c r="UPK9" s="390"/>
      <c r="UPL9" s="520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20"/>
      <c r="UPZ9" s="34"/>
      <c r="UQA9" s="390"/>
      <c r="UQB9" s="520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20"/>
      <c r="UQP9" s="34"/>
      <c r="UQQ9" s="390"/>
      <c r="UQR9" s="520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20"/>
      <c r="URF9" s="34"/>
      <c r="URG9" s="390"/>
      <c r="URH9" s="520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20"/>
      <c r="URV9" s="34"/>
      <c r="URW9" s="390"/>
      <c r="URX9" s="520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20"/>
      <c r="USL9" s="34"/>
      <c r="USM9" s="390"/>
      <c r="USN9" s="520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20"/>
      <c r="UTB9" s="34"/>
      <c r="UTC9" s="390"/>
      <c r="UTD9" s="520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20"/>
      <c r="UTR9" s="34"/>
      <c r="UTS9" s="390"/>
      <c r="UTT9" s="520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20"/>
      <c r="UUH9" s="34"/>
      <c r="UUI9" s="390"/>
      <c r="UUJ9" s="520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20"/>
      <c r="UUX9" s="34"/>
      <c r="UUY9" s="390"/>
      <c r="UUZ9" s="520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20"/>
      <c r="UVN9" s="34"/>
      <c r="UVO9" s="390"/>
      <c r="UVP9" s="520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20"/>
      <c r="UWD9" s="34"/>
      <c r="UWE9" s="390"/>
      <c r="UWF9" s="520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20"/>
      <c r="UWT9" s="34"/>
      <c r="UWU9" s="390"/>
      <c r="UWV9" s="520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20"/>
      <c r="UXJ9" s="34"/>
      <c r="UXK9" s="390"/>
      <c r="UXL9" s="520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20"/>
      <c r="UXZ9" s="34"/>
      <c r="UYA9" s="390"/>
      <c r="UYB9" s="520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20"/>
      <c r="UYP9" s="34"/>
      <c r="UYQ9" s="390"/>
      <c r="UYR9" s="520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20"/>
      <c r="UZF9" s="34"/>
      <c r="UZG9" s="390"/>
      <c r="UZH9" s="520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20"/>
      <c r="UZV9" s="34"/>
      <c r="UZW9" s="390"/>
      <c r="UZX9" s="520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20"/>
      <c r="VAL9" s="34"/>
      <c r="VAM9" s="390"/>
      <c r="VAN9" s="520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20"/>
      <c r="VBB9" s="34"/>
      <c r="VBC9" s="390"/>
      <c r="VBD9" s="520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20"/>
      <c r="VBR9" s="34"/>
      <c r="VBS9" s="390"/>
      <c r="VBT9" s="520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20"/>
      <c r="VCH9" s="34"/>
      <c r="VCI9" s="390"/>
      <c r="VCJ9" s="520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20"/>
      <c r="VCX9" s="34"/>
      <c r="VCY9" s="390"/>
      <c r="VCZ9" s="520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20"/>
      <c r="VDN9" s="34"/>
      <c r="VDO9" s="390"/>
      <c r="VDP9" s="520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20"/>
      <c r="VED9" s="34"/>
      <c r="VEE9" s="390"/>
      <c r="VEF9" s="520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20"/>
      <c r="VET9" s="34"/>
      <c r="VEU9" s="390"/>
      <c r="VEV9" s="520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20"/>
      <c r="VFJ9" s="34"/>
      <c r="VFK9" s="390"/>
      <c r="VFL9" s="520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20"/>
      <c r="VFZ9" s="34"/>
      <c r="VGA9" s="390"/>
      <c r="VGB9" s="520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20"/>
      <c r="VGP9" s="34"/>
      <c r="VGQ9" s="390"/>
      <c r="VGR9" s="520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20"/>
      <c r="VHF9" s="34"/>
      <c r="VHG9" s="390"/>
      <c r="VHH9" s="520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20"/>
      <c r="VHV9" s="34"/>
      <c r="VHW9" s="390"/>
      <c r="VHX9" s="520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20"/>
      <c r="VIL9" s="34"/>
      <c r="VIM9" s="390"/>
      <c r="VIN9" s="520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20"/>
      <c r="VJB9" s="34"/>
      <c r="VJC9" s="390"/>
      <c r="VJD9" s="520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20"/>
      <c r="VJR9" s="34"/>
      <c r="VJS9" s="390"/>
      <c r="VJT9" s="520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20"/>
      <c r="VKH9" s="34"/>
      <c r="VKI9" s="390"/>
      <c r="VKJ9" s="520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20"/>
      <c r="VKX9" s="34"/>
      <c r="VKY9" s="390"/>
      <c r="VKZ9" s="520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20"/>
      <c r="VLN9" s="34"/>
      <c r="VLO9" s="390"/>
      <c r="VLP9" s="520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20"/>
      <c r="VMD9" s="34"/>
      <c r="VME9" s="390"/>
      <c r="VMF9" s="520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20"/>
      <c r="VMT9" s="34"/>
      <c r="VMU9" s="390"/>
      <c r="VMV9" s="520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20"/>
      <c r="VNJ9" s="34"/>
      <c r="VNK9" s="390"/>
      <c r="VNL9" s="520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20"/>
      <c r="VNZ9" s="34"/>
      <c r="VOA9" s="390"/>
      <c r="VOB9" s="520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20"/>
      <c r="VOP9" s="34"/>
      <c r="VOQ9" s="390"/>
      <c r="VOR9" s="520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20"/>
      <c r="VPF9" s="34"/>
      <c r="VPG9" s="390"/>
      <c r="VPH9" s="520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20"/>
      <c r="VPV9" s="34"/>
      <c r="VPW9" s="390"/>
      <c r="VPX9" s="520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20"/>
      <c r="VQL9" s="34"/>
      <c r="VQM9" s="390"/>
      <c r="VQN9" s="520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20"/>
      <c r="VRB9" s="34"/>
      <c r="VRC9" s="390"/>
      <c r="VRD9" s="520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20"/>
      <c r="VRR9" s="34"/>
      <c r="VRS9" s="390"/>
      <c r="VRT9" s="520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20"/>
      <c r="VSH9" s="34"/>
      <c r="VSI9" s="390"/>
      <c r="VSJ9" s="520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20"/>
      <c r="VSX9" s="34"/>
      <c r="VSY9" s="390"/>
      <c r="VSZ9" s="520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20"/>
      <c r="VTN9" s="34"/>
      <c r="VTO9" s="390"/>
      <c r="VTP9" s="520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20"/>
      <c r="VUD9" s="34"/>
      <c r="VUE9" s="390"/>
      <c r="VUF9" s="520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20"/>
      <c r="VUT9" s="34"/>
      <c r="VUU9" s="390"/>
      <c r="VUV9" s="520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20"/>
      <c r="VVJ9" s="34"/>
      <c r="VVK9" s="390"/>
      <c r="VVL9" s="520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20"/>
      <c r="VVZ9" s="34"/>
      <c r="VWA9" s="390"/>
      <c r="VWB9" s="520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20"/>
      <c r="VWP9" s="34"/>
      <c r="VWQ9" s="390"/>
      <c r="VWR9" s="520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20"/>
      <c r="VXF9" s="34"/>
      <c r="VXG9" s="390"/>
      <c r="VXH9" s="520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20"/>
      <c r="VXV9" s="34"/>
      <c r="VXW9" s="390"/>
      <c r="VXX9" s="520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20"/>
      <c r="VYL9" s="34"/>
      <c r="VYM9" s="390"/>
      <c r="VYN9" s="520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20"/>
      <c r="VZB9" s="34"/>
      <c r="VZC9" s="390"/>
      <c r="VZD9" s="520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20"/>
      <c r="VZR9" s="34"/>
      <c r="VZS9" s="390"/>
      <c r="VZT9" s="520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20"/>
      <c r="WAH9" s="34"/>
      <c r="WAI9" s="390"/>
      <c r="WAJ9" s="520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20"/>
      <c r="WAX9" s="34"/>
      <c r="WAY9" s="390"/>
      <c r="WAZ9" s="520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20"/>
      <c r="WBN9" s="34"/>
      <c r="WBO9" s="390"/>
      <c r="WBP9" s="520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20"/>
      <c r="WCD9" s="34"/>
      <c r="WCE9" s="390"/>
      <c r="WCF9" s="520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20"/>
      <c r="WCT9" s="34"/>
      <c r="WCU9" s="390"/>
      <c r="WCV9" s="520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20"/>
      <c r="WDJ9" s="34"/>
      <c r="WDK9" s="390"/>
      <c r="WDL9" s="520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20"/>
      <c r="WDZ9" s="34"/>
      <c r="WEA9" s="390"/>
      <c r="WEB9" s="520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20"/>
      <c r="WEP9" s="34"/>
      <c r="WEQ9" s="390"/>
      <c r="WER9" s="520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20"/>
      <c r="WFF9" s="34"/>
      <c r="WFG9" s="390"/>
      <c r="WFH9" s="520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20"/>
      <c r="WFV9" s="34"/>
      <c r="WFW9" s="390"/>
      <c r="WFX9" s="520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20"/>
      <c r="WGL9" s="34"/>
      <c r="WGM9" s="390"/>
      <c r="WGN9" s="520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20"/>
      <c r="WHB9" s="34"/>
      <c r="WHC9" s="390"/>
      <c r="WHD9" s="520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20"/>
      <c r="WHR9" s="34"/>
      <c r="WHS9" s="390"/>
      <c r="WHT9" s="520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20"/>
      <c r="WIH9" s="34"/>
      <c r="WII9" s="390"/>
      <c r="WIJ9" s="520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20"/>
      <c r="WIX9" s="34"/>
      <c r="WIY9" s="390"/>
      <c r="WIZ9" s="520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20"/>
      <c r="WJN9" s="34"/>
      <c r="WJO9" s="390"/>
      <c r="WJP9" s="520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20"/>
      <c r="WKD9" s="34"/>
      <c r="WKE9" s="390"/>
      <c r="WKF9" s="520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20"/>
      <c r="WKT9" s="34"/>
      <c r="WKU9" s="390"/>
      <c r="WKV9" s="520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20"/>
      <c r="WLJ9" s="34"/>
      <c r="WLK9" s="390"/>
      <c r="WLL9" s="520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20"/>
      <c r="WLZ9" s="34"/>
      <c r="WMA9" s="390"/>
      <c r="WMB9" s="520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20"/>
      <c r="WMP9" s="34"/>
      <c r="WMQ9" s="390"/>
      <c r="WMR9" s="520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20"/>
      <c r="WNF9" s="34"/>
      <c r="WNG9" s="390"/>
      <c r="WNH9" s="520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20"/>
      <c r="WNV9" s="34"/>
      <c r="WNW9" s="390"/>
      <c r="WNX9" s="520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20"/>
      <c r="WOL9" s="34"/>
      <c r="WOM9" s="390"/>
      <c r="WON9" s="520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20"/>
      <c r="WPB9" s="34"/>
      <c r="WPC9" s="390"/>
      <c r="WPD9" s="520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20"/>
      <c r="WPR9" s="34"/>
      <c r="WPS9" s="390"/>
      <c r="WPT9" s="520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20"/>
      <c r="WQH9" s="34"/>
      <c r="WQI9" s="390"/>
      <c r="WQJ9" s="520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20"/>
      <c r="WQX9" s="34"/>
      <c r="WQY9" s="390"/>
      <c r="WQZ9" s="520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20"/>
      <c r="WRN9" s="34"/>
      <c r="WRO9" s="390"/>
      <c r="WRP9" s="520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20"/>
      <c r="WSD9" s="34"/>
      <c r="WSE9" s="390"/>
      <c r="WSF9" s="520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20"/>
      <c r="WST9" s="34"/>
      <c r="WSU9" s="390"/>
      <c r="WSV9" s="520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20"/>
      <c r="WTJ9" s="34"/>
      <c r="WTK9" s="390"/>
      <c r="WTL9" s="520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20"/>
      <c r="WTZ9" s="34"/>
      <c r="WUA9" s="390"/>
      <c r="WUB9" s="520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20"/>
      <c r="WUP9" s="34"/>
      <c r="WUQ9" s="390"/>
      <c r="WUR9" s="520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20"/>
      <c r="WVF9" s="34"/>
      <c r="WVG9" s="390"/>
      <c r="WVH9" s="520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20"/>
      <c r="WVV9" s="34"/>
      <c r="WVW9" s="390"/>
      <c r="WVX9" s="520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20"/>
      <c r="WWL9" s="34"/>
      <c r="WWM9" s="390"/>
      <c r="WWN9" s="520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20"/>
      <c r="WXB9" s="34"/>
      <c r="WXC9" s="390"/>
      <c r="WXD9" s="520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20"/>
      <c r="WXR9" s="34"/>
      <c r="WXS9" s="390"/>
      <c r="WXT9" s="520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20"/>
      <c r="WYH9" s="34"/>
      <c r="WYI9" s="390"/>
      <c r="WYJ9" s="520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20"/>
      <c r="WYX9" s="34"/>
      <c r="WYY9" s="390"/>
      <c r="WYZ9" s="520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20"/>
      <c r="WZN9" s="34"/>
      <c r="WZO9" s="390"/>
      <c r="WZP9" s="520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20"/>
      <c r="XAD9" s="34"/>
      <c r="XAE9" s="390"/>
      <c r="XAF9" s="520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20"/>
      <c r="XAT9" s="34"/>
      <c r="XAU9" s="390"/>
      <c r="XAV9" s="520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20"/>
      <c r="XBJ9" s="34"/>
      <c r="XBK9" s="390"/>
      <c r="XBL9" s="520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20"/>
      <c r="XBZ9" s="34"/>
      <c r="XCA9" s="390"/>
      <c r="XCB9" s="520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20"/>
      <c r="XCP9" s="34"/>
      <c r="XCQ9" s="390"/>
      <c r="XCR9" s="520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20"/>
      <c r="XDF9" s="34"/>
      <c r="XDG9" s="390"/>
      <c r="XDH9" s="520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20"/>
      <c r="XDV9" s="34"/>
      <c r="XDW9" s="390"/>
      <c r="XDX9" s="520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20"/>
      <c r="XEL9" s="34"/>
      <c r="XEM9" s="390"/>
      <c r="XEN9" s="520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20"/>
      <c r="XFB9" s="34"/>
      <c r="XFC9" s="390"/>
      <c r="XFD9" s="520"/>
    </row>
    <row r="10" spans="1:16384" ht="15" customHeight="1" x14ac:dyDescent="0.25">
      <c r="A10" s="9"/>
      <c r="B10" s="518" t="s">
        <v>4</v>
      </c>
      <c r="C10" s="515">
        <f>SUM(C5:C9)</f>
        <v>328129038.38</v>
      </c>
      <c r="D10" s="152">
        <f>SUM(D5:D9)</f>
        <v>332113603.51999998</v>
      </c>
      <c r="E10" s="84">
        <f>SUM(E5:E9)</f>
        <v>289943246.5</v>
      </c>
      <c r="F10" s="90">
        <f>E10/D10</f>
        <v>0.87302430080235938</v>
      </c>
      <c r="G10" s="84">
        <f>SUM(G5:G9)</f>
        <v>280654416.68000001</v>
      </c>
      <c r="H10" s="90">
        <f>G10/D10</f>
        <v>0.84505546808503107</v>
      </c>
      <c r="I10" s="84">
        <f>SUM(I5:I9)</f>
        <v>110328138.22999999</v>
      </c>
      <c r="J10" s="170">
        <f>I10/D10</f>
        <v>0.33219999741249984</v>
      </c>
      <c r="K10" s="152">
        <f>SUM(K5:K9)</f>
        <v>270491587.63</v>
      </c>
      <c r="L10" s="90">
        <v>0.82681809808748397</v>
      </c>
      <c r="M10" s="213">
        <f t="shared" ref="M10" si="0">+G10/K10-1</f>
        <v>3.7571700987246714E-2</v>
      </c>
      <c r="N10" s="700">
        <f>SUM(N5:N9)</f>
        <v>104050621.69000001</v>
      </c>
      <c r="O10" s="90">
        <v>0.31805402114104231</v>
      </c>
      <c r="P10" s="213">
        <f>+I10/N10-1</f>
        <v>6.0331369847099081E-2</v>
      </c>
    </row>
    <row r="11" spans="1:16384" ht="15" customHeight="1" x14ac:dyDescent="0.25">
      <c r="A11" s="21">
        <v>6</v>
      </c>
      <c r="B11" s="21" t="s">
        <v>5</v>
      </c>
      <c r="C11" s="159">
        <v>7197998.3799999999</v>
      </c>
      <c r="D11" s="516">
        <v>14670995.99</v>
      </c>
      <c r="E11" s="180">
        <v>5321390.07</v>
      </c>
      <c r="F11" s="48">
        <f>E11/D11</f>
        <v>0.36271498360623572</v>
      </c>
      <c r="G11" s="56">
        <v>3573545.38</v>
      </c>
      <c r="H11" s="48">
        <f>G11/D11</f>
        <v>0.24357892146080531</v>
      </c>
      <c r="I11" s="30">
        <v>936436.37</v>
      </c>
      <c r="J11" s="153">
        <f>I11/D11</f>
        <v>6.3829093173925683E-2</v>
      </c>
      <c r="K11" s="150">
        <v>3404208.8699999996</v>
      </c>
      <c r="L11" s="48">
        <v>0.20560893628539872</v>
      </c>
      <c r="M11" s="210">
        <f>+G11/K11-1</f>
        <v>4.9743278531555024E-2</v>
      </c>
      <c r="N11" s="689">
        <v>380518.34</v>
      </c>
      <c r="O11" s="48">
        <v>2.2982717604071605E-2</v>
      </c>
      <c r="P11" s="210">
        <f>+I11/N11-1</f>
        <v>1.460949372374535</v>
      </c>
    </row>
    <row r="12" spans="1:16384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>E12/D12</f>
        <v>1</v>
      </c>
      <c r="G12" s="137">
        <v>213192</v>
      </c>
      <c r="H12" s="48">
        <f>G12/D12</f>
        <v>1</v>
      </c>
      <c r="I12" s="137">
        <v>0</v>
      </c>
      <c r="J12" s="153">
        <f>I12/D12</f>
        <v>0</v>
      </c>
      <c r="K12" s="137"/>
      <c r="L12" s="390" t="s">
        <v>129</v>
      </c>
      <c r="M12" s="245" t="s">
        <v>129</v>
      </c>
      <c r="N12" s="137"/>
      <c r="O12" s="390" t="s">
        <v>129</v>
      </c>
      <c r="P12" s="245" t="s">
        <v>129</v>
      </c>
    </row>
    <row r="13" spans="1:16384" ht="15" customHeight="1" x14ac:dyDescent="0.25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14884187.99</v>
      </c>
      <c r="E13" s="84">
        <f t="shared" si="1"/>
        <v>5534582.0700000003</v>
      </c>
      <c r="F13" s="90">
        <f>E13/D13</f>
        <v>0.37184306417779933</v>
      </c>
      <c r="G13" s="84">
        <f t="shared" si="1"/>
        <v>3786737.38</v>
      </c>
      <c r="H13" s="90">
        <f>G13/D13</f>
        <v>0.25441343407810585</v>
      </c>
      <c r="I13" s="84">
        <f t="shared" si="1"/>
        <v>936436.37</v>
      </c>
      <c r="J13" s="170">
        <f>I13/D13</f>
        <v>6.2914844305188053E-2</v>
      </c>
      <c r="K13" s="84">
        <f t="shared" ref="K13" si="2">SUM(K11:K12)</f>
        <v>3404208.8699999996</v>
      </c>
      <c r="L13" s="90">
        <v>0.20560893628539872</v>
      </c>
      <c r="M13" s="213">
        <f t="shared" ref="M13" si="3">+G13/K13-1</f>
        <v>0.11236928302815929</v>
      </c>
      <c r="N13" s="84">
        <f t="shared" ref="N13" si="4">SUM(N11:N12)</f>
        <v>380518.34</v>
      </c>
      <c r="O13" s="90">
        <v>2.2982717604071605E-2</v>
      </c>
      <c r="P13" s="213">
        <f>+I13/N13-1</f>
        <v>1.460949372374535</v>
      </c>
    </row>
    <row r="14" spans="1:16384" ht="15" customHeight="1" x14ac:dyDescent="0.25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5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228" t="s">
        <v>129</v>
      </c>
      <c r="G16" s="84">
        <f t="shared" si="5"/>
        <v>0</v>
      </c>
      <c r="H16" s="228" t="s">
        <v>129</v>
      </c>
      <c r="I16" s="84">
        <f t="shared" si="5"/>
        <v>0</v>
      </c>
      <c r="J16" s="229" t="s">
        <v>129</v>
      </c>
      <c r="K16" s="84">
        <f t="shared" ref="K16" si="6">SUM(K14:K15)</f>
        <v>0</v>
      </c>
      <c r="L16" s="263" t="s">
        <v>129</v>
      </c>
      <c r="M16" s="641" t="s">
        <v>129</v>
      </c>
      <c r="N16" s="84">
        <f t="shared" ref="N16" si="7">SUM(N14:N15)</f>
        <v>0</v>
      </c>
      <c r="O16" s="263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335327036.75999999</v>
      </c>
      <c r="D17" s="154">
        <f t="shared" ref="D17:I17" si="8">+D10+D13+D16</f>
        <v>346997791.50999999</v>
      </c>
      <c r="E17" s="155">
        <f t="shared" si="8"/>
        <v>295477828.56999999</v>
      </c>
      <c r="F17" s="181">
        <f>E17/D17</f>
        <v>0.85152653935978939</v>
      </c>
      <c r="G17" s="155">
        <f t="shared" si="8"/>
        <v>284441154.06</v>
      </c>
      <c r="H17" s="181">
        <f>G17/D17</f>
        <v>0.81972035851358671</v>
      </c>
      <c r="I17" s="155">
        <f t="shared" si="8"/>
        <v>111264574.59999999</v>
      </c>
      <c r="J17" s="173">
        <f>I17/D17</f>
        <v>0.32064922982886912</v>
      </c>
      <c r="K17" s="155">
        <f t="shared" ref="K17" si="9">+K10+K13+K16</f>
        <v>273895796.5</v>
      </c>
      <c r="L17" s="181">
        <v>0.79689358925251386</v>
      </c>
      <c r="M17" s="607">
        <f>+G17/K17-1</f>
        <v>3.8501348668927182E-2</v>
      </c>
      <c r="N17" s="155">
        <f t="shared" ref="N17" si="10">+N10+N13+N16</f>
        <v>104431140.03000002</v>
      </c>
      <c r="O17" s="181">
        <v>0.303840026286196</v>
      </c>
      <c r="P17" s="607">
        <f>+I17/N17-1</f>
        <v>6.5434836467713753E-2</v>
      </c>
    </row>
    <row r="19" spans="1:16" x14ac:dyDescent="0.25">
      <c r="C19" t="s">
        <v>777</v>
      </c>
    </row>
    <row r="20" spans="1:16" x14ac:dyDescent="0.25">
      <c r="D20" s="46">
        <f>D17-D5</f>
        <v>303286676.75999999</v>
      </c>
      <c r="E20" s="46">
        <f t="shared" ref="E20:I20" si="11">E17-E5</f>
        <v>277396225.14999998</v>
      </c>
      <c r="F20" s="46">
        <f t="shared" si="11"/>
        <v>0.43786508223577492</v>
      </c>
      <c r="G20" s="46">
        <f t="shared" si="11"/>
        <v>266359550.63999999</v>
      </c>
      <c r="H20" s="46">
        <f t="shared" si="11"/>
        <v>0.40605890138957224</v>
      </c>
      <c r="I20" s="46">
        <f t="shared" si="11"/>
        <v>93182971.179999992</v>
      </c>
      <c r="J20" s="726">
        <f>I20/D20</f>
        <v>0.30724386634938972</v>
      </c>
      <c r="N20" s="46">
        <f>N17-N5</f>
        <v>82586847.960000008</v>
      </c>
      <c r="O20" s="442">
        <f>N20/(343704354.25-47230135.33)</f>
        <v>0.27856333768530839</v>
      </c>
      <c r="P20" s="442">
        <f>I20/N20-1</f>
        <v>0.12830279253582955</v>
      </c>
    </row>
    <row r="21" spans="1:16" x14ac:dyDescent="0.25">
      <c r="D21" s="46">
        <f>D10-D5</f>
        <v>288402488.76999998</v>
      </c>
      <c r="E21" s="46">
        <f t="shared" ref="E21:I21" si="12">E10-E5</f>
        <v>271861643.07999998</v>
      </c>
      <c r="F21" s="46">
        <f t="shared" si="12"/>
        <v>0.4593628436783449</v>
      </c>
      <c r="G21" s="46">
        <f t="shared" si="12"/>
        <v>262572813.25999999</v>
      </c>
      <c r="H21" s="46">
        <f t="shared" si="12"/>
        <v>0.43139401096101659</v>
      </c>
      <c r="I21" s="46">
        <f t="shared" si="12"/>
        <v>92246534.809999987</v>
      </c>
      <c r="J21" s="726">
        <f>I21/D21</f>
        <v>0.31985346313556362</v>
      </c>
      <c r="N21" s="46">
        <f>N10-N5</f>
        <v>82206329.620000005</v>
      </c>
      <c r="O21" s="442">
        <f>N21/(327147637.74-47230135.33)</f>
        <v>0.29368056270947634</v>
      </c>
      <c r="P21" s="442">
        <f>I21/N21-1</f>
        <v>0.12213421078901088</v>
      </c>
    </row>
    <row r="137" spans="12:12" x14ac:dyDescent="0.25">
      <c r="L137" s="686"/>
    </row>
    <row r="138" spans="12:12" x14ac:dyDescent="0.25">
      <c r="L138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topLeftCell="B13" zoomScaleNormal="100" workbookViewId="0">
      <selection activeCell="I39" sqref="I3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128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7"/>
  <sheetViews>
    <sheetView topLeftCell="C1" zoomScaleNormal="100" workbookViewId="0">
      <selection activeCell="K20" sqref="K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746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4754082.8899999997</v>
      </c>
      <c r="D5" s="204">
        <v>4916351.22</v>
      </c>
      <c r="E5" s="30">
        <v>2049772.32</v>
      </c>
      <c r="F5" s="48">
        <f>E5/D5</f>
        <v>0.41692959438321009</v>
      </c>
      <c r="G5" s="30">
        <v>2049772.32</v>
      </c>
      <c r="H5" s="48">
        <f>G5/D5</f>
        <v>0.41692959438321009</v>
      </c>
      <c r="I5" s="30">
        <v>2049772.32</v>
      </c>
      <c r="J5" s="153">
        <f>I5/D5</f>
        <v>0.41692959438321009</v>
      </c>
      <c r="K5" s="578">
        <v>2322772.06</v>
      </c>
      <c r="L5" s="48">
        <v>0.45948890613023874</v>
      </c>
      <c r="M5" s="210">
        <f>+G5/K5-1</f>
        <v>-0.11753186836593854</v>
      </c>
      <c r="N5" s="578">
        <v>2322772.06</v>
      </c>
      <c r="O5" s="48">
        <v>0.45948890613023874</v>
      </c>
      <c r="P5" s="210">
        <f>+I5/N5-1</f>
        <v>-0.11753186836593854</v>
      </c>
    </row>
    <row r="6" spans="1:16" ht="15" customHeight="1" x14ac:dyDescent="0.25">
      <c r="A6" s="23">
        <v>2</v>
      </c>
      <c r="B6" s="23" t="s">
        <v>1</v>
      </c>
      <c r="C6" s="159">
        <v>30657961.309999999</v>
      </c>
      <c r="D6" s="204">
        <v>31346931.940000001</v>
      </c>
      <c r="E6" s="30">
        <v>30109217.219999999</v>
      </c>
      <c r="F6" s="48">
        <f t="shared" ref="F6:F17" si="0">E6/D6</f>
        <v>0.96051560253586965</v>
      </c>
      <c r="G6" s="30">
        <v>29040657.609999999</v>
      </c>
      <c r="H6" s="280">
        <f t="shared" ref="H6:H17" si="1">G6/D6</f>
        <v>0.92642743046067932</v>
      </c>
      <c r="I6" s="30">
        <v>7656286.5800000001</v>
      </c>
      <c r="J6" s="178">
        <f t="shared" ref="J6:J17" si="2">I6/D6</f>
        <v>0.24424357046024836</v>
      </c>
      <c r="K6" s="579">
        <v>27665301.52</v>
      </c>
      <c r="L6" s="412">
        <v>0.92704754503308628</v>
      </c>
      <c r="M6" s="210">
        <f t="shared" ref="M6:M17" si="3">+G6/K6-1</f>
        <v>4.9714118930014761E-2</v>
      </c>
      <c r="N6" s="579">
        <v>6822333.9699999997</v>
      </c>
      <c r="O6" s="412">
        <v>0.22861229087678958</v>
      </c>
      <c r="P6" s="210">
        <f>+I6/N6-1</f>
        <v>0.1222386083218967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12984740.82</v>
      </c>
      <c r="D8" s="204">
        <v>12965099.92</v>
      </c>
      <c r="E8" s="30">
        <v>12525061.51</v>
      </c>
      <c r="F8" s="48">
        <f t="shared" si="0"/>
        <v>0.96605977487908168</v>
      </c>
      <c r="G8" s="30">
        <v>12009656.51</v>
      </c>
      <c r="H8" s="48">
        <f t="shared" si="1"/>
        <v>0.92630651395704788</v>
      </c>
      <c r="I8" s="30">
        <v>7655215.4699999997</v>
      </c>
      <c r="J8" s="178">
        <f t="shared" si="2"/>
        <v>0.5904478574971137</v>
      </c>
      <c r="K8" s="635">
        <v>12335521.640000001</v>
      </c>
      <c r="L8" s="414">
        <v>0.93799830592579159</v>
      </c>
      <c r="M8" s="443">
        <f t="shared" si="3"/>
        <v>-2.6416809885309478E-2</v>
      </c>
      <c r="N8" s="635">
        <v>7821152.25</v>
      </c>
      <c r="O8" s="414">
        <v>0.5947237396997257</v>
      </c>
      <c r="P8" s="443">
        <f t="shared" ref="P8:P17" si="4">+I8/N8-1</f>
        <v>-2.1216410919503659E-2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48396785.019999996</v>
      </c>
      <c r="D10" s="152">
        <f t="shared" ref="D10:E10" si="5">SUM(D5:D9)</f>
        <v>49228383.080000006</v>
      </c>
      <c r="E10" s="84">
        <f t="shared" si="5"/>
        <v>44684051.049999997</v>
      </c>
      <c r="F10" s="90">
        <f t="shared" si="0"/>
        <v>0.90768878143701959</v>
      </c>
      <c r="G10" s="84">
        <f>SUM(G5:G9)</f>
        <v>43100086.439999998</v>
      </c>
      <c r="H10" s="90">
        <f t="shared" si="1"/>
        <v>0.87551294077562847</v>
      </c>
      <c r="I10" s="84">
        <f>SUM(I5:I9)</f>
        <v>17361274.370000001</v>
      </c>
      <c r="J10" s="170">
        <f t="shared" si="2"/>
        <v>0.35266797899469016</v>
      </c>
      <c r="K10" s="568">
        <f>SUM(K5:K9)</f>
        <v>42323595.219999999</v>
      </c>
      <c r="L10" s="90">
        <v>0.88085342991311055</v>
      </c>
      <c r="M10" s="213">
        <f t="shared" si="3"/>
        <v>1.8346532612925737E-2</v>
      </c>
      <c r="N10" s="568">
        <f>SUM(N5:N9)</f>
        <v>16966258.280000001</v>
      </c>
      <c r="O10" s="90">
        <v>0.35310768664727138</v>
      </c>
      <c r="P10" s="213">
        <f t="shared" si="4"/>
        <v>2.3282451762840939E-2</v>
      </c>
    </row>
    <row r="11" spans="1:16" ht="15" customHeight="1" x14ac:dyDescent="0.25">
      <c r="A11" s="21">
        <v>6</v>
      </c>
      <c r="B11" s="21" t="s">
        <v>5</v>
      </c>
      <c r="C11" s="159">
        <v>338636.56</v>
      </c>
      <c r="D11" s="204">
        <v>2863487.12</v>
      </c>
      <c r="E11" s="30">
        <v>315170.71999999997</v>
      </c>
      <c r="F11" s="48">
        <f t="shared" si="0"/>
        <v>0.11006535276470877</v>
      </c>
      <c r="G11" s="30">
        <v>312549.18</v>
      </c>
      <c r="H11" s="48">
        <f t="shared" si="1"/>
        <v>0.10914984663873745</v>
      </c>
      <c r="I11" s="30">
        <v>106603.62</v>
      </c>
      <c r="J11" s="153">
        <f t="shared" si="2"/>
        <v>3.7228601188888877E-2</v>
      </c>
      <c r="K11" s="565">
        <v>271501.17</v>
      </c>
      <c r="L11" s="48">
        <v>0.22250489008731955</v>
      </c>
      <c r="M11" s="224">
        <f t="shared" si="3"/>
        <v>0.15118907222388778</v>
      </c>
      <c r="N11" s="565">
        <v>58891.68</v>
      </c>
      <c r="O11" s="48">
        <v>4.8263831737659163E-2</v>
      </c>
      <c r="P11" s="224">
        <f t="shared" si="4"/>
        <v>0.81016435598373149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338636.56</v>
      </c>
      <c r="D13" s="152">
        <f t="shared" ref="D13:I13" si="6">SUM(D11:D12)</f>
        <v>2863487.12</v>
      </c>
      <c r="E13" s="84">
        <f t="shared" si="6"/>
        <v>315170.71999999997</v>
      </c>
      <c r="F13" s="90">
        <f t="shared" si="0"/>
        <v>0.11006535276470877</v>
      </c>
      <c r="G13" s="84">
        <f t="shared" si="6"/>
        <v>312549.18</v>
      </c>
      <c r="H13" s="90">
        <f t="shared" si="1"/>
        <v>0.10914984663873745</v>
      </c>
      <c r="I13" s="84">
        <f t="shared" si="6"/>
        <v>106603.62</v>
      </c>
      <c r="J13" s="170">
        <f t="shared" si="2"/>
        <v>3.7228601188888877E-2</v>
      </c>
      <c r="K13" s="568">
        <f>SUM(K11:K12)</f>
        <v>271501.17</v>
      </c>
      <c r="L13" s="90">
        <v>0.22250489008731955</v>
      </c>
      <c r="M13" s="213">
        <f t="shared" si="3"/>
        <v>0.15118907222388778</v>
      </c>
      <c r="N13" s="568">
        <f>SUM(N11:N12)</f>
        <v>58891.68</v>
      </c>
      <c r="O13" s="90">
        <v>4.8263831737659163E-2</v>
      </c>
      <c r="P13" s="213">
        <f t="shared" si="4"/>
        <v>0.81016435598373149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52091870.200000003</v>
      </c>
      <c r="E17" s="155">
        <f t="shared" si="8"/>
        <v>44999221.769999996</v>
      </c>
      <c r="F17" s="181">
        <f t="shared" si="0"/>
        <v>0.86384346726718197</v>
      </c>
      <c r="G17" s="155">
        <f t="shared" si="8"/>
        <v>43412635.619999997</v>
      </c>
      <c r="H17" s="181">
        <f t="shared" si="1"/>
        <v>0.8333860054039679</v>
      </c>
      <c r="I17" s="155">
        <f t="shared" si="8"/>
        <v>17467877.990000002</v>
      </c>
      <c r="J17" s="173">
        <f t="shared" si="2"/>
        <v>0.33532829447156232</v>
      </c>
      <c r="K17" s="576">
        <f>K10+K13+K16</f>
        <v>42595096.390000001</v>
      </c>
      <c r="L17" s="181">
        <v>0.86454854267183567</v>
      </c>
      <c r="M17" s="607">
        <f t="shared" si="3"/>
        <v>1.9193271040277127E-2</v>
      </c>
      <c r="N17" s="576">
        <f>N10+N13+N16</f>
        <v>17025149.960000001</v>
      </c>
      <c r="O17" s="181">
        <v>0.34555781848501793</v>
      </c>
      <c r="P17" s="607">
        <f t="shared" si="4"/>
        <v>2.6004354207755931E-2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Maig
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5" workbookViewId="0">
      <selection activeCell="G36" sqref="G3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I23" sqref="I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747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5116553.01</v>
      </c>
      <c r="D5" s="204">
        <v>5198375.28</v>
      </c>
      <c r="E5" s="30">
        <v>2300557.21</v>
      </c>
      <c r="F5" s="48">
        <f>E5/D5</f>
        <v>0.44255312209779513</v>
      </c>
      <c r="G5" s="30">
        <v>2300557.21</v>
      </c>
      <c r="H5" s="48">
        <f>G5/D5</f>
        <v>0.44255312209779513</v>
      </c>
      <c r="I5" s="30">
        <v>2300557.21</v>
      </c>
      <c r="J5" s="153">
        <f>I5/D5</f>
        <v>0.44255312209779513</v>
      </c>
      <c r="K5" s="204">
        <v>2582812.2999999998</v>
      </c>
      <c r="L5" s="48">
        <v>0.46519642446341936</v>
      </c>
      <c r="M5" s="210">
        <f>+G5/K5-1</f>
        <v>-0.10928207597586548</v>
      </c>
      <c r="N5" s="30">
        <v>2582812.2999999998</v>
      </c>
      <c r="O5" s="48">
        <v>0.46519642446341936</v>
      </c>
      <c r="P5" s="210">
        <f>+I5/N5-1</f>
        <v>-0.10928207597586548</v>
      </c>
    </row>
    <row r="6" spans="1:16" ht="15" customHeight="1" x14ac:dyDescent="0.25">
      <c r="A6" s="23">
        <v>2</v>
      </c>
      <c r="B6" s="23" t="s">
        <v>1</v>
      </c>
      <c r="C6" s="159">
        <v>23638411.449999999</v>
      </c>
      <c r="D6" s="204">
        <v>24174496.190000001</v>
      </c>
      <c r="E6" s="30">
        <v>22362007.989999998</v>
      </c>
      <c r="F6" s="48">
        <f t="shared" ref="F6:F17" si="0">E6/D6</f>
        <v>0.92502477876871925</v>
      </c>
      <c r="G6" s="30">
        <v>22064729.719999999</v>
      </c>
      <c r="H6" s="280">
        <f t="shared" ref="H6:H17" si="1">G6/D6</f>
        <v>0.91272759302124662</v>
      </c>
      <c r="I6" s="30">
        <v>6030370.54</v>
      </c>
      <c r="J6" s="178">
        <f t="shared" ref="J6:J17" si="2">I6/D6</f>
        <v>0.24945175662004146</v>
      </c>
      <c r="K6" s="204">
        <v>20671844.780000001</v>
      </c>
      <c r="L6" s="412">
        <v>0.89113642676523896</v>
      </c>
      <c r="M6" s="210">
        <f t="shared" ref="M6:M17" si="3">+G6/K6-1</f>
        <v>6.7380775872872833E-2</v>
      </c>
      <c r="N6" s="30">
        <v>5407730.7699999996</v>
      </c>
      <c r="O6" s="412">
        <v>0.23312026220072235</v>
      </c>
      <c r="P6" s="210">
        <f>+I6/N6-1</f>
        <v>0.11513882559652666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30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13415073.300000001</v>
      </c>
      <c r="D8" s="204">
        <v>13425365.130000001</v>
      </c>
      <c r="E8" s="30">
        <v>13292697.24</v>
      </c>
      <c r="F8" s="48">
        <f t="shared" si="0"/>
        <v>0.99011811680983308</v>
      </c>
      <c r="G8" s="30">
        <v>13025042.23</v>
      </c>
      <c r="H8" s="48">
        <f t="shared" si="1"/>
        <v>0.97018160056552594</v>
      </c>
      <c r="I8" s="30">
        <v>5507818.25</v>
      </c>
      <c r="J8" s="178">
        <f t="shared" si="2"/>
        <v>0.41025463342463298</v>
      </c>
      <c r="K8" s="204">
        <v>11926272.640000001</v>
      </c>
      <c r="L8" s="414">
        <v>0.87618218829524541</v>
      </c>
      <c r="M8" s="443">
        <f t="shared" si="3"/>
        <v>9.2130175383949631E-2</v>
      </c>
      <c r="N8" s="30">
        <v>5983576.7000000002</v>
      </c>
      <c r="O8" s="414">
        <v>0.43959277848929362</v>
      </c>
      <c r="P8" s="443">
        <f t="shared" ref="P8:P17" si="4">+I8/N8-1</f>
        <v>-7.9510713048936088E-2</v>
      </c>
    </row>
    <row r="9" spans="1:16" ht="15" customHeight="1" x14ac:dyDescent="0.25">
      <c r="A9" s="55">
        <v>5</v>
      </c>
      <c r="B9" s="55" t="s">
        <v>453</v>
      </c>
      <c r="C9" s="176">
        <v>300000</v>
      </c>
      <c r="D9" s="516">
        <v>0</v>
      </c>
      <c r="E9" s="180">
        <v>0</v>
      </c>
      <c r="F9" s="48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42470037.760000005</v>
      </c>
      <c r="D10" s="152">
        <f t="shared" ref="D10:E10" si="5">SUM(D5:D9)</f>
        <v>42798236.600000001</v>
      </c>
      <c r="E10" s="84">
        <f t="shared" si="5"/>
        <v>37955262.439999998</v>
      </c>
      <c r="F10" s="90">
        <f t="shared" si="0"/>
        <v>0.88684173590460491</v>
      </c>
      <c r="G10" s="84">
        <f>SUM(G5:G9)</f>
        <v>37390329.159999996</v>
      </c>
      <c r="H10" s="90">
        <f t="shared" si="1"/>
        <v>0.87364181635464844</v>
      </c>
      <c r="I10" s="84">
        <f>SUM(I5:I9)</f>
        <v>13838746</v>
      </c>
      <c r="J10" s="170">
        <f t="shared" si="2"/>
        <v>0.3233485091766608</v>
      </c>
      <c r="K10" s="568">
        <f>SUM(K5:K9)</f>
        <v>35180929.719999999</v>
      </c>
      <c r="L10" s="90">
        <v>0.83050483158192967</v>
      </c>
      <c r="M10" s="213">
        <f t="shared" si="3"/>
        <v>6.2801053229243564E-2</v>
      </c>
      <c r="N10" s="568">
        <f>SUM(N5:N9)</f>
        <v>13974119.77</v>
      </c>
      <c r="O10" s="90">
        <v>0.32988252665454471</v>
      </c>
      <c r="P10" s="213">
        <f t="shared" si="4"/>
        <v>-9.6874631267025446E-3</v>
      </c>
    </row>
    <row r="11" spans="1:16" ht="15" customHeight="1" x14ac:dyDescent="0.25">
      <c r="A11" s="21">
        <v>6</v>
      </c>
      <c r="B11" s="21" t="s">
        <v>5</v>
      </c>
      <c r="C11" s="159">
        <v>722640</v>
      </c>
      <c r="D11" s="204">
        <v>872640</v>
      </c>
      <c r="E11" s="30">
        <v>638130.30000000005</v>
      </c>
      <c r="F11" s="48">
        <f t="shared" si="0"/>
        <v>0.73126409515951596</v>
      </c>
      <c r="G11" s="30">
        <v>313155.94</v>
      </c>
      <c r="H11" s="48">
        <f t="shared" si="1"/>
        <v>0.35886040062339569</v>
      </c>
      <c r="I11" s="30">
        <v>120351.19</v>
      </c>
      <c r="J11" s="153">
        <f t="shared" si="2"/>
        <v>0.13791619682801615</v>
      </c>
      <c r="K11" s="565">
        <v>60299.27</v>
      </c>
      <c r="L11" s="48">
        <v>5.5019082089573748E-2</v>
      </c>
      <c r="M11" s="224">
        <f t="shared" si="3"/>
        <v>4.1933620423597171</v>
      </c>
      <c r="N11" s="565">
        <v>426.65</v>
      </c>
      <c r="O11" s="48">
        <v>3.8928981020029994E-4</v>
      </c>
      <c r="P11" s="224">
        <f t="shared" si="4"/>
        <v>281.08412047345604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722640</v>
      </c>
      <c r="D13" s="152">
        <f t="shared" ref="D13:I13" si="6">SUM(D11:D12)</f>
        <v>872640</v>
      </c>
      <c r="E13" s="84">
        <f t="shared" si="6"/>
        <v>638130.30000000005</v>
      </c>
      <c r="F13" s="90" t="s">
        <v>129</v>
      </c>
      <c r="G13" s="84">
        <f t="shared" si="6"/>
        <v>313155.94</v>
      </c>
      <c r="H13" s="90" t="s">
        <v>129</v>
      </c>
      <c r="I13" s="84">
        <f t="shared" si="6"/>
        <v>120351.19</v>
      </c>
      <c r="J13" s="170" t="s">
        <v>129</v>
      </c>
      <c r="K13" s="568">
        <f>SUM(K11:K12)</f>
        <v>60299.27</v>
      </c>
      <c r="L13" s="90">
        <v>5.5019082089573748E-2</v>
      </c>
      <c r="M13" s="629">
        <f t="shared" si="3"/>
        <v>4.1933620423597171</v>
      </c>
      <c r="N13" s="568">
        <f>SUM(N11:N12)</f>
        <v>426.65</v>
      </c>
      <c r="O13" s="90">
        <v>3.8928981020029994E-4</v>
      </c>
      <c r="P13" s="213">
        <f t="shared" si="4"/>
        <v>281.08412047345604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/>
      <c r="M16" s="641" t="s">
        <v>129</v>
      </c>
      <c r="N16" s="568">
        <f>SUM(N14:N15)</f>
        <v>0</v>
      </c>
      <c r="O16" s="514"/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43670876.600000001</v>
      </c>
      <c r="E17" s="155">
        <f t="shared" si="8"/>
        <v>38593392.739999995</v>
      </c>
      <c r="F17" s="181">
        <f t="shared" si="0"/>
        <v>0.88373295304999655</v>
      </c>
      <c r="G17" s="155">
        <f t="shared" si="8"/>
        <v>37703485.099999994</v>
      </c>
      <c r="H17" s="181">
        <f t="shared" si="1"/>
        <v>0.86335535339357017</v>
      </c>
      <c r="I17" s="155">
        <f t="shared" si="8"/>
        <v>13959097.189999999</v>
      </c>
      <c r="J17" s="173">
        <f t="shared" si="2"/>
        <v>0.31964316443329649</v>
      </c>
      <c r="K17" s="576">
        <f>K10+K13+K16</f>
        <v>35241228.990000002</v>
      </c>
      <c r="L17" s="181">
        <v>0.81094729639580609</v>
      </c>
      <c r="M17" s="607">
        <f t="shared" si="3"/>
        <v>6.9868622081786125E-2</v>
      </c>
      <c r="N17" s="576">
        <f>N10+N13+N16</f>
        <v>13974546.42</v>
      </c>
      <c r="O17" s="181">
        <v>0.32157279874865941</v>
      </c>
      <c r="P17" s="607">
        <f t="shared" si="4"/>
        <v>-1.1055264003337895E-3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11" workbookViewId="0">
      <selection activeCell="G34" sqref="G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Maig&amp;R&amp;"Arial,Negreta"&amp;8&amp;K03+000Direcció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O12" sqref="O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748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4693686.91</v>
      </c>
      <c r="D5" s="204">
        <v>4761555.16</v>
      </c>
      <c r="E5" s="30">
        <v>1994198.64</v>
      </c>
      <c r="F5" s="48">
        <f>E5/D5</f>
        <v>0.41881246210324274</v>
      </c>
      <c r="G5" s="30">
        <v>1994198.64</v>
      </c>
      <c r="H5" s="48">
        <f>G5/D5</f>
        <v>0.41881246210324274</v>
      </c>
      <c r="I5" s="30">
        <v>1994198.64</v>
      </c>
      <c r="J5" s="153">
        <f>I5/D5</f>
        <v>0.41881246210324274</v>
      </c>
      <c r="K5" s="578">
        <v>2381813.0499999998</v>
      </c>
      <c r="L5" s="48">
        <v>0.45954897492883895</v>
      </c>
      <c r="M5" s="210">
        <f>+G5/K5-1</f>
        <v>-0.1627392250621853</v>
      </c>
      <c r="N5" s="578">
        <v>2381813.0499999998</v>
      </c>
      <c r="O5" s="48">
        <v>0.45954897492883895</v>
      </c>
      <c r="P5" s="210">
        <f>+I5/N5-1</f>
        <v>-0.1627392250621853</v>
      </c>
    </row>
    <row r="6" spans="1:16" ht="15" customHeight="1" x14ac:dyDescent="0.25">
      <c r="A6" s="23">
        <v>2</v>
      </c>
      <c r="B6" s="23" t="s">
        <v>1</v>
      </c>
      <c r="C6" s="159">
        <v>21365328.260000002</v>
      </c>
      <c r="D6" s="204">
        <v>21656589.780000001</v>
      </c>
      <c r="E6" s="30">
        <v>20117061.870000001</v>
      </c>
      <c r="F6" s="48">
        <f t="shared" ref="F6:F17" si="0">E6/D6</f>
        <v>0.9289118034907895</v>
      </c>
      <c r="G6" s="30">
        <v>19642201.25</v>
      </c>
      <c r="H6" s="280">
        <f t="shared" ref="H6:H17" si="1">G6/D6</f>
        <v>0.90698496159998832</v>
      </c>
      <c r="I6" s="30">
        <v>5226440.1399999997</v>
      </c>
      <c r="J6" s="178">
        <f t="shared" ref="J6:J17" si="2">I6/D6</f>
        <v>0.24133255480632737</v>
      </c>
      <c r="K6" s="579">
        <v>17481958.82</v>
      </c>
      <c r="L6" s="412">
        <v>0.84846092131458073</v>
      </c>
      <c r="M6" s="210">
        <f t="shared" ref="M6:M17" si="3">+G6/K6-1</f>
        <v>0.12356981573075232</v>
      </c>
      <c r="N6" s="579">
        <v>5010244.1900000004</v>
      </c>
      <c r="O6" s="412">
        <v>0.2431647646140849</v>
      </c>
      <c r="P6" s="210">
        <f>+I6/N6-1</f>
        <v>4.3150781040075303E-2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10482732.210000001</v>
      </c>
      <c r="D8" s="204">
        <v>10578686.380000001</v>
      </c>
      <c r="E8" s="30">
        <v>10104266.289999999</v>
      </c>
      <c r="F8" s="48">
        <f t="shared" si="0"/>
        <v>0.95515321345597903</v>
      </c>
      <c r="G8" s="30">
        <v>9900600.7899999991</v>
      </c>
      <c r="H8" s="48">
        <f t="shared" si="1"/>
        <v>0.93590077580123876</v>
      </c>
      <c r="I8" s="30">
        <v>3321446.18</v>
      </c>
      <c r="J8" s="178">
        <f t="shared" si="2"/>
        <v>0.31397529529559604</v>
      </c>
      <c r="K8" s="635">
        <v>9523142.75</v>
      </c>
      <c r="L8" s="414">
        <v>0.90364546294830927</v>
      </c>
      <c r="M8" s="443">
        <f t="shared" si="3"/>
        <v>3.9635869156744441E-2</v>
      </c>
      <c r="N8" s="635">
        <v>2118728.36</v>
      </c>
      <c r="O8" s="414">
        <v>0.20104489872672673</v>
      </c>
      <c r="P8" s="443">
        <f t="shared" ref="P8:P17" si="4">+I8/N8-1</f>
        <v>0.56766022615565515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36541747.380000003</v>
      </c>
      <c r="D10" s="152">
        <f t="shared" ref="D10:E10" si="5">SUM(D5:D9)</f>
        <v>36996831.32</v>
      </c>
      <c r="E10" s="84">
        <f t="shared" si="5"/>
        <v>32215526.800000001</v>
      </c>
      <c r="F10" s="90">
        <f t="shared" si="0"/>
        <v>0.87076448578407606</v>
      </c>
      <c r="G10" s="84">
        <f>SUM(G5:G9)</f>
        <v>31537000.68</v>
      </c>
      <c r="H10" s="90">
        <f t="shared" si="1"/>
        <v>0.8524243713528924</v>
      </c>
      <c r="I10" s="84">
        <f>SUM(I5:I9)</f>
        <v>10542084.959999999</v>
      </c>
      <c r="J10" s="170">
        <f t="shared" si="2"/>
        <v>0.28494561787785017</v>
      </c>
      <c r="K10" s="568">
        <f>SUM(K5:K9)</f>
        <v>29386914.620000001</v>
      </c>
      <c r="L10" s="90">
        <v>0.80898106191579389</v>
      </c>
      <c r="M10" s="213">
        <f t="shared" si="3"/>
        <v>7.3164743145124334E-2</v>
      </c>
      <c r="N10" s="568">
        <f>SUM(N5:N9)</f>
        <v>9510785.5999999996</v>
      </c>
      <c r="O10" s="90">
        <v>0.26181875619923251</v>
      </c>
      <c r="P10" s="213">
        <f t="shared" si="4"/>
        <v>0.10843471857887321</v>
      </c>
    </row>
    <row r="11" spans="1:16" ht="15" customHeight="1" x14ac:dyDescent="0.25">
      <c r="A11" s="21">
        <v>6</v>
      </c>
      <c r="B11" s="21" t="s">
        <v>5</v>
      </c>
      <c r="C11" s="159">
        <v>633054.47</v>
      </c>
      <c r="D11" s="204">
        <v>865352.68</v>
      </c>
      <c r="E11" s="30">
        <v>132658.95000000001</v>
      </c>
      <c r="F11" s="48">
        <f t="shared" si="0"/>
        <v>0.15330044392998241</v>
      </c>
      <c r="G11" s="30">
        <v>132658.95000000001</v>
      </c>
      <c r="H11" s="48">
        <f t="shared" si="1"/>
        <v>0.15330044392998241</v>
      </c>
      <c r="I11" s="30">
        <v>13264.82</v>
      </c>
      <c r="J11" s="153">
        <f t="shared" si="2"/>
        <v>1.5328802124932459E-2</v>
      </c>
      <c r="K11" s="565">
        <v>72698.710000000006</v>
      </c>
      <c r="L11" s="48">
        <v>3.4420633849654055E-2</v>
      </c>
      <c r="M11" s="224">
        <f t="shared" si="3"/>
        <v>0.82477722094381045</v>
      </c>
      <c r="N11" s="565">
        <v>0</v>
      </c>
      <c r="O11" s="48">
        <v>0</v>
      </c>
      <c r="P11" s="224" t="s">
        <v>129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633054.47</v>
      </c>
      <c r="D13" s="152">
        <f t="shared" ref="D13:I13" si="6">SUM(D11:D12)</f>
        <v>865352.68</v>
      </c>
      <c r="E13" s="84">
        <f t="shared" si="6"/>
        <v>132658.95000000001</v>
      </c>
      <c r="F13" s="90">
        <f t="shared" si="0"/>
        <v>0.15330044392998241</v>
      </c>
      <c r="G13" s="84">
        <f t="shared" si="6"/>
        <v>132658.95000000001</v>
      </c>
      <c r="H13" s="90">
        <f t="shared" si="1"/>
        <v>0.15330044392998241</v>
      </c>
      <c r="I13" s="84">
        <f t="shared" si="6"/>
        <v>13264.82</v>
      </c>
      <c r="J13" s="170">
        <f t="shared" si="2"/>
        <v>1.5328802124932459E-2</v>
      </c>
      <c r="K13" s="568">
        <f>SUM(K11:K12)</f>
        <v>72698.710000000006</v>
      </c>
      <c r="L13" s="90">
        <v>3.4420633849654055E-2</v>
      </c>
      <c r="M13" s="213">
        <f t="shared" si="3"/>
        <v>0.82477722094381045</v>
      </c>
      <c r="N13" s="568">
        <f>SUM(N11:N12)</f>
        <v>0</v>
      </c>
      <c r="O13" s="90" t="s">
        <v>129</v>
      </c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 t="s">
        <v>129</v>
      </c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37862184</v>
      </c>
      <c r="E17" s="155">
        <f t="shared" si="8"/>
        <v>32348185.75</v>
      </c>
      <c r="F17" s="181">
        <f t="shared" si="0"/>
        <v>0.85436660890982941</v>
      </c>
      <c r="G17" s="155">
        <f t="shared" si="8"/>
        <v>31669659.629999999</v>
      </c>
      <c r="H17" s="181">
        <f t="shared" si="1"/>
        <v>0.83644566383175356</v>
      </c>
      <c r="I17" s="155">
        <f t="shared" si="8"/>
        <v>10555349.779999999</v>
      </c>
      <c r="J17" s="173">
        <f t="shared" si="2"/>
        <v>0.27878343679276396</v>
      </c>
      <c r="K17" s="576">
        <f>K10+K13+K16</f>
        <v>29459613.330000002</v>
      </c>
      <c r="L17" s="181">
        <v>0.76642088403961062</v>
      </c>
      <c r="M17" s="607">
        <f t="shared" si="3"/>
        <v>7.5019528438596605E-2</v>
      </c>
      <c r="N17" s="576">
        <f>N10+N13+N16</f>
        <v>9510785.5999999996</v>
      </c>
      <c r="O17" s="181">
        <v>0.24743246375335909</v>
      </c>
      <c r="P17" s="607">
        <f t="shared" si="4"/>
        <v>0.10982943196616679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opLeftCell="A10" zoomScaleNormal="100" workbookViewId="0">
      <selection activeCell="G29" sqref="G29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97" customWidth="1"/>
    <col min="7" max="7" width="11.109375" bestFit="1" customWidth="1"/>
    <col min="8" max="8" width="6.109375" style="97" customWidth="1"/>
    <col min="9" max="9" width="11.33203125" customWidth="1"/>
    <col min="10" max="10" width="21.6640625" style="60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148</v>
      </c>
    </row>
    <row r="2" spans="1:15" ht="13.8" x14ac:dyDescent="0.25">
      <c r="B2" s="7" t="s">
        <v>228</v>
      </c>
      <c r="F2"/>
      <c r="H2"/>
      <c r="J2"/>
      <c r="M2" s="339"/>
    </row>
    <row r="3" spans="1:15" x14ac:dyDescent="0.25">
      <c r="F3"/>
      <c r="H3"/>
      <c r="J3"/>
      <c r="M3" s="339"/>
    </row>
    <row r="4" spans="1:15" s="287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5">
      <c r="F10"/>
      <c r="H10"/>
      <c r="J10"/>
      <c r="M10" s="456"/>
      <c r="N10" s="287"/>
      <c r="O10" s="287"/>
    </row>
    <row r="11" spans="1:15" s="287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5">
      <c r="F13"/>
      <c r="H13"/>
      <c r="J13"/>
      <c r="M13" s="339"/>
      <c r="N13" s="287"/>
      <c r="O13" s="287"/>
    </row>
    <row r="14" spans="1:15" s="287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3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I23" sqref="I2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749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31" t="s">
        <v>17</v>
      </c>
      <c r="O4" s="89" t="s">
        <v>18</v>
      </c>
      <c r="P4" s="587" t="s">
        <v>508</v>
      </c>
    </row>
    <row r="5" spans="1:16" ht="15" customHeight="1" x14ac:dyDescent="0.25">
      <c r="A5" s="21">
        <v>1</v>
      </c>
      <c r="B5" s="21" t="s">
        <v>0</v>
      </c>
      <c r="C5" s="159">
        <v>3433011.42</v>
      </c>
      <c r="D5" s="204">
        <v>3427940.35</v>
      </c>
      <c r="E5" s="30">
        <v>1401861.7</v>
      </c>
      <c r="F5" s="48">
        <f>E5/D5</f>
        <v>0.40895160267301617</v>
      </c>
      <c r="G5" s="30">
        <v>1401861.7</v>
      </c>
      <c r="H5" s="48">
        <f>G5/D5</f>
        <v>0.40895160267301617</v>
      </c>
      <c r="I5" s="30">
        <v>1401861.7</v>
      </c>
      <c r="J5" s="153">
        <f>I5/D5</f>
        <v>0.40895160267301617</v>
      </c>
      <c r="K5" s="578">
        <v>1731077.63</v>
      </c>
      <c r="L5" s="48">
        <v>0.45605893732842506</v>
      </c>
      <c r="M5" s="210">
        <f>+G5/K5-1</f>
        <v>-0.19017976103128309</v>
      </c>
      <c r="N5" s="578">
        <v>1731077.63</v>
      </c>
      <c r="O5" s="48">
        <v>0.45605893732842506</v>
      </c>
      <c r="P5" s="210">
        <f>+I5/N5-1</f>
        <v>-0.19017976103128309</v>
      </c>
    </row>
    <row r="6" spans="1:16" ht="15" customHeight="1" x14ac:dyDescent="0.25">
      <c r="A6" s="23">
        <v>2</v>
      </c>
      <c r="B6" s="23" t="s">
        <v>1</v>
      </c>
      <c r="C6" s="159">
        <v>8432957.5999999996</v>
      </c>
      <c r="D6" s="204">
        <v>8776946.1699999999</v>
      </c>
      <c r="E6" s="30">
        <v>8157954.8600000003</v>
      </c>
      <c r="F6" s="48">
        <f t="shared" ref="F6:F17" si="0">E6/D6</f>
        <v>0.92947532114122566</v>
      </c>
      <c r="G6" s="30">
        <v>7818714.8399999999</v>
      </c>
      <c r="H6" s="280">
        <f t="shared" ref="H6:H17" si="1">G6/D6</f>
        <v>0.89082406210086162</v>
      </c>
      <c r="I6" s="30">
        <v>1999004.82</v>
      </c>
      <c r="J6" s="178">
        <f t="shared" ref="J6:J17" si="2">I6/D6</f>
        <v>0.22775630399018387</v>
      </c>
      <c r="K6" s="579">
        <v>7020311.5800000001</v>
      </c>
      <c r="L6" s="412">
        <v>0.8398927356706859</v>
      </c>
      <c r="M6" s="210">
        <f t="shared" ref="M6:M17" si="3">+G6/K6-1</f>
        <v>0.1137276103634135</v>
      </c>
      <c r="N6" s="579">
        <v>2120823.5299999998</v>
      </c>
      <c r="O6" s="412">
        <v>0.25373008821446935</v>
      </c>
      <c r="P6" s="210">
        <f>+I6/N6-1</f>
        <v>-5.7439342914117786E-2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4060522.45</v>
      </c>
      <c r="D8" s="204">
        <v>3939163.9</v>
      </c>
      <c r="E8" s="30">
        <v>3803281.64</v>
      </c>
      <c r="F8" s="48">
        <f t="shared" si="0"/>
        <v>0.96550479658894117</v>
      </c>
      <c r="G8" s="30">
        <v>3623454.14</v>
      </c>
      <c r="H8" s="48">
        <f t="shared" si="1"/>
        <v>0.91985361157478118</v>
      </c>
      <c r="I8" s="30">
        <v>1927436.6</v>
      </c>
      <c r="J8" s="178">
        <f t="shared" si="2"/>
        <v>0.48930094023251991</v>
      </c>
      <c r="K8" s="635">
        <v>3456143.45</v>
      </c>
      <c r="L8" s="414">
        <v>0.87527974771493411</v>
      </c>
      <c r="M8" s="443">
        <f t="shared" si="3"/>
        <v>4.8409648621500434E-2</v>
      </c>
      <c r="N8" s="635">
        <v>1651880.66</v>
      </c>
      <c r="O8" s="414">
        <v>0.41834423491304412</v>
      </c>
      <c r="P8" s="443">
        <f t="shared" ref="P8:P17" si="4">+I8/N8-1</f>
        <v>0.16681346702127997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15926491.469999999</v>
      </c>
      <c r="D10" s="152">
        <f t="shared" ref="D10:E10" si="5">SUM(D5:D9)</f>
        <v>16144050.42</v>
      </c>
      <c r="E10" s="84">
        <f t="shared" si="5"/>
        <v>13363098.200000001</v>
      </c>
      <c r="F10" s="90">
        <f t="shared" si="0"/>
        <v>0.82774135686823513</v>
      </c>
      <c r="G10" s="84">
        <f>SUM(G5:G9)</f>
        <v>12844030.68</v>
      </c>
      <c r="H10" s="90">
        <f t="shared" si="1"/>
        <v>0.79558910842400599</v>
      </c>
      <c r="I10" s="84">
        <f>SUM(I5:I9)</f>
        <v>5328303.12</v>
      </c>
      <c r="J10" s="170">
        <f t="shared" si="2"/>
        <v>0.33004747763913389</v>
      </c>
      <c r="K10" s="568">
        <f>SUM(K5:K9)</f>
        <v>12207532.66</v>
      </c>
      <c r="L10" s="90">
        <v>0.75809391481750921</v>
      </c>
      <c r="M10" s="213">
        <f t="shared" si="3"/>
        <v>5.2139776130650128E-2</v>
      </c>
      <c r="N10" s="568">
        <f>SUM(N5:N9)</f>
        <v>5503781.8199999994</v>
      </c>
      <c r="O10" s="90">
        <v>0.34178761773021832</v>
      </c>
      <c r="P10" s="213">
        <f t="shared" si="4"/>
        <v>-3.1883295112159704E-2</v>
      </c>
    </row>
    <row r="11" spans="1:16" ht="15" customHeight="1" x14ac:dyDescent="0.25">
      <c r="A11" s="21">
        <v>6</v>
      </c>
      <c r="B11" s="21" t="s">
        <v>5</v>
      </c>
      <c r="C11" s="159">
        <v>232973.89</v>
      </c>
      <c r="D11" s="204">
        <v>757973.89</v>
      </c>
      <c r="E11" s="30">
        <v>143072.68</v>
      </c>
      <c r="F11" s="48">
        <f t="shared" si="0"/>
        <v>0.18875673936472928</v>
      </c>
      <c r="G11" s="30">
        <v>130040.41</v>
      </c>
      <c r="H11" s="48">
        <f t="shared" si="1"/>
        <v>0.17156317877915295</v>
      </c>
      <c r="I11" s="30">
        <v>7746.21</v>
      </c>
      <c r="J11" s="153">
        <f t="shared" si="2"/>
        <v>1.0219626430667685E-2</v>
      </c>
      <c r="K11" s="565">
        <v>334798.32</v>
      </c>
      <c r="L11" s="48">
        <v>0.20059860289561943</v>
      </c>
      <c r="M11" s="224">
        <f t="shared" si="3"/>
        <v>-0.61158583471983974</v>
      </c>
      <c r="N11" s="565">
        <v>73008.259999999995</v>
      </c>
      <c r="O11" s="48">
        <v>4.3743812561067012E-2</v>
      </c>
      <c r="P11" s="224">
        <f t="shared" si="4"/>
        <v>-0.89389953958634272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224" t="s">
        <v>129</v>
      </c>
      <c r="N12" s="569"/>
      <c r="O12" s="521"/>
      <c r="P12" s="559" t="s">
        <v>129</v>
      </c>
    </row>
    <row r="13" spans="1:16" ht="15" customHeight="1" x14ac:dyDescent="0.25">
      <c r="A13" s="9"/>
      <c r="B13" s="2" t="s">
        <v>7</v>
      </c>
      <c r="C13" s="162">
        <f>SUM(C11:C12)</f>
        <v>232973.89</v>
      </c>
      <c r="D13" s="152">
        <f t="shared" ref="D13:I13" si="6">SUM(D11:D12)</f>
        <v>757973.89</v>
      </c>
      <c r="E13" s="84">
        <f t="shared" si="6"/>
        <v>143072.68</v>
      </c>
      <c r="F13" s="90">
        <f t="shared" si="0"/>
        <v>0.18875673936472928</v>
      </c>
      <c r="G13" s="84">
        <f t="shared" si="6"/>
        <v>130040.41</v>
      </c>
      <c r="H13" s="90">
        <v>0.7692499847597406</v>
      </c>
      <c r="I13" s="84">
        <f t="shared" si="6"/>
        <v>7746.21</v>
      </c>
      <c r="J13" s="170">
        <f t="shared" si="2"/>
        <v>1.0219626430667685E-2</v>
      </c>
      <c r="K13" s="568">
        <f>SUM(K11:K12)</f>
        <v>334798.32</v>
      </c>
      <c r="L13" s="90">
        <v>0.20059860289561943</v>
      </c>
      <c r="M13" s="213">
        <f t="shared" si="3"/>
        <v>-0.61158583471983974</v>
      </c>
      <c r="N13" s="568">
        <f>SUM(N11:N12)</f>
        <v>73008.259999999995</v>
      </c>
      <c r="O13" s="90">
        <v>4.3743812561067012E-2</v>
      </c>
      <c r="P13" s="213">
        <f t="shared" si="4"/>
        <v>-0.89389953958634272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 t="s">
        <v>129</v>
      </c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16902024.309999999</v>
      </c>
      <c r="E17" s="155">
        <f t="shared" si="8"/>
        <v>13506170.880000001</v>
      </c>
      <c r="F17" s="181">
        <f t="shared" si="0"/>
        <v>0.79908599303156502</v>
      </c>
      <c r="G17" s="155">
        <f t="shared" si="8"/>
        <v>12974071.09</v>
      </c>
      <c r="H17" s="181">
        <f t="shared" si="1"/>
        <v>0.76760456925410736</v>
      </c>
      <c r="I17" s="155">
        <f t="shared" si="8"/>
        <v>5336049.33</v>
      </c>
      <c r="J17" s="173">
        <f t="shared" si="2"/>
        <v>0.31570474826751688</v>
      </c>
      <c r="K17" s="576">
        <f>K10+K13+K16</f>
        <v>12542330.98</v>
      </c>
      <c r="L17" s="181">
        <v>0.70573844010318409</v>
      </c>
      <c r="M17" s="607">
        <f t="shared" si="3"/>
        <v>3.4422637282372159E-2</v>
      </c>
      <c r="N17" s="576">
        <f>N10+N13+N16</f>
        <v>5576790.0799999991</v>
      </c>
      <c r="O17" s="181">
        <v>0.31379774127457377</v>
      </c>
      <c r="P17" s="607">
        <f t="shared" si="4"/>
        <v>-4.3168336363128668E-2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5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J20" sqref="J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750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4017719</v>
      </c>
      <c r="D5" s="204">
        <v>4117127.04</v>
      </c>
      <c r="E5" s="30">
        <v>1683667.62</v>
      </c>
      <c r="F5" s="48">
        <f>E5/D5</f>
        <v>0.4089423531609071</v>
      </c>
      <c r="G5" s="30">
        <v>1683667.62</v>
      </c>
      <c r="H5" s="48">
        <f>G5/D5</f>
        <v>0.4089423531609071</v>
      </c>
      <c r="I5" s="30">
        <v>1683667.62</v>
      </c>
      <c r="J5" s="153">
        <f>I5/D5</f>
        <v>0.4089423531609071</v>
      </c>
      <c r="K5" s="578">
        <v>2144551.9300000002</v>
      </c>
      <c r="L5" s="48">
        <v>0.47289594756707864</v>
      </c>
      <c r="M5" s="210">
        <f>+G5/K5-1</f>
        <v>-0.2149093727005249</v>
      </c>
      <c r="N5" s="578">
        <v>2144551.9300000002</v>
      </c>
      <c r="O5" s="48">
        <v>0.47289594756707864</v>
      </c>
      <c r="P5" s="210">
        <f>+I5/N5-1</f>
        <v>-0.2149093727005249</v>
      </c>
    </row>
    <row r="6" spans="1:16" ht="15" customHeight="1" x14ac:dyDescent="0.25">
      <c r="A6" s="23">
        <v>2</v>
      </c>
      <c r="B6" s="23" t="s">
        <v>1</v>
      </c>
      <c r="C6" s="159">
        <v>11569157.5</v>
      </c>
      <c r="D6" s="204">
        <v>12027294.449999999</v>
      </c>
      <c r="E6" s="30">
        <v>11213273.33</v>
      </c>
      <c r="F6" s="48">
        <f t="shared" ref="F6:F17" si="0">E6/D6</f>
        <v>0.93231884998042935</v>
      </c>
      <c r="G6" s="30">
        <v>10734707.52</v>
      </c>
      <c r="H6" s="280">
        <f t="shared" ref="H6:H17" si="1">G6/D6</f>
        <v>0.89252886961622535</v>
      </c>
      <c r="I6" s="30">
        <v>2465972.75</v>
      </c>
      <c r="J6" s="178">
        <f t="shared" ref="J6:J17" si="2">I6/D6</f>
        <v>0.20503137760961695</v>
      </c>
      <c r="K6" s="579">
        <v>10072039.939999999</v>
      </c>
      <c r="L6" s="412">
        <v>0.85499558083127059</v>
      </c>
      <c r="M6" s="210">
        <f t="shared" ref="M6:M17" si="3">+G6/K6-1</f>
        <v>6.5792787156084387E-2</v>
      </c>
      <c r="N6" s="579">
        <v>2823310.95</v>
      </c>
      <c r="O6" s="412">
        <v>0.23966529123617997</v>
      </c>
      <c r="P6" s="210">
        <f>+I6/N6-1</f>
        <v>-0.12656707189833272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5903469.7199999997</v>
      </c>
      <c r="D8" s="204">
        <v>5765649.6699999999</v>
      </c>
      <c r="E8" s="30">
        <v>5528991.6799999997</v>
      </c>
      <c r="F8" s="48">
        <f t="shared" si="0"/>
        <v>0.95895380337945502</v>
      </c>
      <c r="G8" s="30">
        <v>5105343.68</v>
      </c>
      <c r="H8" s="48">
        <f t="shared" si="1"/>
        <v>0.88547587387493831</v>
      </c>
      <c r="I8" s="30">
        <v>3378683.92</v>
      </c>
      <c r="J8" s="178">
        <f t="shared" si="2"/>
        <v>0.58600229174173879</v>
      </c>
      <c r="K8" s="635">
        <v>5293203.76</v>
      </c>
      <c r="L8" s="414">
        <v>0.94720217885693669</v>
      </c>
      <c r="M8" s="443">
        <f t="shared" si="3"/>
        <v>-3.5490808311524402E-2</v>
      </c>
      <c r="N8" s="635">
        <v>4807541.12</v>
      </c>
      <c r="O8" s="414">
        <v>0.86029437563316435</v>
      </c>
      <c r="P8" s="443">
        <f t="shared" ref="P8:P17" si="4">+I8/N8-1</f>
        <v>-0.29721164402645817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21490346.219999999</v>
      </c>
      <c r="D10" s="152">
        <f t="shared" ref="D10:E10" si="5">SUM(D5:D9)</f>
        <v>21910071.159999996</v>
      </c>
      <c r="E10" s="84">
        <f t="shared" si="5"/>
        <v>18425932.629999999</v>
      </c>
      <c r="F10" s="90">
        <f t="shared" si="0"/>
        <v>0.8409800449958923</v>
      </c>
      <c r="G10" s="84">
        <f>SUM(G5:G9)</f>
        <v>17523718.82</v>
      </c>
      <c r="H10" s="90">
        <f t="shared" si="1"/>
        <v>0.79980200392922884</v>
      </c>
      <c r="I10" s="84">
        <f>SUM(I5:I9)</f>
        <v>7528324.29</v>
      </c>
      <c r="J10" s="170">
        <f t="shared" si="2"/>
        <v>0.34360108805780809</v>
      </c>
      <c r="K10" s="568">
        <f>SUM(K5:K9)</f>
        <v>17509795.629999999</v>
      </c>
      <c r="L10" s="90">
        <v>0.79940957823057845</v>
      </c>
      <c r="M10" s="213">
        <f t="shared" si="3"/>
        <v>7.9516576287996799E-4</v>
      </c>
      <c r="N10" s="568">
        <f>SUM(N5:N9)</f>
        <v>9775404</v>
      </c>
      <c r="O10" s="90">
        <v>0.4462959907587174</v>
      </c>
      <c r="P10" s="213">
        <f t="shared" si="4"/>
        <v>-0.22987077669628797</v>
      </c>
    </row>
    <row r="11" spans="1:16" ht="15" customHeight="1" x14ac:dyDescent="0.25">
      <c r="A11" s="21">
        <v>6</v>
      </c>
      <c r="B11" s="21" t="s">
        <v>5</v>
      </c>
      <c r="C11" s="159">
        <v>596115.53</v>
      </c>
      <c r="D11" s="204">
        <v>1147120.8400000001</v>
      </c>
      <c r="E11" s="30">
        <v>575722.4</v>
      </c>
      <c r="F11" s="48">
        <f t="shared" si="0"/>
        <v>0.50188470117934569</v>
      </c>
      <c r="G11" s="30">
        <v>176199.29</v>
      </c>
      <c r="H11" s="48">
        <f t="shared" si="1"/>
        <v>0.15360133288137282</v>
      </c>
      <c r="I11" s="30">
        <v>30870.53</v>
      </c>
      <c r="J11" s="153">
        <f t="shared" si="2"/>
        <v>2.691131476610607E-2</v>
      </c>
      <c r="K11" s="565">
        <v>118965.33</v>
      </c>
      <c r="L11" s="48">
        <v>0.20519003348901102</v>
      </c>
      <c r="M11" s="224">
        <f t="shared" si="3"/>
        <v>0.48109781227858583</v>
      </c>
      <c r="N11" s="565">
        <v>57010.080000000002</v>
      </c>
      <c r="O11" s="48">
        <v>9.8330330562788323E-2</v>
      </c>
      <c r="P11" s="224">
        <f t="shared" si="4"/>
        <v>-0.45850751305734005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224" t="s">
        <v>129</v>
      </c>
      <c r="N12" s="569"/>
      <c r="O12" s="390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596115.53</v>
      </c>
      <c r="D13" s="152">
        <f t="shared" ref="D13:I13" si="6">SUM(D11:D12)</f>
        <v>1147120.8400000001</v>
      </c>
      <c r="E13" s="84">
        <f t="shared" si="6"/>
        <v>575722.4</v>
      </c>
      <c r="F13" s="90">
        <f t="shared" si="0"/>
        <v>0.50188470117934569</v>
      </c>
      <c r="G13" s="84">
        <f t="shared" si="6"/>
        <v>176199.29</v>
      </c>
      <c r="H13" s="90">
        <f t="shared" si="1"/>
        <v>0.15360133288137282</v>
      </c>
      <c r="I13" s="84">
        <f t="shared" si="6"/>
        <v>30870.53</v>
      </c>
      <c r="J13" s="170">
        <f t="shared" si="2"/>
        <v>2.691131476610607E-2</v>
      </c>
      <c r="K13" s="568">
        <f>SUM(K11:K12)</f>
        <v>118965.33</v>
      </c>
      <c r="L13" s="90">
        <v>0.20519003348901102</v>
      </c>
      <c r="M13" s="213">
        <f t="shared" si="3"/>
        <v>0.48109781227858583</v>
      </c>
      <c r="N13" s="568">
        <f>SUM(N11:N12)</f>
        <v>57010.080000000002</v>
      </c>
      <c r="O13" s="90">
        <v>9.8330330562788323E-2</v>
      </c>
      <c r="P13" s="213">
        <f t="shared" si="4"/>
        <v>-0.45850751305734005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 t="s">
        <v>129</v>
      </c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22086461.75</v>
      </c>
      <c r="D17" s="154">
        <f t="shared" ref="D17:I17" si="8">+D10+D13+D16</f>
        <v>23057191.999999996</v>
      </c>
      <c r="E17" s="155">
        <f t="shared" si="8"/>
        <v>19001655.029999997</v>
      </c>
      <c r="F17" s="181">
        <f t="shared" si="0"/>
        <v>0.82410967606116137</v>
      </c>
      <c r="G17" s="155">
        <f t="shared" si="8"/>
        <v>17699918.109999999</v>
      </c>
      <c r="H17" s="181">
        <f t="shared" si="1"/>
        <v>0.76765280481682252</v>
      </c>
      <c r="I17" s="155">
        <f t="shared" si="8"/>
        <v>7559194.8200000003</v>
      </c>
      <c r="J17" s="173">
        <f t="shared" si="2"/>
        <v>0.32784542107295639</v>
      </c>
      <c r="K17" s="576">
        <f>K10+K13+K16</f>
        <v>17628760.959999997</v>
      </c>
      <c r="L17" s="181">
        <v>0.78408624902368629</v>
      </c>
      <c r="M17" s="607">
        <f t="shared" si="3"/>
        <v>4.036423782786569E-3</v>
      </c>
      <c r="N17" s="576">
        <f>N10+N13+N16</f>
        <v>9832414.0800000001</v>
      </c>
      <c r="O17" s="181">
        <v>0.43732288913144801</v>
      </c>
      <c r="P17" s="607">
        <f t="shared" si="4"/>
        <v>-0.23119645302814584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B1" workbookViewId="0">
      <selection activeCell="F37" sqref="F3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zoomScaleNormal="100" workbookViewId="0">
      <selection activeCell="J21" sqref="J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751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4102543.82</v>
      </c>
      <c r="D5" s="204">
        <v>4138812.57</v>
      </c>
      <c r="E5" s="30">
        <v>1652529.27</v>
      </c>
      <c r="F5" s="48">
        <f>E5/D5</f>
        <v>0.39927617935112247</v>
      </c>
      <c r="G5" s="30">
        <v>1652529.27</v>
      </c>
      <c r="H5" s="48">
        <f>G5/D5</f>
        <v>0.39927617935112247</v>
      </c>
      <c r="I5" s="30">
        <v>1652529.27</v>
      </c>
      <c r="J5" s="153">
        <f>I5/D5</f>
        <v>0.39927617935112247</v>
      </c>
      <c r="K5" s="578">
        <v>2084433.83</v>
      </c>
      <c r="L5" s="48">
        <v>0.46828457905519966</v>
      </c>
      <c r="M5" s="210">
        <f>+G5/K5-1</f>
        <v>-0.20720473530215155</v>
      </c>
      <c r="N5" s="578">
        <v>2084433.83</v>
      </c>
      <c r="O5" s="48">
        <v>0.46828457905519966</v>
      </c>
      <c r="P5" s="210">
        <f>+I5/N5-1</f>
        <v>-0.20720473530215155</v>
      </c>
    </row>
    <row r="6" spans="1:16" ht="15" customHeight="1" x14ac:dyDescent="0.25">
      <c r="A6" s="23">
        <v>2</v>
      </c>
      <c r="B6" s="23" t="s">
        <v>1</v>
      </c>
      <c r="C6" s="159">
        <v>12035819.98</v>
      </c>
      <c r="D6" s="204">
        <v>12460608.970000001</v>
      </c>
      <c r="E6" s="30">
        <v>11513785</v>
      </c>
      <c r="F6" s="48">
        <f t="shared" ref="F6:F17" si="0">E6/D6</f>
        <v>0.92401463104415194</v>
      </c>
      <c r="G6" s="30">
        <v>11063346.880000001</v>
      </c>
      <c r="H6" s="280">
        <f t="shared" ref="H6:H17" si="1">G6/D6</f>
        <v>0.88786566584634585</v>
      </c>
      <c r="I6" s="30">
        <v>2947843.74</v>
      </c>
      <c r="J6" s="178">
        <f t="shared" ref="J6:J17" si="2">I6/D6</f>
        <v>0.23657300755502322</v>
      </c>
      <c r="K6" s="579">
        <v>10338339.51</v>
      </c>
      <c r="L6" s="412">
        <v>0.87714263007696447</v>
      </c>
      <c r="M6" s="210">
        <f t="shared" ref="M6:M17" si="3">+G6/K6-1</f>
        <v>7.0128028712804547E-2</v>
      </c>
      <c r="N6" s="579">
        <v>2740015.58</v>
      </c>
      <c r="O6" s="412">
        <v>0.23247296821393121</v>
      </c>
      <c r="P6" s="210">
        <f>+I6/N6-1</f>
        <v>7.5849262141786777E-2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8849400</v>
      </c>
      <c r="D8" s="204">
        <v>8862426.2599999998</v>
      </c>
      <c r="E8" s="30">
        <v>8629676.8000000007</v>
      </c>
      <c r="F8" s="48">
        <f t="shared" si="0"/>
        <v>0.9737375010892334</v>
      </c>
      <c r="G8" s="30">
        <v>8482416.8000000007</v>
      </c>
      <c r="H8" s="48">
        <f t="shared" si="1"/>
        <v>0.95712128385032125</v>
      </c>
      <c r="I8" s="30">
        <v>4509350.0999999996</v>
      </c>
      <c r="J8" s="178">
        <f t="shared" si="2"/>
        <v>0.50881665671540377</v>
      </c>
      <c r="K8" s="635">
        <v>8468866.3800000008</v>
      </c>
      <c r="L8" s="414">
        <v>0.96027574873946098</v>
      </c>
      <c r="M8" s="443">
        <f t="shared" si="3"/>
        <v>1.6000276060561536E-3</v>
      </c>
      <c r="N8" s="635">
        <v>2660246.85</v>
      </c>
      <c r="O8" s="414">
        <v>0.30164256006546447</v>
      </c>
      <c r="P8" s="443">
        <f t="shared" ref="P8:P17" si="4">+I8/N8-1</f>
        <v>0.69508709313949546</v>
      </c>
    </row>
    <row r="9" spans="1:16" ht="15" customHeight="1" x14ac:dyDescent="0.25">
      <c r="A9" s="55">
        <v>5</v>
      </c>
      <c r="B9" s="55" t="s">
        <v>453</v>
      </c>
      <c r="C9" s="176">
        <v>150000</v>
      </c>
      <c r="D9" s="516">
        <v>0</v>
      </c>
      <c r="E9" s="180">
        <v>0</v>
      </c>
      <c r="F9" s="390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25461847.800000001</v>
      </c>
      <c r="E10" s="84">
        <f t="shared" si="5"/>
        <v>21795991.07</v>
      </c>
      <c r="F10" s="90">
        <f t="shared" si="0"/>
        <v>0.85602550298804314</v>
      </c>
      <c r="G10" s="84">
        <f>SUM(G5:G9)</f>
        <v>21198292.950000003</v>
      </c>
      <c r="H10" s="90">
        <f t="shared" si="1"/>
        <v>0.8325512396629754</v>
      </c>
      <c r="I10" s="84">
        <f>SUM(I5:I9)</f>
        <v>9109723.1099999994</v>
      </c>
      <c r="J10" s="170">
        <f t="shared" si="2"/>
        <v>0.35777934035093867</v>
      </c>
      <c r="K10" s="568">
        <f>SUM(K5:K9)</f>
        <v>20891639.719999999</v>
      </c>
      <c r="L10" s="90">
        <v>0.83377132804491383</v>
      </c>
      <c r="M10" s="213">
        <f t="shared" si="3"/>
        <v>1.4678274855871587E-2</v>
      </c>
      <c r="N10" s="568">
        <f>SUM(N5:N9)</f>
        <v>7484696.2599999998</v>
      </c>
      <c r="O10" s="90">
        <v>0.29870920733612</v>
      </c>
      <c r="P10" s="213">
        <f t="shared" si="4"/>
        <v>0.21711326599644809</v>
      </c>
    </row>
    <row r="11" spans="1:16" ht="15" customHeight="1" x14ac:dyDescent="0.25">
      <c r="A11" s="21">
        <v>6</v>
      </c>
      <c r="B11" s="21" t="s">
        <v>5</v>
      </c>
      <c r="C11" s="159">
        <v>533716.47</v>
      </c>
      <c r="D11" s="204">
        <v>1220516.47</v>
      </c>
      <c r="E11" s="30">
        <v>292936.74</v>
      </c>
      <c r="F11" s="48">
        <f t="shared" si="0"/>
        <v>0.24001047687623583</v>
      </c>
      <c r="G11" s="30">
        <v>164567.10999999999</v>
      </c>
      <c r="H11" s="48">
        <f t="shared" si="1"/>
        <v>0.1348339936781025</v>
      </c>
      <c r="I11" s="30">
        <v>4727.66</v>
      </c>
      <c r="J11" s="153">
        <f t="shared" si="2"/>
        <v>3.8734913589490521E-3</v>
      </c>
      <c r="K11" s="565">
        <v>561571.16</v>
      </c>
      <c r="L11" s="48">
        <v>0.21548593120598325</v>
      </c>
      <c r="M11" s="224">
        <f t="shared" si="3"/>
        <v>-0.70695234776657689</v>
      </c>
      <c r="N11" s="565">
        <v>0</v>
      </c>
      <c r="O11" s="48">
        <v>0</v>
      </c>
      <c r="P11" s="224" t="s">
        <v>129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224" t="s">
        <v>129</v>
      </c>
      <c r="N12" s="569"/>
      <c r="O12" s="521"/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533716.47</v>
      </c>
      <c r="D13" s="152">
        <f t="shared" ref="D13:I13" si="6">SUM(D11:D12)</f>
        <v>1220516.47</v>
      </c>
      <c r="E13" s="84">
        <f t="shared" si="6"/>
        <v>292936.74</v>
      </c>
      <c r="F13" s="90">
        <f t="shared" si="0"/>
        <v>0.24001047687623583</v>
      </c>
      <c r="G13" s="84">
        <f t="shared" si="6"/>
        <v>164567.10999999999</v>
      </c>
      <c r="H13" s="90">
        <f t="shared" si="1"/>
        <v>0.1348339936781025</v>
      </c>
      <c r="I13" s="84">
        <f t="shared" si="6"/>
        <v>4727.66</v>
      </c>
      <c r="J13" s="170">
        <f t="shared" si="2"/>
        <v>3.8734913589490521E-3</v>
      </c>
      <c r="K13" s="568">
        <f>SUM(K11:K12)</f>
        <v>561571.16</v>
      </c>
      <c r="L13" s="90">
        <v>0.21548593120598325</v>
      </c>
      <c r="M13" s="213">
        <f t="shared" si="3"/>
        <v>-0.70695234776657689</v>
      </c>
      <c r="N13" s="568">
        <f>SUM(N11:N12)</f>
        <v>0</v>
      </c>
      <c r="O13" s="90">
        <v>0</v>
      </c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 t="s">
        <v>129</v>
      </c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25671480.27</v>
      </c>
      <c r="D17" s="154">
        <f t="shared" ref="D17:I17" si="8">+D10+D13+D16</f>
        <v>26682364.27</v>
      </c>
      <c r="E17" s="155">
        <f t="shared" si="8"/>
        <v>22088927.809999999</v>
      </c>
      <c r="F17" s="181">
        <f t="shared" si="0"/>
        <v>0.82784747207860521</v>
      </c>
      <c r="G17" s="155">
        <f t="shared" si="8"/>
        <v>21362860.060000002</v>
      </c>
      <c r="H17" s="181">
        <f t="shared" si="1"/>
        <v>0.80063594979171626</v>
      </c>
      <c r="I17" s="155">
        <f t="shared" si="8"/>
        <v>9114450.7699999996</v>
      </c>
      <c r="J17" s="173">
        <f t="shared" si="2"/>
        <v>0.34159082297844662</v>
      </c>
      <c r="K17" s="576">
        <f>K10+K13+K16</f>
        <v>21453210.879999999</v>
      </c>
      <c r="L17" s="181">
        <v>0.77552377583009391</v>
      </c>
      <c r="M17" s="607">
        <f t="shared" si="3"/>
        <v>-4.2115290109895342E-3</v>
      </c>
      <c r="N17" s="576">
        <f>N10+N13+N16</f>
        <v>7484696.2599999998</v>
      </c>
      <c r="O17" s="181">
        <v>0.27056835160782156</v>
      </c>
      <c r="P17" s="607">
        <f t="shared" si="4"/>
        <v>0.21774490953090453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3" workbookViewId="0">
      <selection activeCell="E1" sqref="E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J17" sqref="J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752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4200092.13</v>
      </c>
      <c r="D5" s="204">
        <v>4265449.1399999997</v>
      </c>
      <c r="E5" s="30">
        <v>1743408.62</v>
      </c>
      <c r="F5" s="48">
        <f>E5/D5</f>
        <v>0.40872802904877686</v>
      </c>
      <c r="G5" s="30">
        <v>1743408.62</v>
      </c>
      <c r="H5" s="48">
        <f>G5/D5</f>
        <v>0.40872802904877686</v>
      </c>
      <c r="I5" s="30">
        <v>1743408.62</v>
      </c>
      <c r="J5" s="153">
        <f>I5/D5</f>
        <v>0.40872802904877686</v>
      </c>
      <c r="K5" s="578">
        <v>2023416.43</v>
      </c>
      <c r="L5" s="48">
        <v>0.45414137027303697</v>
      </c>
      <c r="M5" s="210">
        <f>+G5/K5-1</f>
        <v>-0.13838367913222882</v>
      </c>
      <c r="N5" s="578">
        <v>2023416.43</v>
      </c>
      <c r="O5" s="48">
        <v>0.45414137027303697</v>
      </c>
      <c r="P5" s="210">
        <f>+I5/N5-1</f>
        <v>-0.13838367913222882</v>
      </c>
    </row>
    <row r="6" spans="1:16" ht="15" customHeight="1" x14ac:dyDescent="0.25">
      <c r="A6" s="23">
        <v>2</v>
      </c>
      <c r="B6" s="23" t="s">
        <v>1</v>
      </c>
      <c r="C6" s="159">
        <v>13635192.460000001</v>
      </c>
      <c r="D6" s="204">
        <v>14041950.67</v>
      </c>
      <c r="E6" s="30">
        <v>13315146.17</v>
      </c>
      <c r="F6" s="48">
        <f t="shared" ref="F6:F17" si="0">E6/D6</f>
        <v>0.94824048901177349</v>
      </c>
      <c r="G6" s="30">
        <v>12559013.140000001</v>
      </c>
      <c r="H6" s="280">
        <f t="shared" ref="H6:H17" si="1">G6/D6</f>
        <v>0.89439234157343761</v>
      </c>
      <c r="I6" s="30">
        <v>3594163.19</v>
      </c>
      <c r="J6" s="178">
        <f t="shared" ref="J6:J17" si="2">I6/D6</f>
        <v>0.25595896713116711</v>
      </c>
      <c r="K6" s="579">
        <v>11568168.640000001</v>
      </c>
      <c r="L6" s="412">
        <v>0.87984889509166553</v>
      </c>
      <c r="M6" s="210">
        <f t="shared" ref="M6:M17" si="3">+G6/K6-1</f>
        <v>8.5652667317961839E-2</v>
      </c>
      <c r="N6" s="579">
        <v>3014805.48</v>
      </c>
      <c r="O6" s="412">
        <v>0.22929932585200438</v>
      </c>
      <c r="P6" s="210">
        <f>+I6/N6-1</f>
        <v>0.19217084281006414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13307434.48</v>
      </c>
      <c r="D8" s="204">
        <v>13138971.41</v>
      </c>
      <c r="E8" s="30">
        <v>12888334.08</v>
      </c>
      <c r="F8" s="48">
        <f t="shared" si="0"/>
        <v>0.98092412851973776</v>
      </c>
      <c r="G8" s="30">
        <v>12546484.08</v>
      </c>
      <c r="H8" s="48">
        <f t="shared" si="1"/>
        <v>0.95490611011231352</v>
      </c>
      <c r="I8" s="30">
        <v>5336818.74</v>
      </c>
      <c r="J8" s="178">
        <f t="shared" si="2"/>
        <v>0.40618238471378182</v>
      </c>
      <c r="K8" s="635">
        <v>12578717.800000001</v>
      </c>
      <c r="L8" s="414">
        <v>0.93678721462953096</v>
      </c>
      <c r="M8" s="443">
        <f t="shared" si="3"/>
        <v>-2.5625600726968401E-3</v>
      </c>
      <c r="N8" s="635">
        <v>4196550.82</v>
      </c>
      <c r="O8" s="414">
        <v>0.31253385410387968</v>
      </c>
      <c r="P8" s="443">
        <f t="shared" ref="P8:P17" si="4">+I8/N8-1</f>
        <v>0.27171550373361142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31142719.07</v>
      </c>
      <c r="D10" s="152">
        <f t="shared" ref="D10:E10" si="5">SUM(D5:D9)</f>
        <v>31446371.219999999</v>
      </c>
      <c r="E10" s="84">
        <f t="shared" si="5"/>
        <v>27946888.869999997</v>
      </c>
      <c r="F10" s="90">
        <f t="shared" si="0"/>
        <v>0.88871586086936738</v>
      </c>
      <c r="G10" s="84">
        <f>SUM(G5:G9)</f>
        <v>26848905.840000004</v>
      </c>
      <c r="H10" s="90">
        <f t="shared" si="1"/>
        <v>0.85379981213616174</v>
      </c>
      <c r="I10" s="84">
        <f>SUM(I5:I9)</f>
        <v>10674390.550000001</v>
      </c>
      <c r="J10" s="170">
        <f t="shared" si="2"/>
        <v>0.33944745087824479</v>
      </c>
      <c r="K10" s="568">
        <f>SUM(K5:K9)</f>
        <v>26170302.870000001</v>
      </c>
      <c r="L10" s="90">
        <v>0.84336298090287465</v>
      </c>
      <c r="M10" s="213">
        <f t="shared" si="3"/>
        <v>2.593026811233079E-2</v>
      </c>
      <c r="N10" s="568">
        <f>SUM(N5:N9)</f>
        <v>9234772.7300000004</v>
      </c>
      <c r="O10" s="90">
        <v>0.29759936276707594</v>
      </c>
      <c r="P10" s="213">
        <f t="shared" si="4"/>
        <v>0.15589098531069112</v>
      </c>
    </row>
    <row r="11" spans="1:16" ht="15" customHeight="1" x14ac:dyDescent="0.25">
      <c r="A11" s="21">
        <v>6</v>
      </c>
      <c r="B11" s="21" t="s">
        <v>5</v>
      </c>
      <c r="C11" s="159">
        <v>771687.76</v>
      </c>
      <c r="D11" s="204">
        <v>944632.09</v>
      </c>
      <c r="E11" s="30">
        <v>593801.31000000006</v>
      </c>
      <c r="F11" s="48">
        <f t="shared" si="0"/>
        <v>0.62860590518367854</v>
      </c>
      <c r="G11" s="30">
        <v>537081.67000000004</v>
      </c>
      <c r="H11" s="48">
        <f t="shared" si="1"/>
        <v>0.56856174555746886</v>
      </c>
      <c r="I11" s="30">
        <v>154414.65</v>
      </c>
      <c r="J11" s="153">
        <f t="shared" si="2"/>
        <v>0.16346538682589112</v>
      </c>
      <c r="K11" s="565">
        <v>358482.95</v>
      </c>
      <c r="L11" s="48">
        <v>0.33554510036111801</v>
      </c>
      <c r="M11" s="224">
        <f t="shared" si="3"/>
        <v>0.49820701375058429</v>
      </c>
      <c r="N11" s="565">
        <v>107385.08</v>
      </c>
      <c r="O11" s="48">
        <v>0.10051395037305592</v>
      </c>
      <c r="P11" s="224">
        <f t="shared" si="4"/>
        <v>0.43795255355771956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0</v>
      </c>
      <c r="J12" s="153">
        <f t="shared" si="2"/>
        <v>0</v>
      </c>
      <c r="K12" s="569"/>
      <c r="L12" s="390"/>
      <c r="M12" s="559" t="s">
        <v>129</v>
      </c>
      <c r="N12" s="569"/>
      <c r="O12" s="390"/>
      <c r="P12" s="559" t="s">
        <v>129</v>
      </c>
    </row>
    <row r="13" spans="1:16" ht="15" customHeight="1" x14ac:dyDescent="0.25">
      <c r="A13" s="9"/>
      <c r="B13" s="2" t="s">
        <v>7</v>
      </c>
      <c r="C13" s="162">
        <f>SUM(C11:C12)</f>
        <v>771687.76</v>
      </c>
      <c r="D13" s="152">
        <f t="shared" ref="D13:I13" si="6">SUM(D11:D12)</f>
        <v>1157824.0899999999</v>
      </c>
      <c r="E13" s="84">
        <f t="shared" si="6"/>
        <v>806993.31</v>
      </c>
      <c r="F13" s="90">
        <f t="shared" si="0"/>
        <v>0.69699129338378174</v>
      </c>
      <c r="G13" s="84">
        <f t="shared" si="6"/>
        <v>750273.67</v>
      </c>
      <c r="H13" s="90">
        <f t="shared" si="1"/>
        <v>0.64800316082557941</v>
      </c>
      <c r="I13" s="84">
        <f t="shared" si="6"/>
        <v>154414.65</v>
      </c>
      <c r="J13" s="170">
        <f t="shared" si="2"/>
        <v>0.13336624391707036</v>
      </c>
      <c r="K13" s="568">
        <f>SUM(K11:K12)</f>
        <v>358482.95</v>
      </c>
      <c r="L13" s="90">
        <v>0.33554510036111801</v>
      </c>
      <c r="M13" s="629">
        <f t="shared" si="3"/>
        <v>1.0929131218095591</v>
      </c>
      <c r="N13" s="568">
        <f>SUM(N11:N12)</f>
        <v>107385.08</v>
      </c>
      <c r="O13" s="90">
        <v>0.10051395037305592</v>
      </c>
      <c r="P13" s="213">
        <f t="shared" si="4"/>
        <v>0.43795255355771956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 t="s">
        <v>129</v>
      </c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32604195.309999999</v>
      </c>
      <c r="E17" s="155">
        <f t="shared" si="8"/>
        <v>28753882.179999996</v>
      </c>
      <c r="F17" s="181">
        <f t="shared" si="0"/>
        <v>0.88190743266652327</v>
      </c>
      <c r="G17" s="155">
        <f t="shared" si="8"/>
        <v>27599179.510000005</v>
      </c>
      <c r="H17" s="181">
        <f t="shared" si="1"/>
        <v>0.84649166303868539</v>
      </c>
      <c r="I17" s="155">
        <f t="shared" si="8"/>
        <v>10828805.200000001</v>
      </c>
      <c r="J17" s="173">
        <f t="shared" si="2"/>
        <v>0.33212919678096486</v>
      </c>
      <c r="K17" s="576">
        <f>K10+K13+K16</f>
        <v>26528785.82</v>
      </c>
      <c r="L17" s="181">
        <v>0.82646126788247654</v>
      </c>
      <c r="M17" s="607">
        <f t="shared" si="3"/>
        <v>4.0348385985800928E-2</v>
      </c>
      <c r="N17" s="576">
        <f>N10+N13+N16</f>
        <v>9342157.8100000005</v>
      </c>
      <c r="O17" s="181">
        <v>0.29103976491038597</v>
      </c>
      <c r="P17" s="607">
        <f t="shared" si="4"/>
        <v>0.15913319173528295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K36" sqref="K3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J17" sqref="J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753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3911994.03</v>
      </c>
      <c r="D5" s="204">
        <v>3916460.54</v>
      </c>
      <c r="E5" s="30">
        <v>1680855.93</v>
      </c>
      <c r="F5" s="48">
        <f>E5/D5</f>
        <v>0.42917729231098034</v>
      </c>
      <c r="G5" s="30">
        <v>1680855.93</v>
      </c>
      <c r="H5" s="48">
        <f>G5/D5</f>
        <v>0.42917729231098034</v>
      </c>
      <c r="I5" s="30">
        <v>1680855.93</v>
      </c>
      <c r="J5" s="153">
        <f>I5/D5</f>
        <v>0.42917729231098034</v>
      </c>
      <c r="K5" s="578">
        <v>1964188.77</v>
      </c>
      <c r="L5" s="48">
        <v>0.46001533324512073</v>
      </c>
      <c r="M5" s="210">
        <f>+G5/K5-1</f>
        <v>-0.1442492922917995</v>
      </c>
      <c r="N5" s="578">
        <v>1964188.77</v>
      </c>
      <c r="O5" s="48">
        <v>0.46001533324512073</v>
      </c>
      <c r="P5" s="210">
        <f>+I5/N5-1</f>
        <v>-0.1442492922917995</v>
      </c>
    </row>
    <row r="6" spans="1:16" ht="15" customHeight="1" x14ac:dyDescent="0.25">
      <c r="A6" s="23">
        <v>2</v>
      </c>
      <c r="B6" s="23" t="s">
        <v>1</v>
      </c>
      <c r="C6" s="159">
        <v>15815035.859999999</v>
      </c>
      <c r="D6" s="204">
        <v>16691343.68</v>
      </c>
      <c r="E6" s="30">
        <v>14122950.09</v>
      </c>
      <c r="F6" s="48">
        <f t="shared" ref="F6:F17" si="0">E6/D6</f>
        <v>0.84612421628598333</v>
      </c>
      <c r="G6" s="30">
        <v>13493910.050000001</v>
      </c>
      <c r="H6" s="280">
        <f t="shared" ref="H6:H17" si="1">G6/D6</f>
        <v>0.80843761345401766</v>
      </c>
      <c r="I6" s="30">
        <v>3965874.28</v>
      </c>
      <c r="J6" s="178">
        <f t="shared" ref="J6:J17" si="2">I6/D6</f>
        <v>0.23760066032023611</v>
      </c>
      <c r="K6" s="579">
        <v>12320333.189999999</v>
      </c>
      <c r="L6" s="412">
        <v>0.83366281058896285</v>
      </c>
      <c r="M6" s="210">
        <f t="shared" ref="M6:M17" si="3">+G6/K6-1</f>
        <v>9.5255285867800632E-2</v>
      </c>
      <c r="N6" s="579">
        <v>3017129.29</v>
      </c>
      <c r="O6" s="412">
        <v>0.20415588158388775</v>
      </c>
      <c r="P6" s="210">
        <f>+I6/N6-1</f>
        <v>0.31445287848436876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14580370.869999999</v>
      </c>
      <c r="D8" s="204">
        <v>14202913.02</v>
      </c>
      <c r="E8" s="30">
        <v>13794860.84</v>
      </c>
      <c r="F8" s="48">
        <f t="shared" si="0"/>
        <v>0.97126982475880852</v>
      </c>
      <c r="G8" s="30">
        <v>13347543.84</v>
      </c>
      <c r="H8" s="48">
        <f t="shared" si="1"/>
        <v>0.93977508847688485</v>
      </c>
      <c r="I8" s="30">
        <v>6831791.8300000001</v>
      </c>
      <c r="J8" s="178">
        <f t="shared" si="2"/>
        <v>0.4810134245263441</v>
      </c>
      <c r="K8" s="635">
        <v>12597023.93</v>
      </c>
      <c r="L8" s="414">
        <v>0.87356779838793086</v>
      </c>
      <c r="M8" s="443">
        <f t="shared" si="3"/>
        <v>5.957914457974689E-2</v>
      </c>
      <c r="N8" s="635">
        <v>5635616.5199999996</v>
      </c>
      <c r="O8" s="414">
        <v>0.39081398458017003</v>
      </c>
      <c r="P8" s="443">
        <f t="shared" ref="P8:P17" si="4">+I8/N8-1</f>
        <v>0.21225278649726165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34307400.759999998</v>
      </c>
      <c r="D10" s="152">
        <f t="shared" ref="D10:E10" si="5">SUM(D5:D9)</f>
        <v>34810717.239999995</v>
      </c>
      <c r="E10" s="84">
        <f t="shared" si="5"/>
        <v>29598666.859999999</v>
      </c>
      <c r="F10" s="90">
        <f t="shared" si="0"/>
        <v>0.85027454780474965</v>
      </c>
      <c r="G10" s="84">
        <f>SUM(G5:G9)</f>
        <v>28522309.82</v>
      </c>
      <c r="H10" s="90">
        <f t="shared" si="1"/>
        <v>0.81935427021956997</v>
      </c>
      <c r="I10" s="84">
        <f>SUM(I5:I9)</f>
        <v>12478522.039999999</v>
      </c>
      <c r="J10" s="170">
        <f t="shared" si="2"/>
        <v>0.3584678233995503</v>
      </c>
      <c r="K10" s="568">
        <f>SUM(K5:K9)</f>
        <v>26881545.890000001</v>
      </c>
      <c r="L10" s="90">
        <v>0.80318723950233584</v>
      </c>
      <c r="M10" s="213">
        <f t="shared" si="3"/>
        <v>6.1036814501444603E-2</v>
      </c>
      <c r="N10" s="568">
        <f>SUM(N5:N9)</f>
        <v>10616934.58</v>
      </c>
      <c r="O10" s="90">
        <v>0.31722083291568809</v>
      </c>
      <c r="P10" s="213">
        <f t="shared" si="4"/>
        <v>0.17534133284637776</v>
      </c>
    </row>
    <row r="11" spans="1:16" ht="15" customHeight="1" x14ac:dyDescent="0.25">
      <c r="A11" s="21">
        <v>6</v>
      </c>
      <c r="B11" s="21" t="s">
        <v>5</v>
      </c>
      <c r="C11" s="159">
        <v>2057308.75</v>
      </c>
      <c r="D11" s="204">
        <v>3865086.95</v>
      </c>
      <c r="E11" s="30">
        <v>1931853.08</v>
      </c>
      <c r="F11" s="48">
        <f t="shared" si="0"/>
        <v>0.49982137659283449</v>
      </c>
      <c r="G11" s="30">
        <v>1169022.52</v>
      </c>
      <c r="H11" s="48">
        <f t="shared" si="1"/>
        <v>0.30245697836112068</v>
      </c>
      <c r="I11" s="30">
        <v>263202.88</v>
      </c>
      <c r="J11" s="153">
        <f t="shared" si="2"/>
        <v>6.8097531415172954E-2</v>
      </c>
      <c r="K11" s="565">
        <v>640607.18999999994</v>
      </c>
      <c r="L11" s="48">
        <v>0.17538976460586772</v>
      </c>
      <c r="M11" s="224">
        <f t="shared" si="3"/>
        <v>0.8248663740411657</v>
      </c>
      <c r="N11" s="565">
        <v>24834.82</v>
      </c>
      <c r="O11" s="48">
        <v>6.7994448108350076E-3</v>
      </c>
      <c r="P11" s="224">
        <f t="shared" si="4"/>
        <v>9.5981392254906623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559" t="s">
        <v>129</v>
      </c>
    </row>
    <row r="13" spans="1:16" ht="15" customHeight="1" x14ac:dyDescent="0.25">
      <c r="A13" s="9"/>
      <c r="B13" s="2" t="s">
        <v>7</v>
      </c>
      <c r="C13" s="162">
        <f>SUM(C11:C12)</f>
        <v>2057308.75</v>
      </c>
      <c r="D13" s="152">
        <f t="shared" ref="D13:I13" si="6">SUM(D11:D12)</f>
        <v>3865086.95</v>
      </c>
      <c r="E13" s="84">
        <f t="shared" si="6"/>
        <v>1931853.08</v>
      </c>
      <c r="F13" s="90">
        <f t="shared" si="0"/>
        <v>0.49982137659283449</v>
      </c>
      <c r="G13" s="84">
        <f t="shared" si="6"/>
        <v>1169022.52</v>
      </c>
      <c r="H13" s="90">
        <f t="shared" si="1"/>
        <v>0.30245697836112068</v>
      </c>
      <c r="I13" s="84">
        <f t="shared" si="6"/>
        <v>263202.88</v>
      </c>
      <c r="J13" s="170">
        <f t="shared" si="2"/>
        <v>6.8097531415172954E-2</v>
      </c>
      <c r="K13" s="568">
        <f>SUM(K11:K12)</f>
        <v>640607.18999999994</v>
      </c>
      <c r="L13" s="90">
        <v>0.17538976460586772</v>
      </c>
      <c r="M13" s="629">
        <f t="shared" si="3"/>
        <v>0.8248663740411657</v>
      </c>
      <c r="N13" s="568">
        <f>SUM(N11:N12)</f>
        <v>24834.82</v>
      </c>
      <c r="O13" s="90">
        <v>6.7994448108350076E-3</v>
      </c>
      <c r="P13" s="213">
        <f t="shared" si="4"/>
        <v>9.5981392254906623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 t="s">
        <v>129</v>
      </c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38675804.189999998</v>
      </c>
      <c r="E17" s="155">
        <f t="shared" si="8"/>
        <v>31530519.939999998</v>
      </c>
      <c r="F17" s="181">
        <f t="shared" si="0"/>
        <v>0.81525182476108715</v>
      </c>
      <c r="G17" s="155">
        <f t="shared" si="8"/>
        <v>29691332.34</v>
      </c>
      <c r="H17" s="181">
        <f t="shared" si="1"/>
        <v>0.76769786593544143</v>
      </c>
      <c r="I17" s="155">
        <f t="shared" si="8"/>
        <v>12741724.92</v>
      </c>
      <c r="J17" s="173">
        <f t="shared" si="2"/>
        <v>0.32944951467342715</v>
      </c>
      <c r="K17" s="576">
        <f>K10+K13+K16</f>
        <v>27522153.080000002</v>
      </c>
      <c r="L17" s="181">
        <v>0.74141595272885752</v>
      </c>
      <c r="M17" s="607">
        <f t="shared" si="3"/>
        <v>7.8815754483115397E-2</v>
      </c>
      <c r="N17" s="576">
        <f>N10+N13+N16</f>
        <v>10641769.4</v>
      </c>
      <c r="O17" s="181">
        <v>0.28667733863290479</v>
      </c>
      <c r="P17" s="607">
        <f t="shared" si="4"/>
        <v>0.19733142497900769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137"/>
  <sheetViews>
    <sheetView topLeftCell="C14" zoomScaleNormal="100" workbookViewId="0">
      <selection activeCell="H36" sqref="H36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1" spans="1:13" ht="14.4" thickBot="1" x14ac:dyDescent="0.3">
      <c r="A1" s="7" t="s">
        <v>229</v>
      </c>
    </row>
    <row r="2" spans="1:13" x14ac:dyDescent="0.25">
      <c r="A2" s="8" t="s">
        <v>149</v>
      </c>
      <c r="C2" s="164" t="s">
        <v>765</v>
      </c>
      <c r="D2" s="746" t="s">
        <v>780</v>
      </c>
      <c r="E2" s="744"/>
      <c r="F2" s="744"/>
      <c r="G2" s="744"/>
      <c r="H2" s="745"/>
      <c r="I2" s="740" t="s">
        <v>782</v>
      </c>
      <c r="J2" s="741"/>
      <c r="K2" s="197"/>
    </row>
    <row r="3" spans="1:13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</row>
    <row r="5" spans="1:13" ht="15" customHeight="1" x14ac:dyDescent="0.25">
      <c r="A5" s="21"/>
      <c r="B5" s="21" t="s">
        <v>215</v>
      </c>
      <c r="C5" s="159">
        <v>100040</v>
      </c>
      <c r="D5" s="150">
        <v>100040</v>
      </c>
      <c r="E5" s="136">
        <v>402809.55</v>
      </c>
      <c r="F5" s="48">
        <f t="shared" ref="F5:F13" si="0">+E5/D5</f>
        <v>4.0264849060375845</v>
      </c>
      <c r="G5" s="136">
        <v>402809.55</v>
      </c>
      <c r="H5" s="153">
        <f>+G5/E5</f>
        <v>1</v>
      </c>
      <c r="I5" s="30">
        <v>45329.88</v>
      </c>
      <c r="J5" s="52">
        <v>0.45320815836832629</v>
      </c>
      <c r="K5" s="145">
        <f>+E5/I5-1</f>
        <v>7.8861816973704766</v>
      </c>
      <c r="L5" s="59">
        <v>60</v>
      </c>
    </row>
    <row r="6" spans="1:13" ht="15" customHeight="1" x14ac:dyDescent="0.25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5">
      <c r="A7" s="24"/>
      <c r="B7" s="24" t="s">
        <v>217</v>
      </c>
      <c r="C7" s="161">
        <v>3921363</v>
      </c>
      <c r="D7" s="540">
        <v>3921363</v>
      </c>
      <c r="E7" s="137">
        <v>95859.06</v>
      </c>
      <c r="F7" s="390">
        <f>+E7/D7</f>
        <v>2.4445342091512567E-2</v>
      </c>
      <c r="G7" s="137">
        <v>95859.06</v>
      </c>
      <c r="H7" s="392">
        <f>+G7/E7</f>
        <v>1</v>
      </c>
      <c r="I7" s="206">
        <v>42404.61</v>
      </c>
      <c r="J7" s="329" t="s">
        <v>129</v>
      </c>
      <c r="K7" s="145">
        <f>+E7/I7-1</f>
        <v>1.2605811019132118</v>
      </c>
      <c r="L7" s="60" t="s">
        <v>225</v>
      </c>
    </row>
    <row r="8" spans="1:13" ht="15" customHeight="1" thickBot="1" x14ac:dyDescent="0.3">
      <c r="A8" s="9"/>
      <c r="B8" s="518" t="s">
        <v>218</v>
      </c>
      <c r="C8" s="162">
        <f>SUM(C5:C7)</f>
        <v>4021413</v>
      </c>
      <c r="D8" s="152">
        <f t="shared" ref="D8:G8" si="1">SUM(D5:D7)</f>
        <v>4021413</v>
      </c>
      <c r="E8" s="84">
        <f>SUM(E5:E7)</f>
        <v>498668.61</v>
      </c>
      <c r="F8" s="90">
        <f>+E8/D8</f>
        <v>0.12400333166476558</v>
      </c>
      <c r="G8" s="84">
        <f t="shared" si="1"/>
        <v>498668.61</v>
      </c>
      <c r="H8" s="170">
        <f>+G8/E8</f>
        <v>1</v>
      </c>
      <c r="I8" s="84">
        <f t="shared" ref="I8" si="2">SUM(I5:I7)</f>
        <v>87734.489999999991</v>
      </c>
      <c r="J8" s="43">
        <v>0.87664358513189444</v>
      </c>
      <c r="K8" s="231">
        <f>+E8/I8-1</f>
        <v>4.6838377928680046</v>
      </c>
      <c r="M8" s="340"/>
    </row>
    <row r="9" spans="1:13" ht="15" customHeight="1" x14ac:dyDescent="0.25">
      <c r="A9" s="21"/>
      <c r="B9" s="21" t="s">
        <v>219</v>
      </c>
      <c r="C9" s="159">
        <v>30</v>
      </c>
      <c r="D9" s="150">
        <v>30</v>
      </c>
      <c r="E9" s="96">
        <v>0</v>
      </c>
      <c r="F9" s="417" t="s">
        <v>129</v>
      </c>
      <c r="G9" s="96">
        <v>0</v>
      </c>
      <c r="H9" s="348" t="s">
        <v>129</v>
      </c>
      <c r="I9" s="136">
        <v>1476952.22</v>
      </c>
      <c r="J9" s="52" t="s">
        <v>129</v>
      </c>
      <c r="K9" s="145">
        <f>+E9/I9-1</f>
        <v>-1</v>
      </c>
      <c r="L9" s="59">
        <v>72</v>
      </c>
    </row>
    <row r="10" spans="1:13" ht="15" customHeight="1" x14ac:dyDescent="0.25">
      <c r="A10" s="21"/>
      <c r="B10" s="21" t="s">
        <v>220</v>
      </c>
      <c r="C10" s="159">
        <v>10</v>
      </c>
      <c r="D10" s="150">
        <v>10</v>
      </c>
      <c r="E10" s="136">
        <v>0</v>
      </c>
      <c r="F10" s="48" t="s">
        <v>129</v>
      </c>
      <c r="G10" s="136">
        <v>0</v>
      </c>
      <c r="H10" s="153" t="s">
        <v>129</v>
      </c>
      <c r="I10" s="136">
        <v>0</v>
      </c>
      <c r="J10" s="52" t="s">
        <v>129</v>
      </c>
      <c r="K10" s="145" t="s">
        <v>129</v>
      </c>
      <c r="L10" s="59">
        <v>75031</v>
      </c>
    </row>
    <row r="11" spans="1:13" ht="15" customHeight="1" x14ac:dyDescent="0.25">
      <c r="A11" s="21"/>
      <c r="B11" s="21" t="s">
        <v>221</v>
      </c>
      <c r="C11" s="159">
        <v>6082987.4400000004</v>
      </c>
      <c r="D11" s="150">
        <v>6232376.5499999998</v>
      </c>
      <c r="E11" s="136">
        <v>0</v>
      </c>
      <c r="F11" s="48">
        <f t="shared" si="0"/>
        <v>0</v>
      </c>
      <c r="G11" s="136">
        <v>0</v>
      </c>
      <c r="H11" s="348" t="s">
        <v>129</v>
      </c>
      <c r="I11" s="136">
        <v>0</v>
      </c>
      <c r="J11" s="52">
        <v>0</v>
      </c>
      <c r="K11" s="145" t="s">
        <v>129</v>
      </c>
      <c r="L11" s="59">
        <v>75070</v>
      </c>
    </row>
    <row r="12" spans="1:13" ht="15" customHeight="1" x14ac:dyDescent="0.25">
      <c r="A12" s="21"/>
      <c r="B12" s="21" t="s">
        <v>222</v>
      </c>
      <c r="C12" s="159">
        <v>4582347.55</v>
      </c>
      <c r="D12" s="150">
        <v>4582347.55</v>
      </c>
      <c r="E12" s="136">
        <v>0</v>
      </c>
      <c r="F12" s="48">
        <f t="shared" si="0"/>
        <v>0</v>
      </c>
      <c r="G12" s="136">
        <v>0</v>
      </c>
      <c r="H12" s="348" t="s">
        <v>129</v>
      </c>
      <c r="I12" s="136">
        <v>0</v>
      </c>
      <c r="J12" s="52">
        <v>0</v>
      </c>
      <c r="K12" s="145" t="s">
        <v>129</v>
      </c>
      <c r="L12" s="60" t="s">
        <v>226</v>
      </c>
    </row>
    <row r="13" spans="1:13" ht="15" customHeight="1" x14ac:dyDescent="0.25">
      <c r="A13" s="21"/>
      <c r="B13" s="21" t="s">
        <v>223</v>
      </c>
      <c r="C13" s="159">
        <v>3200000</v>
      </c>
      <c r="D13" s="150">
        <v>4034982.14</v>
      </c>
      <c r="E13" s="136">
        <v>1650086.94</v>
      </c>
      <c r="F13" s="48">
        <f t="shared" si="0"/>
        <v>0.40894528965622629</v>
      </c>
      <c r="G13" s="136">
        <v>1650086.94</v>
      </c>
      <c r="H13" s="348">
        <f>+G13/E13</f>
        <v>1</v>
      </c>
      <c r="I13" s="136">
        <v>13753426.6</v>
      </c>
      <c r="J13" s="52">
        <v>1.5619868685759879</v>
      </c>
      <c r="K13" s="145">
        <f>+E13/I13-1</f>
        <v>-0.88002357608830373</v>
      </c>
      <c r="L13" s="59">
        <v>761</v>
      </c>
    </row>
    <row r="14" spans="1:13" ht="15" customHeight="1" x14ac:dyDescent="0.25">
      <c r="A14" s="21"/>
      <c r="B14" s="21" t="s">
        <v>197</v>
      </c>
      <c r="C14" s="159">
        <v>1192039</v>
      </c>
      <c r="D14" s="150">
        <v>1192039</v>
      </c>
      <c r="E14" s="136">
        <v>-97802.26</v>
      </c>
      <c r="F14" s="48">
        <f>E14/D14</f>
        <v>-8.2046191441722954E-2</v>
      </c>
      <c r="G14" s="136">
        <v>-97802.26</v>
      </c>
      <c r="H14" s="348" t="s">
        <v>129</v>
      </c>
      <c r="I14" s="136">
        <v>327932.49</v>
      </c>
      <c r="J14" s="52" t="s">
        <v>129</v>
      </c>
      <c r="K14" s="145">
        <f>+E14/I14-1</f>
        <v>-1.2982390064491627</v>
      </c>
      <c r="L14" s="59">
        <v>79</v>
      </c>
    </row>
    <row r="15" spans="1:13" ht="15" customHeight="1" x14ac:dyDescent="0.25">
      <c r="A15" s="55"/>
      <c r="B15" s="55" t="s">
        <v>224</v>
      </c>
      <c r="C15" s="176">
        <v>10</v>
      </c>
      <c r="D15" s="540">
        <v>10</v>
      </c>
      <c r="E15" s="137">
        <v>0</v>
      </c>
      <c r="F15" s="521" t="s">
        <v>129</v>
      </c>
      <c r="G15" s="137">
        <v>0</v>
      </c>
      <c r="H15" s="510" t="s">
        <v>129</v>
      </c>
      <c r="I15" s="540">
        <v>0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3">
      <c r="A16" s="542"/>
      <c r="B16" s="541" t="s">
        <v>6</v>
      </c>
      <c r="C16" s="519">
        <f>SUM(C9:C15)</f>
        <v>15057423.99</v>
      </c>
      <c r="D16" s="152">
        <f>SUM(D9:D15)</f>
        <v>16041795.24</v>
      </c>
      <c r="E16" s="84">
        <f>SUM(E9:E15)</f>
        <v>1552284.68</v>
      </c>
      <c r="F16" s="90">
        <f>E16/D16</f>
        <v>9.6765022665879621E-2</v>
      </c>
      <c r="G16" s="84">
        <f>SUM(G9:G15)</f>
        <v>1552284.68</v>
      </c>
      <c r="H16" s="171">
        <f>+G16/E16</f>
        <v>1</v>
      </c>
      <c r="I16" s="84">
        <f>SUM(I9:I15)</f>
        <v>15558311.310000001</v>
      </c>
      <c r="J16" s="561">
        <v>0.81849925584607819</v>
      </c>
      <c r="K16" s="231">
        <f>+E16/I16-1</f>
        <v>-0.90022794575383769</v>
      </c>
    </row>
    <row r="17" spans="1:17" s="6" customFormat="1" ht="19.5" customHeight="1" thickBot="1" x14ac:dyDescent="0.3">
      <c r="A17" s="5"/>
      <c r="B17" s="4" t="s">
        <v>352</v>
      </c>
      <c r="C17" s="163">
        <f>+C8+C16</f>
        <v>19078836.990000002</v>
      </c>
      <c r="D17" s="154">
        <f>+D8+D16</f>
        <v>20063208.240000002</v>
      </c>
      <c r="E17" s="155">
        <f t="shared" ref="E17:G17" si="3">+E8+E16</f>
        <v>2050953.29</v>
      </c>
      <c r="F17" s="181">
        <f>E17/D17</f>
        <v>0.10222459267062863</v>
      </c>
      <c r="G17" s="155">
        <f t="shared" si="3"/>
        <v>2050953.29</v>
      </c>
      <c r="H17" s="173">
        <f>+G17/E17</f>
        <v>1</v>
      </c>
      <c r="I17" s="147">
        <f t="shared" ref="I17" si="4">+I8+I16</f>
        <v>15646045.800000001</v>
      </c>
      <c r="J17" s="561">
        <v>0.8188037857227265</v>
      </c>
      <c r="K17" s="146">
        <f>+E17/I17-1</f>
        <v>-0.86891555117395858</v>
      </c>
      <c r="L17" s="14"/>
      <c r="N17"/>
      <c r="O17"/>
      <c r="P17"/>
      <c r="Q17"/>
    </row>
    <row r="19" spans="1:17" ht="14.4" thickBot="1" x14ac:dyDescent="0.3">
      <c r="A19" s="7" t="s">
        <v>232</v>
      </c>
    </row>
    <row r="20" spans="1:17" x14ac:dyDescent="0.25">
      <c r="A20" s="8" t="s">
        <v>149</v>
      </c>
      <c r="C20" s="164" t="s">
        <v>765</v>
      </c>
      <c r="D20" s="743" t="s">
        <v>780</v>
      </c>
      <c r="E20" s="744"/>
      <c r="F20" s="744"/>
      <c r="G20" s="744"/>
      <c r="H20" s="745"/>
      <c r="I20" s="747" t="s">
        <v>781</v>
      </c>
      <c r="J20" s="731"/>
      <c r="K20" s="407"/>
    </row>
    <row r="21" spans="1:17" x14ac:dyDescent="0.25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6.4" x14ac:dyDescent="0.25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764</v>
      </c>
      <c r="L22" s="58" t="s">
        <v>163</v>
      </c>
    </row>
    <row r="23" spans="1:17" s="91" customFormat="1" x14ac:dyDescent="0.25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" si="5"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452</v>
      </c>
      <c r="N23"/>
      <c r="O23"/>
      <c r="P23"/>
      <c r="Q23"/>
    </row>
    <row r="24" spans="1:17" s="91" customFormat="1" x14ac:dyDescent="0.25">
      <c r="A24" s="21"/>
      <c r="B24" s="509" t="s">
        <v>531</v>
      </c>
      <c r="C24" s="159">
        <v>0</v>
      </c>
      <c r="D24" s="168">
        <v>0</v>
      </c>
      <c r="E24" s="136">
        <v>0</v>
      </c>
      <c r="F24" s="48" t="s">
        <v>129</v>
      </c>
      <c r="G24" s="136">
        <v>0</v>
      </c>
      <c r="H24" s="153" t="s">
        <v>129</v>
      </c>
      <c r="I24" s="136">
        <v>24492.98</v>
      </c>
      <c r="J24" s="52" t="s">
        <v>129</v>
      </c>
      <c r="K24" s="94">
        <f>+E24/I24-1</f>
        <v>-1</v>
      </c>
      <c r="L24" s="59">
        <v>85001</v>
      </c>
      <c r="N24"/>
      <c r="O24"/>
      <c r="P24"/>
      <c r="Q24"/>
    </row>
    <row r="25" spans="1:17" s="91" customFormat="1" x14ac:dyDescent="0.25">
      <c r="A25" s="21"/>
      <c r="B25" s="509" t="s">
        <v>423</v>
      </c>
      <c r="C25" s="159">
        <v>0</v>
      </c>
      <c r="D25" s="168">
        <v>0</v>
      </c>
      <c r="E25" s="136">
        <v>0</v>
      </c>
      <c r="F25" s="48" t="s">
        <v>129</v>
      </c>
      <c r="G25" s="136">
        <v>0</v>
      </c>
      <c r="H25" s="348" t="s">
        <v>129</v>
      </c>
      <c r="I25" s="136">
        <v>0</v>
      </c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5">
      <c r="A26" s="21"/>
      <c r="B26" s="511" t="s">
        <v>503</v>
      </c>
      <c r="C26" s="159">
        <v>0</v>
      </c>
      <c r="D26" s="168">
        <v>1946205.88</v>
      </c>
      <c r="E26" s="136">
        <v>0</v>
      </c>
      <c r="F26" s="48" t="s">
        <v>129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5">
      <c r="A27" s="21"/>
      <c r="B27" s="21" t="s">
        <v>410</v>
      </c>
      <c r="C27" s="159">
        <v>0</v>
      </c>
      <c r="D27" s="168">
        <v>11687468.68</v>
      </c>
      <c r="E27" s="136">
        <v>0</v>
      </c>
      <c r="F27" s="48" t="s">
        <v>129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5">
      <c r="A28" s="21"/>
      <c r="B28" s="21" t="s">
        <v>230</v>
      </c>
      <c r="C28" s="159">
        <v>150000</v>
      </c>
      <c r="D28" s="168">
        <v>150000</v>
      </c>
      <c r="E28" s="136">
        <v>331584.53999999998</v>
      </c>
      <c r="F28" s="48">
        <f>+E28/D28</f>
        <v>2.2105636</v>
      </c>
      <c r="G28" s="136">
        <v>331584.53999999998</v>
      </c>
      <c r="H28" s="348">
        <f>+G28/E28</f>
        <v>1</v>
      </c>
      <c r="I28" s="30">
        <v>-106.76</v>
      </c>
      <c r="J28" s="52">
        <v>-7.1173333333333336E-4</v>
      </c>
      <c r="K28" s="244" t="s">
        <v>129</v>
      </c>
      <c r="L28" s="59">
        <v>94101</v>
      </c>
    </row>
    <row r="29" spans="1:17" ht="15" customHeight="1" x14ac:dyDescent="0.25">
      <c r="A29" s="65"/>
      <c r="B29" s="65" t="s">
        <v>231</v>
      </c>
      <c r="C29" s="177">
        <v>1450000</v>
      </c>
      <c r="D29" s="389">
        <v>1450000</v>
      </c>
      <c r="E29" s="66">
        <v>1026225.24</v>
      </c>
      <c r="F29" s="383">
        <f>+E29/D29</f>
        <v>0.70774154482758622</v>
      </c>
      <c r="G29" s="66">
        <v>1026225.24</v>
      </c>
      <c r="H29" s="406">
        <f t="shared" ref="H29" si="6">+G29/E29</f>
        <v>1</v>
      </c>
      <c r="I29" s="179">
        <v>1054573.28</v>
      </c>
      <c r="J29" s="67">
        <v>0.75326662857142856</v>
      </c>
      <c r="K29" s="98">
        <f>+E29/I29-1</f>
        <v>-2.6881052779945347E-2</v>
      </c>
      <c r="L29" s="60">
        <v>94102</v>
      </c>
    </row>
    <row r="30" spans="1:17" ht="15" customHeight="1" thickBot="1" x14ac:dyDescent="0.3">
      <c r="A30" s="55"/>
      <c r="B30" s="55" t="s">
        <v>241</v>
      </c>
      <c r="C30" s="159">
        <v>204233195.34</v>
      </c>
      <c r="D30" s="168">
        <v>204233195.34</v>
      </c>
      <c r="E30" s="56">
        <v>0</v>
      </c>
      <c r="F30" s="383">
        <f>+E30/D30</f>
        <v>0</v>
      </c>
      <c r="G30" s="56">
        <v>0</v>
      </c>
      <c r="H30" s="433" t="s">
        <v>129</v>
      </c>
      <c r="I30" s="180">
        <v>0</v>
      </c>
      <c r="J30" s="57">
        <v>0</v>
      </c>
      <c r="K30" s="98" t="s">
        <v>129</v>
      </c>
      <c r="L30" s="60" t="s">
        <v>242</v>
      </c>
    </row>
    <row r="31" spans="1:17" s="6" customFormat="1" ht="19.5" customHeight="1" thickBot="1" x14ac:dyDescent="0.3">
      <c r="A31" s="5"/>
      <c r="B31" s="4" t="s">
        <v>206</v>
      </c>
      <c r="C31" s="163">
        <f>SUM(C23:C30)</f>
        <v>210833195.34</v>
      </c>
      <c r="D31" s="154">
        <f>SUM(D23:D30)</f>
        <v>224466869.90000001</v>
      </c>
      <c r="E31" s="155">
        <f>SUM(E23:E30)</f>
        <v>1357809.78</v>
      </c>
      <c r="F31" s="181">
        <f>+E31/(D31-D27-D26)</f>
        <v>6.4402087053242688E-3</v>
      </c>
      <c r="G31" s="155">
        <f>SUM(G23:G30)</f>
        <v>1357809.78</v>
      </c>
      <c r="H31" s="173">
        <f>+G31/E31</f>
        <v>1</v>
      </c>
      <c r="I31" s="354">
        <f>SUM(I23:I30)</f>
        <v>1103959.5</v>
      </c>
      <c r="J31" s="181">
        <v>2.5150870657314858E-3</v>
      </c>
      <c r="K31" s="95">
        <f>+E31/I31-1</f>
        <v>0.22994528331881736</v>
      </c>
      <c r="L31" s="14"/>
      <c r="M31"/>
      <c r="N31"/>
      <c r="O31"/>
      <c r="P31"/>
      <c r="Q31"/>
    </row>
    <row r="32" spans="1:17" x14ac:dyDescent="0.25">
      <c r="B32" s="247"/>
    </row>
    <row r="36" spans="2:2" x14ac:dyDescent="0.25">
      <c r="B36" s="46"/>
    </row>
    <row r="136" spans="12:15" x14ac:dyDescent="0.25">
      <c r="L136" s="687"/>
      <c r="O136" s="688">
        <v>0.58699999999999997</v>
      </c>
    </row>
    <row r="137" spans="12:15" x14ac:dyDescent="0.25">
      <c r="L137" s="687"/>
      <c r="O137" s="688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O10" sqref="O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G25" sqref="G2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754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31" t="s">
        <v>17</v>
      </c>
      <c r="O4" s="89" t="s">
        <v>18</v>
      </c>
      <c r="P4" s="587" t="s">
        <v>764</v>
      </c>
    </row>
    <row r="5" spans="1:16" ht="15" customHeight="1" x14ac:dyDescent="0.25">
      <c r="A5" s="21">
        <v>1</v>
      </c>
      <c r="B5" s="21" t="s">
        <v>0</v>
      </c>
      <c r="C5" s="159">
        <v>4156868.9</v>
      </c>
      <c r="D5" s="204">
        <v>4225151.3499999996</v>
      </c>
      <c r="E5" s="30">
        <v>1671910.19</v>
      </c>
      <c r="F5" s="48">
        <f>E5/D5</f>
        <v>0.39570421305736186</v>
      </c>
      <c r="G5" s="30">
        <v>1671910.19</v>
      </c>
      <c r="H5" s="48">
        <f>G5/D5</f>
        <v>0.39570421305736186</v>
      </c>
      <c r="I5" s="30">
        <v>1671910.19</v>
      </c>
      <c r="J5" s="153">
        <f>I5/D5</f>
        <v>0.39570421305736186</v>
      </c>
      <c r="K5" s="578">
        <v>2191260.4500000002</v>
      </c>
      <c r="L5" s="48">
        <v>0.46603345232036669</v>
      </c>
      <c r="M5" s="210">
        <f>+G5/K5-1</f>
        <v>-0.23700982692404282</v>
      </c>
      <c r="N5" s="578">
        <v>2191260.4500000002</v>
      </c>
      <c r="O5" s="48">
        <v>0.46603345232036669</v>
      </c>
      <c r="P5" s="210">
        <f>+I5/N5-1</f>
        <v>-0.23700982692404282</v>
      </c>
    </row>
    <row r="6" spans="1:16" ht="15" customHeight="1" x14ac:dyDescent="0.25">
      <c r="A6" s="23">
        <v>2</v>
      </c>
      <c r="B6" s="23" t="s">
        <v>1</v>
      </c>
      <c r="C6" s="159">
        <v>15344411.630000001</v>
      </c>
      <c r="D6" s="204">
        <v>15579378.1</v>
      </c>
      <c r="E6" s="30">
        <v>13216414.689999999</v>
      </c>
      <c r="F6" s="48">
        <f t="shared" ref="F6:F17" si="0">E6/D6</f>
        <v>0.84832748811712833</v>
      </c>
      <c r="G6" s="30">
        <v>12557094.470000001</v>
      </c>
      <c r="H6" s="280">
        <f t="shared" ref="H6:H17" si="1">G6/D6</f>
        <v>0.80600742785747015</v>
      </c>
      <c r="I6" s="30">
        <v>3465995.52</v>
      </c>
      <c r="J6" s="178">
        <f t="shared" ref="J6:J17" si="2">I6/D6</f>
        <v>0.22247329115146131</v>
      </c>
      <c r="K6" s="579">
        <v>11770377.029999999</v>
      </c>
      <c r="L6" s="412">
        <v>0.75411329034342722</v>
      </c>
      <c r="M6" s="210">
        <f t="shared" ref="M6:M17" si="3">+G6/K6-1</f>
        <v>6.6838762938080887E-2</v>
      </c>
      <c r="N6" s="579">
        <v>3617446.97</v>
      </c>
      <c r="O6" s="412">
        <v>0.23176528927124446</v>
      </c>
      <c r="P6" s="210">
        <f>+I6/N6-1</f>
        <v>-4.1866944078519652E-2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9172408.4100000001</v>
      </c>
      <c r="D8" s="204">
        <v>9182778.1500000004</v>
      </c>
      <c r="E8" s="30">
        <v>8633609</v>
      </c>
      <c r="F8" s="48">
        <f t="shared" si="0"/>
        <v>0.94019575110828524</v>
      </c>
      <c r="G8" s="30">
        <v>8258635.9800000004</v>
      </c>
      <c r="H8" s="48">
        <f t="shared" si="1"/>
        <v>0.89936137464020083</v>
      </c>
      <c r="I8" s="30">
        <v>3711230.54</v>
      </c>
      <c r="J8" s="178">
        <f t="shared" si="2"/>
        <v>0.40415117074346396</v>
      </c>
      <c r="K8" s="635">
        <v>8221768.1600000001</v>
      </c>
      <c r="L8" s="414">
        <v>0.91735699262019832</v>
      </c>
      <c r="M8" s="443">
        <f t="shared" si="3"/>
        <v>4.484171686981675E-3</v>
      </c>
      <c r="N8" s="635">
        <v>2941462.2</v>
      </c>
      <c r="O8" s="414">
        <v>0.32819837110293709</v>
      </c>
      <c r="P8" s="443">
        <f t="shared" ref="P8:P17" si="4">+I8/N8-1</f>
        <v>0.26169581237521933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28673688.940000001</v>
      </c>
      <c r="D10" s="152">
        <f t="shared" ref="D10:E10" si="5">SUM(D5:D9)</f>
        <v>28987307.600000001</v>
      </c>
      <c r="E10" s="84">
        <f t="shared" si="5"/>
        <v>23521933.879999999</v>
      </c>
      <c r="F10" s="90">
        <f t="shared" si="0"/>
        <v>0.81145631752291469</v>
      </c>
      <c r="G10" s="84">
        <f>SUM(G5:G9)</f>
        <v>22487640.640000001</v>
      </c>
      <c r="H10" s="90">
        <f t="shared" si="1"/>
        <v>0.77577541696214658</v>
      </c>
      <c r="I10" s="84">
        <f>SUM(I5:I9)</f>
        <v>8849136.25</v>
      </c>
      <c r="J10" s="170">
        <f t="shared" si="2"/>
        <v>0.3052762392461727</v>
      </c>
      <c r="K10" s="568">
        <f>SUM(K5:K9)</f>
        <v>22183405.640000001</v>
      </c>
      <c r="L10" s="90">
        <v>0.75782086026682094</v>
      </c>
      <c r="M10" s="213">
        <f t="shared" si="3"/>
        <v>1.3714530804567637E-2</v>
      </c>
      <c r="N10" s="568">
        <f>SUM(N5:N9)</f>
        <v>8750169.620000001</v>
      </c>
      <c r="O10" s="90">
        <v>0.298919885274613</v>
      </c>
      <c r="P10" s="213">
        <f t="shared" si="4"/>
        <v>1.1310252749134664E-2</v>
      </c>
    </row>
    <row r="11" spans="1:16" ht="15" customHeight="1" x14ac:dyDescent="0.25">
      <c r="A11" s="21">
        <v>6</v>
      </c>
      <c r="B11" s="21" t="s">
        <v>5</v>
      </c>
      <c r="C11" s="159">
        <v>574199.64</v>
      </c>
      <c r="D11" s="204">
        <v>1130972.9099999999</v>
      </c>
      <c r="E11" s="30">
        <v>247876.19</v>
      </c>
      <c r="F11" s="48">
        <f t="shared" si="0"/>
        <v>0.21917075803345282</v>
      </c>
      <c r="G11" s="30">
        <v>247876.19</v>
      </c>
      <c r="H11" s="48">
        <f t="shared" si="1"/>
        <v>0.21917075803345282</v>
      </c>
      <c r="I11" s="30">
        <v>147397.54</v>
      </c>
      <c r="J11" s="153">
        <f t="shared" si="2"/>
        <v>0.13032809070555015</v>
      </c>
      <c r="K11" s="565">
        <v>747767.6</v>
      </c>
      <c r="L11" s="48">
        <v>0.43631965474381762</v>
      </c>
      <c r="M11" s="224">
        <f t="shared" si="3"/>
        <v>-0.66851172744045073</v>
      </c>
      <c r="N11" s="565">
        <v>41429.839999999997</v>
      </c>
      <c r="O11" s="48">
        <v>2.4174159839088511E-2</v>
      </c>
      <c r="P11" s="224">
        <f t="shared" si="4"/>
        <v>2.5577627140244812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521"/>
      <c r="M12" s="559" t="s">
        <v>129</v>
      </c>
      <c r="N12" s="569"/>
      <c r="O12" s="521"/>
      <c r="P12" s="559" t="s">
        <v>129</v>
      </c>
    </row>
    <row r="13" spans="1:16" ht="15" customHeight="1" x14ac:dyDescent="0.25">
      <c r="A13" s="9"/>
      <c r="B13" s="2" t="s">
        <v>7</v>
      </c>
      <c r="C13" s="162">
        <f>SUM(C11:C12)</f>
        <v>574199.64</v>
      </c>
      <c r="D13" s="152">
        <f t="shared" ref="D13:I13" si="6">SUM(D11:D12)</f>
        <v>1130972.9099999999</v>
      </c>
      <c r="E13" s="84">
        <f t="shared" si="6"/>
        <v>247876.19</v>
      </c>
      <c r="F13" s="90">
        <f t="shared" si="0"/>
        <v>0.21917075803345282</v>
      </c>
      <c r="G13" s="84">
        <f t="shared" si="6"/>
        <v>247876.19</v>
      </c>
      <c r="H13" s="90">
        <f t="shared" si="1"/>
        <v>0.21917075803345282</v>
      </c>
      <c r="I13" s="84">
        <f t="shared" si="6"/>
        <v>147397.54</v>
      </c>
      <c r="J13" s="170">
        <f t="shared" si="2"/>
        <v>0.13032809070555015</v>
      </c>
      <c r="K13" s="568">
        <f>SUM(K11:K12)</f>
        <v>747767.6</v>
      </c>
      <c r="L13" s="90">
        <v>0.43631965474381762</v>
      </c>
      <c r="M13" s="629">
        <f t="shared" si="3"/>
        <v>-0.66851172744045073</v>
      </c>
      <c r="N13" s="568">
        <f>SUM(N11:N12)</f>
        <v>41429.839999999997</v>
      </c>
      <c r="O13" s="90">
        <v>2.4174159839088511E-2</v>
      </c>
      <c r="P13" s="213">
        <f t="shared" si="4"/>
        <v>2.5577627140244812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8">
        <f>SUM(K14:K15)</f>
        <v>0</v>
      </c>
      <c r="L16" s="514" t="s">
        <v>129</v>
      </c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30118280.510000002</v>
      </c>
      <c r="E17" s="155">
        <f t="shared" si="8"/>
        <v>23769810.07</v>
      </c>
      <c r="F17" s="181">
        <f t="shared" si="0"/>
        <v>0.78921537576183487</v>
      </c>
      <c r="G17" s="155">
        <f t="shared" si="8"/>
        <v>22735516.830000002</v>
      </c>
      <c r="H17" s="181">
        <f t="shared" si="1"/>
        <v>0.75487433030751061</v>
      </c>
      <c r="I17" s="155">
        <f t="shared" si="8"/>
        <v>8996533.7899999991</v>
      </c>
      <c r="J17" s="173">
        <f t="shared" si="2"/>
        <v>0.29870675342879988</v>
      </c>
      <c r="K17" s="576">
        <f>K10+K13+K16</f>
        <v>22931173.240000002</v>
      </c>
      <c r="L17" s="181">
        <v>0.7400391754629384</v>
      </c>
      <c r="M17" s="607">
        <f t="shared" si="3"/>
        <v>-8.5323331672670921E-3</v>
      </c>
      <c r="N17" s="576">
        <f>N10+N13+N16</f>
        <v>8791599.4600000009</v>
      </c>
      <c r="O17" s="181">
        <v>0.28372416654329091</v>
      </c>
      <c r="P17" s="607">
        <f t="shared" si="4"/>
        <v>2.3310244163466276E-2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workbookViewId="0">
      <selection activeCell="E24" sqref="E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37"/>
  <sheetViews>
    <sheetView topLeftCell="C1" workbookViewId="0">
      <selection activeCell="J24" sqref="J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755</v>
      </c>
    </row>
    <row r="2" spans="1:16" x14ac:dyDescent="0.25">
      <c r="A2" s="8" t="s">
        <v>20</v>
      </c>
      <c r="C2" s="164" t="s">
        <v>765</v>
      </c>
      <c r="D2" s="746" t="s">
        <v>780</v>
      </c>
      <c r="E2" s="744"/>
      <c r="F2" s="744"/>
      <c r="G2" s="744"/>
      <c r="H2" s="744"/>
      <c r="I2" s="744"/>
      <c r="J2" s="745"/>
      <c r="K2" s="755" t="s">
        <v>781</v>
      </c>
      <c r="L2" s="753"/>
      <c r="M2" s="753"/>
      <c r="N2" s="753"/>
      <c r="O2" s="753"/>
      <c r="P2" s="756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11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31" t="s">
        <v>17</v>
      </c>
      <c r="O4" s="89" t="s">
        <v>18</v>
      </c>
      <c r="P4" s="587" t="s">
        <v>508</v>
      </c>
    </row>
    <row r="5" spans="1:16" ht="15" customHeight="1" x14ac:dyDescent="0.25">
      <c r="A5" s="21">
        <v>1</v>
      </c>
      <c r="B5" s="21" t="s">
        <v>0</v>
      </c>
      <c r="C5" s="159">
        <v>4708770.7300000004</v>
      </c>
      <c r="D5" s="204">
        <v>4743892.0999999996</v>
      </c>
      <c r="E5" s="30">
        <v>1902841.92</v>
      </c>
      <c r="F5" s="48">
        <f>E5/D5</f>
        <v>0.40111408098847778</v>
      </c>
      <c r="G5" s="30">
        <v>1902841.92</v>
      </c>
      <c r="H5" s="48">
        <f>G5/D5</f>
        <v>0.40111408098847778</v>
      </c>
      <c r="I5" s="30">
        <v>1902841.92</v>
      </c>
      <c r="J5" s="153">
        <f>I5/D5</f>
        <v>0.40111408098847778</v>
      </c>
      <c r="K5" s="578">
        <v>2417965.62</v>
      </c>
      <c r="L5" s="48">
        <v>0.46224995630547883</v>
      </c>
      <c r="M5" s="210">
        <f>+G5/K5-1</f>
        <v>-0.21304012585588383</v>
      </c>
      <c r="N5" s="578">
        <v>2417965.62</v>
      </c>
      <c r="O5" s="48">
        <v>0.46224995630547883</v>
      </c>
      <c r="P5" s="210">
        <f>+I5/N5-1</f>
        <v>-0.21304012585588383</v>
      </c>
    </row>
    <row r="6" spans="1:16" ht="15" customHeight="1" x14ac:dyDescent="0.25">
      <c r="A6" s="23">
        <v>2</v>
      </c>
      <c r="B6" s="23" t="s">
        <v>1</v>
      </c>
      <c r="C6" s="159">
        <v>23321068.489999998</v>
      </c>
      <c r="D6" s="204">
        <v>23534137.949999999</v>
      </c>
      <c r="E6" s="30">
        <v>22798861.32</v>
      </c>
      <c r="F6" s="48">
        <f>E6/D6</f>
        <v>0.96875701878003151</v>
      </c>
      <c r="G6" s="30">
        <v>22248248.27</v>
      </c>
      <c r="H6" s="280">
        <f>G6/D6</f>
        <v>0.94536066361419457</v>
      </c>
      <c r="I6" s="30">
        <v>5528003.0899999999</v>
      </c>
      <c r="J6" s="178">
        <f>I6/D6</f>
        <v>0.23489295005173538</v>
      </c>
      <c r="K6" s="579">
        <v>20373795.329999998</v>
      </c>
      <c r="L6" s="412">
        <v>0.90799184250400866</v>
      </c>
      <c r="M6" s="210">
        <f t="shared" ref="M6:M17" si="0">+G6/K6-1</f>
        <v>9.2003129983342369E-2</v>
      </c>
      <c r="N6" s="579">
        <v>5129048.09</v>
      </c>
      <c r="O6" s="412">
        <v>0.22858450033967073</v>
      </c>
      <c r="P6" s="210">
        <f>+I6/N6-1</f>
        <v>7.7783439148842115E-2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9"/>
      <c r="L7" s="420"/>
      <c r="M7" s="212" t="s">
        <v>129</v>
      </c>
      <c r="N7" s="579"/>
      <c r="O7" s="420"/>
      <c r="P7" s="212" t="s">
        <v>129</v>
      </c>
    </row>
    <row r="8" spans="1:16" ht="15" customHeight="1" x14ac:dyDescent="0.25">
      <c r="A8" s="235">
        <v>4</v>
      </c>
      <c r="B8" s="560" t="s">
        <v>3</v>
      </c>
      <c r="C8" s="159">
        <v>16012218.74</v>
      </c>
      <c r="D8" s="204">
        <v>16051757.029999999</v>
      </c>
      <c r="E8" s="30">
        <v>15734191.460000001</v>
      </c>
      <c r="F8" s="48">
        <f t="shared" ref="F8:F17" si="1">E8/D8</f>
        <v>0.98021614896073472</v>
      </c>
      <c r="G8" s="30">
        <v>15051011.460000001</v>
      </c>
      <c r="H8" s="48">
        <f t="shared" ref="H8:H17" si="2">G8/D8</f>
        <v>0.93765507613094001</v>
      </c>
      <c r="I8" s="30">
        <v>7186788.5300000003</v>
      </c>
      <c r="J8" s="178">
        <f t="shared" ref="J8:J17" si="3">I8/D8</f>
        <v>0.4477259727124091</v>
      </c>
      <c r="K8" s="635">
        <v>14964164.710000001</v>
      </c>
      <c r="L8" s="414">
        <v>0.94066323648243488</v>
      </c>
      <c r="M8" s="443">
        <f t="shared" si="0"/>
        <v>5.8036483614727352E-3</v>
      </c>
      <c r="N8" s="635">
        <v>4686685.32</v>
      </c>
      <c r="O8" s="414">
        <v>0.29461000108745233</v>
      </c>
      <c r="P8" s="443">
        <f t="shared" ref="P8:P17" si="4">+I8/N8-1</f>
        <v>0.53344806388665322</v>
      </c>
    </row>
    <row r="9" spans="1:16" ht="15" customHeight="1" x14ac:dyDescent="0.25">
      <c r="A9" s="55">
        <v>5</v>
      </c>
      <c r="B9" s="55" t="s">
        <v>453</v>
      </c>
      <c r="C9" s="176"/>
      <c r="D9" s="516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7"/>
      <c r="L9" s="268"/>
      <c r="M9" s="496" t="s">
        <v>129</v>
      </c>
      <c r="N9" s="567"/>
      <c r="O9" s="268"/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44042057.960000001</v>
      </c>
      <c r="D10" s="152">
        <f>SUM(D5:D9)</f>
        <v>44329787.079999998</v>
      </c>
      <c r="E10" s="84">
        <f>SUM(E5:E9)</f>
        <v>40435894.700000003</v>
      </c>
      <c r="F10" s="90">
        <f t="shared" si="1"/>
        <v>0.91216081473676247</v>
      </c>
      <c r="G10" s="84">
        <f>SUM(G5:G9)</f>
        <v>39202101.649999999</v>
      </c>
      <c r="H10" s="90">
        <f t="shared" si="2"/>
        <v>0.8843286700036187</v>
      </c>
      <c r="I10" s="84">
        <f>SUM(I5:I9)</f>
        <v>14617633.539999999</v>
      </c>
      <c r="J10" s="170">
        <f t="shared" si="3"/>
        <v>0.32974743401361717</v>
      </c>
      <c r="K10" s="568">
        <f>SUM(K5:K9)</f>
        <v>37755925.659999996</v>
      </c>
      <c r="L10" s="90">
        <v>0.86641340845268944</v>
      </c>
      <c r="M10" s="213">
        <f t="shared" si="0"/>
        <v>3.8303285238537654E-2</v>
      </c>
      <c r="N10" s="568">
        <f>SUM(N5:N9)</f>
        <v>12233699.030000001</v>
      </c>
      <c r="O10" s="90">
        <v>0.28073582329875429</v>
      </c>
      <c r="P10" s="213">
        <f t="shared" si="4"/>
        <v>0.19486620556497347</v>
      </c>
    </row>
    <row r="11" spans="1:16" ht="15" customHeight="1" x14ac:dyDescent="0.25">
      <c r="A11" s="21">
        <v>6</v>
      </c>
      <c r="B11" s="21" t="s">
        <v>5</v>
      </c>
      <c r="C11" s="159">
        <v>737665.31</v>
      </c>
      <c r="D11" s="204">
        <v>1003213.04</v>
      </c>
      <c r="E11" s="30">
        <v>450167.7</v>
      </c>
      <c r="F11" s="48">
        <f t="shared" si="1"/>
        <v>0.4487259256518436</v>
      </c>
      <c r="G11" s="30">
        <v>390394.12</v>
      </c>
      <c r="H11" s="48">
        <f t="shared" si="2"/>
        <v>0.38914378545159262</v>
      </c>
      <c r="I11" s="30">
        <v>87857.27</v>
      </c>
      <c r="J11" s="153">
        <f t="shared" si="3"/>
        <v>8.7575885177888044E-2</v>
      </c>
      <c r="K11" s="565">
        <v>237517.17</v>
      </c>
      <c r="L11" s="48">
        <v>0.28310067973697878</v>
      </c>
      <c r="M11" s="224">
        <f t="shared" si="0"/>
        <v>0.64364588884247809</v>
      </c>
      <c r="N11" s="565">
        <v>17531.93</v>
      </c>
      <c r="O11" s="48">
        <v>2.0896600023068354E-2</v>
      </c>
      <c r="P11" s="224">
        <f t="shared" si="4"/>
        <v>4.0112720048505786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9"/>
      <c r="L12" s="390"/>
      <c r="M12" s="559" t="s">
        <v>129</v>
      </c>
      <c r="N12" s="569"/>
      <c r="O12" s="390"/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737665.31</v>
      </c>
      <c r="D13" s="152">
        <f t="shared" ref="D13:I13" si="5">SUM(D11:D12)</f>
        <v>1003213.04</v>
      </c>
      <c r="E13" s="84">
        <f t="shared" si="5"/>
        <v>450167.7</v>
      </c>
      <c r="F13" s="90">
        <f t="shared" si="1"/>
        <v>0.4487259256518436</v>
      </c>
      <c r="G13" s="84">
        <f t="shared" si="5"/>
        <v>390394.12</v>
      </c>
      <c r="H13" s="90">
        <f t="shared" si="2"/>
        <v>0.38914378545159262</v>
      </c>
      <c r="I13" s="84">
        <f t="shared" si="5"/>
        <v>87857.27</v>
      </c>
      <c r="J13" s="170">
        <f t="shared" si="3"/>
        <v>8.7575885177888044E-2</v>
      </c>
      <c r="K13" s="568">
        <f>SUM(K11:K12)</f>
        <v>237517.17</v>
      </c>
      <c r="L13" s="90">
        <v>0.28310067973697878</v>
      </c>
      <c r="M13" s="629">
        <f t="shared" si="0"/>
        <v>0.64364588884247809</v>
      </c>
      <c r="N13" s="568">
        <f>SUM(N11:N12)</f>
        <v>17531.93</v>
      </c>
      <c r="O13" s="90">
        <v>2.0896600023068354E-2</v>
      </c>
      <c r="P13" s="90">
        <f t="shared" si="4"/>
        <v>4.0112720048505786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65"/>
      <c r="L14" s="417"/>
      <c r="M14" s="224" t="s">
        <v>129</v>
      </c>
      <c r="N14" s="565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9"/>
      <c r="L15" s="521"/>
      <c r="M15" s="520" t="s">
        <v>129</v>
      </c>
      <c r="N15" s="569"/>
      <c r="O15" s="521"/>
      <c r="P15" s="520" t="s">
        <v>129</v>
      </c>
    </row>
    <row r="16" spans="1:16" ht="15" customHeight="1" thickBot="1" x14ac:dyDescent="0.3">
      <c r="A16" s="9"/>
      <c r="B16" s="2" t="s">
        <v>10</v>
      </c>
      <c r="C16" s="519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8">
        <f>SUM(K14:K15)</f>
        <v>0</v>
      </c>
      <c r="L16" s="514" t="s">
        <v>129</v>
      </c>
      <c r="M16" s="641" t="s">
        <v>129</v>
      </c>
      <c r="N16" s="568">
        <f>SUM(N14:N15)</f>
        <v>0</v>
      </c>
      <c r="O16" s="514" t="s">
        <v>129</v>
      </c>
      <c r="P16" s="641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45333000.119999997</v>
      </c>
      <c r="E17" s="155">
        <f t="shared" si="7"/>
        <v>40886062.400000006</v>
      </c>
      <c r="F17" s="181">
        <f t="shared" si="1"/>
        <v>0.90190506456160857</v>
      </c>
      <c r="G17" s="155">
        <f t="shared" si="7"/>
        <v>39592495.769999996</v>
      </c>
      <c r="H17" s="181">
        <f t="shared" si="2"/>
        <v>0.87337029680796685</v>
      </c>
      <c r="I17" s="155">
        <f t="shared" si="7"/>
        <v>14705490.809999999</v>
      </c>
      <c r="J17" s="173">
        <f t="shared" si="3"/>
        <v>0.32438821103993593</v>
      </c>
      <c r="K17" s="576">
        <f>K10+K13+K16</f>
        <v>37993442.829999998</v>
      </c>
      <c r="L17" s="181">
        <v>0.85539513171416393</v>
      </c>
      <c r="M17" s="607">
        <f t="shared" si="0"/>
        <v>4.2087603041264021E-2</v>
      </c>
      <c r="N17" s="576">
        <f>N10+N13+N16</f>
        <v>12251230.960000001</v>
      </c>
      <c r="O17" s="181">
        <v>0.27582768341317604</v>
      </c>
      <c r="P17" s="607">
        <f t="shared" si="4"/>
        <v>0.20032761263036369</v>
      </c>
    </row>
    <row r="136" spans="12:15" x14ac:dyDescent="0.25">
      <c r="L136" s="686"/>
      <c r="O136" s="686"/>
    </row>
    <row r="137" spans="12:15" x14ac:dyDescent="0.25">
      <c r="L137" s="686"/>
      <c r="O137" s="686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E13" sqref="E1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F21" sqref="F21"/>
    </sheetView>
  </sheetViews>
  <sheetFormatPr defaultColWidth="11.44140625" defaultRowHeight="13.2" x14ac:dyDescent="0.25"/>
  <cols>
    <col min="1" max="1" width="23" customWidth="1"/>
    <col min="2" max="2" width="11.44140625" style="46" bestFit="1" customWidth="1"/>
    <col min="3" max="3" width="13.33203125" style="46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134</v>
      </c>
    </row>
    <row r="3" spans="1:13" ht="26.4" x14ac:dyDescent="0.25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5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5">
      <c r="A5" s="50" t="s">
        <v>136</v>
      </c>
      <c r="B5" s="54">
        <f>+DTProg!C80-DCap!C17</f>
        <v>0</v>
      </c>
      <c r="C5" s="54">
        <f>+DTProg!D80-DCap!E17</f>
        <v>0</v>
      </c>
      <c r="D5" s="54">
        <f>+DTProg!E80-DCap!G17</f>
        <v>0</v>
      </c>
      <c r="E5" s="54"/>
      <c r="F5" s="54">
        <f>+DTProg!G80-DCap!I17</f>
        <v>0</v>
      </c>
      <c r="G5" s="54"/>
      <c r="H5" s="54">
        <f>+DTProg!I80-DCap!K17</f>
        <v>0</v>
      </c>
      <c r="I5" s="54"/>
    </row>
    <row r="6" spans="1:13" s="51" customFormat="1" x14ac:dyDescent="0.25">
      <c r="A6" s="50" t="s">
        <v>137</v>
      </c>
      <c r="B6" s="54">
        <f>+DOrg!C29-DCap!C17</f>
        <v>0</v>
      </c>
      <c r="C6" s="54">
        <f>+DOrg!D29-DCap!E17</f>
        <v>0</v>
      </c>
      <c r="D6" s="54">
        <f>+DOrg!E29-DCap!G17</f>
        <v>0</v>
      </c>
      <c r="E6" s="54"/>
      <c r="F6" s="54">
        <f>+DOrg!G29-DCap!I17</f>
        <v>0</v>
      </c>
      <c r="G6" s="54"/>
      <c r="H6" s="54">
        <f>+DOrg!I29-DCap!K17</f>
        <v>0</v>
      </c>
      <c r="I6" s="54"/>
    </row>
    <row r="7" spans="1:13" x14ac:dyDescent="0.25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5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5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5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5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5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5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5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5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35"/>
  <sheetViews>
    <sheetView zoomScaleNormal="100" workbookViewId="0">
      <selection activeCell="N21" sqref="N2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229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9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S137"/>
  <sheetViews>
    <sheetView topLeftCell="F1" zoomScaleNormal="100" workbookViewId="0">
      <selection activeCell="L11" sqref="L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7.6640625" style="97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64" t="s">
        <v>765</v>
      </c>
      <c r="D2" s="267" t="s">
        <v>148</v>
      </c>
      <c r="E2" s="749" t="s">
        <v>780</v>
      </c>
      <c r="F2" s="750"/>
      <c r="G2" s="750"/>
      <c r="H2" s="750"/>
      <c r="I2" s="750"/>
      <c r="J2" s="750"/>
      <c r="K2" s="750"/>
      <c r="L2" s="750"/>
      <c r="M2" s="751"/>
      <c r="N2" s="749" t="s">
        <v>781</v>
      </c>
      <c r="O2" s="750"/>
      <c r="P2" s="750"/>
      <c r="Q2" s="750"/>
      <c r="R2" s="750"/>
      <c r="S2" s="751"/>
    </row>
    <row r="3" spans="1:19" x14ac:dyDescent="0.25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543</v>
      </c>
      <c r="O3" s="88" t="s">
        <v>544</v>
      </c>
      <c r="P3" s="88" t="s">
        <v>545</v>
      </c>
      <c r="Q3" s="87" t="s">
        <v>39</v>
      </c>
      <c r="R3" s="88" t="s">
        <v>40</v>
      </c>
      <c r="S3" s="570" t="s">
        <v>362</v>
      </c>
    </row>
    <row r="4" spans="1:19" ht="39.6" x14ac:dyDescent="0.25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764</v>
      </c>
      <c r="Q4" s="564" t="s">
        <v>17</v>
      </c>
      <c r="R4" s="89" t="s">
        <v>18</v>
      </c>
      <c r="S4" s="571" t="s">
        <v>764</v>
      </c>
    </row>
    <row r="5" spans="1:19" ht="15" customHeight="1" x14ac:dyDescent="0.25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374851443.07999998</v>
      </c>
      <c r="F5" s="262">
        <f>E5/E17</f>
        <v>0.13615808222441103</v>
      </c>
      <c r="G5" s="136">
        <v>146733330.16999999</v>
      </c>
      <c r="H5" s="48">
        <f>+G5/E5</f>
        <v>0.3914439516741689</v>
      </c>
      <c r="I5" s="136">
        <v>146290556.15000001</v>
      </c>
      <c r="J5" s="48">
        <f t="shared" ref="J5:J17" si="0">+I5/E5</f>
        <v>0.39026275302021179</v>
      </c>
      <c r="K5" s="136">
        <v>145631917.87</v>
      </c>
      <c r="L5" s="262">
        <f>K5/K17</f>
        <v>0.17985203333142252</v>
      </c>
      <c r="M5" s="153">
        <f t="shared" ref="M5:M17" si="1">+K5/E5</f>
        <v>0.38850568820918091</v>
      </c>
      <c r="N5" s="565">
        <v>187301247</v>
      </c>
      <c r="O5" s="48">
        <v>0.42555338815402588</v>
      </c>
      <c r="P5" s="572">
        <f>+I5/N5-1</f>
        <v>-0.2189557811646603</v>
      </c>
      <c r="Q5" s="565">
        <v>186856033.72</v>
      </c>
      <c r="R5" s="48">
        <v>0.42454185180394932</v>
      </c>
      <c r="S5" s="572">
        <f>+K5/Q5-1</f>
        <v>-0.22061966653842979</v>
      </c>
    </row>
    <row r="6" spans="1:19" ht="15" customHeight="1" x14ac:dyDescent="0.25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660672342.51999998</v>
      </c>
      <c r="F6" s="262">
        <f>E6/E17</f>
        <v>0.23997741184374796</v>
      </c>
      <c r="G6" s="136">
        <v>580799314.96000004</v>
      </c>
      <c r="H6" s="280">
        <f t="shared" ref="H6:H10" si="2">+G6/E6</f>
        <v>0.87910341871533393</v>
      </c>
      <c r="I6" s="136">
        <v>548077948.58000004</v>
      </c>
      <c r="J6" s="280">
        <f t="shared" si="0"/>
        <v>0.8295760444420428</v>
      </c>
      <c r="K6" s="136">
        <v>149199385.66</v>
      </c>
      <c r="L6" s="410">
        <f>K6/K17</f>
        <v>0.18425777312569344</v>
      </c>
      <c r="M6" s="178">
        <f t="shared" si="1"/>
        <v>0.22582962242813034</v>
      </c>
      <c r="N6" s="566">
        <v>514918583.37</v>
      </c>
      <c r="O6" s="280">
        <v>0.81795122888893956</v>
      </c>
      <c r="P6" s="572">
        <f t="shared" ref="P6:P17" si="3">+I6/N6-1</f>
        <v>6.4397297516398E-2</v>
      </c>
      <c r="Q6" s="566">
        <v>136624970.91</v>
      </c>
      <c r="R6" s="280">
        <v>0.21702957799922551</v>
      </c>
      <c r="S6" s="573">
        <f>+K6/Q6-1</f>
        <v>9.2035992148779666E-2</v>
      </c>
    </row>
    <row r="7" spans="1:19" ht="15" customHeight="1" x14ac:dyDescent="0.25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8.0274297263870729E-3</v>
      </c>
      <c r="G7" s="136">
        <v>5261110.22</v>
      </c>
      <c r="H7" s="280">
        <f t="shared" si="2"/>
        <v>0.23805928597285067</v>
      </c>
      <c r="I7" s="136">
        <v>5261110.22</v>
      </c>
      <c r="J7" s="280">
        <f t="shared" si="0"/>
        <v>0.23805928597285067</v>
      </c>
      <c r="K7" s="136">
        <v>5261110.22</v>
      </c>
      <c r="L7" s="410">
        <f>K7/K17</f>
        <v>6.4973488263224202E-3</v>
      </c>
      <c r="M7" s="178">
        <f>+K7/E7</f>
        <v>0.23805928597285067</v>
      </c>
      <c r="N7" s="566">
        <v>6644486.8600000003</v>
      </c>
      <c r="O7" s="280">
        <v>0.26736899548407422</v>
      </c>
      <c r="P7" s="572">
        <f t="shared" si="3"/>
        <v>-0.20819916859614351</v>
      </c>
      <c r="Q7" s="566">
        <v>6644486.8600000003</v>
      </c>
      <c r="R7" s="280">
        <v>0.26736899548407422</v>
      </c>
      <c r="S7" s="573">
        <f>+K7/Q7-1</f>
        <v>-0.20819916859614351</v>
      </c>
    </row>
    <row r="8" spans="1:19" ht="15" customHeight="1" x14ac:dyDescent="0.25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1102652340.7</v>
      </c>
      <c r="F8" s="410">
        <f>E8/E17</f>
        <v>0.40051874106812069</v>
      </c>
      <c r="G8" s="136">
        <v>906953100.53999996</v>
      </c>
      <c r="H8" s="280">
        <f t="shared" si="2"/>
        <v>0.82251954406974392</v>
      </c>
      <c r="I8" s="136">
        <v>878465599.5</v>
      </c>
      <c r="J8" s="280">
        <f t="shared" si="0"/>
        <v>0.79668411073459566</v>
      </c>
      <c r="K8" s="136">
        <v>397947754.73000002</v>
      </c>
      <c r="L8" s="410">
        <f>K8/K17</f>
        <v>0.49145622673014594</v>
      </c>
      <c r="M8" s="427">
        <f t="shared" si="1"/>
        <v>0.36090047609872178</v>
      </c>
      <c r="N8" s="566">
        <v>824403088.19000006</v>
      </c>
      <c r="O8" s="280">
        <v>0.78264608167035921</v>
      </c>
      <c r="P8" s="572">
        <f t="shared" si="3"/>
        <v>6.5577764184139298E-2</v>
      </c>
      <c r="Q8" s="566">
        <v>405712251.42000002</v>
      </c>
      <c r="R8" s="280">
        <v>0.38516243862776717</v>
      </c>
      <c r="S8" s="573">
        <f>+K8/Q8-1</f>
        <v>-1.9137939913877688E-2</v>
      </c>
    </row>
    <row r="9" spans="1:19" ht="15" customHeight="1" x14ac:dyDescent="0.25">
      <c r="A9" s="55">
        <v>5</v>
      </c>
      <c r="B9" s="55" t="s">
        <v>453</v>
      </c>
      <c r="C9" s="176">
        <v>13647818.9</v>
      </c>
      <c r="D9" s="537">
        <f>C9/C17</f>
        <v>4.9879030893436021E-3</v>
      </c>
      <c r="E9" s="539">
        <v>9094613.3699999992</v>
      </c>
      <c r="F9" s="685">
        <f>E9/E17</f>
        <v>3.3034556432730909E-3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7">
        <v>0</v>
      </c>
      <c r="O9" s="78" t="s">
        <v>129</v>
      </c>
      <c r="P9" s="572" t="s">
        <v>129</v>
      </c>
      <c r="Q9" s="567">
        <v>0</v>
      </c>
      <c r="R9" s="78" t="s">
        <v>129</v>
      </c>
      <c r="S9" s="684" t="s">
        <v>129</v>
      </c>
    </row>
    <row r="10" spans="1:19" ht="15" customHeight="1" x14ac:dyDescent="0.25">
      <c r="A10" s="9"/>
      <c r="B10" s="2" t="s">
        <v>4</v>
      </c>
      <c r="C10" s="162">
        <f>SUM(C5:C9)</f>
        <v>2151399911.2599998</v>
      </c>
      <c r="D10" s="538">
        <f>C10/C17</f>
        <v>0.78627759808472431</v>
      </c>
      <c r="E10" s="152">
        <f>SUM(E5:E9)</f>
        <v>2169370739.6700001</v>
      </c>
      <c r="F10" s="263">
        <f>E10/E17</f>
        <v>0.78798512050593983</v>
      </c>
      <c r="G10" s="84">
        <f>SUM(G5:G9)</f>
        <v>1639746855.8899999</v>
      </c>
      <c r="H10" s="90">
        <f t="shared" si="2"/>
        <v>0.75586289881435142</v>
      </c>
      <c r="I10" s="84">
        <f>SUM(I5:I9)</f>
        <v>1578095214.45</v>
      </c>
      <c r="J10" s="90">
        <f t="shared" si="0"/>
        <v>0.72744376311171988</v>
      </c>
      <c r="K10" s="84">
        <f>SUM(K5:K8)</f>
        <v>698040168.48000002</v>
      </c>
      <c r="L10" s="263">
        <f>K10/K17</f>
        <v>0.86206338201358435</v>
      </c>
      <c r="M10" s="170">
        <f t="shared" si="1"/>
        <v>0.321770804646413</v>
      </c>
      <c r="N10" s="568">
        <f>SUM(N5:N9)</f>
        <v>1533267405.4200001</v>
      </c>
      <c r="O10" s="90">
        <v>0.70861150342561585</v>
      </c>
      <c r="P10" s="574">
        <f t="shared" si="3"/>
        <v>2.923678470665747E-2</v>
      </c>
      <c r="Q10" s="568">
        <f>SUM(Q5:Q8)</f>
        <v>735837742.91000009</v>
      </c>
      <c r="R10" s="90">
        <v>0.34007315843118457</v>
      </c>
      <c r="S10" s="574">
        <f>+K10/Q10-1</f>
        <v>-5.1366724246194373E-2</v>
      </c>
    </row>
    <row r="11" spans="1:19" ht="15" customHeight="1" x14ac:dyDescent="0.25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397238251.52999997</v>
      </c>
      <c r="F11" s="262">
        <f>E11/E17</f>
        <v>0.14428968999049532</v>
      </c>
      <c r="G11" s="136">
        <v>166522612.71000001</v>
      </c>
      <c r="H11" s="48">
        <f t="shared" ref="H11:H17" si="4">+G11/E11</f>
        <v>0.41920085004055557</v>
      </c>
      <c r="I11" s="136">
        <v>158790109.97999999</v>
      </c>
      <c r="J11" s="48">
        <f t="shared" si="0"/>
        <v>0.39973519510874178</v>
      </c>
      <c r="K11" s="136">
        <v>63559388.93</v>
      </c>
      <c r="L11" s="262">
        <f>K11/K17</f>
        <v>7.8494367880037635E-2</v>
      </c>
      <c r="M11" s="153">
        <f t="shared" si="1"/>
        <v>0.16000319376393163</v>
      </c>
      <c r="N11" s="565">
        <v>120258254.20999999</v>
      </c>
      <c r="O11" s="48">
        <v>0.33739571711932326</v>
      </c>
      <c r="P11" s="572">
        <f t="shared" si="3"/>
        <v>0.32040923945822519</v>
      </c>
      <c r="Q11" s="565">
        <v>58330625.210000001</v>
      </c>
      <c r="R11" s="48">
        <v>0.16365199421887092</v>
      </c>
      <c r="S11" s="572">
        <f t="shared" ref="S11:S17" si="5">+K11/Q11-1</f>
        <v>8.9640111025307556E-2</v>
      </c>
    </row>
    <row r="12" spans="1:19" ht="15" customHeight="1" x14ac:dyDescent="0.25">
      <c r="A12" s="24">
        <v>7</v>
      </c>
      <c r="B12" s="24" t="s">
        <v>6</v>
      </c>
      <c r="C12" s="176">
        <v>17224944.199999999</v>
      </c>
      <c r="D12" s="537">
        <f>C12/C17</f>
        <v>6.2952441718691883E-3</v>
      </c>
      <c r="E12" s="540">
        <v>30771469.530000001</v>
      </c>
      <c r="F12" s="264">
        <f>E12/E17</f>
        <v>1.1177185937997106E-2</v>
      </c>
      <c r="G12" s="137">
        <v>16044684.199999999</v>
      </c>
      <c r="H12" s="390">
        <f t="shared" si="4"/>
        <v>0.52141429853902721</v>
      </c>
      <c r="I12" s="137">
        <v>15744684.199999999</v>
      </c>
      <c r="J12" s="390">
        <f t="shared" si="0"/>
        <v>0.51166500789473346</v>
      </c>
      <c r="K12" s="137">
        <v>129251.09</v>
      </c>
      <c r="L12" s="264">
        <f>K12/K17</f>
        <v>1.5962209168702676E-4</v>
      </c>
      <c r="M12" s="392">
        <f t="shared" si="1"/>
        <v>4.2003548083392427E-3</v>
      </c>
      <c r="N12" s="569">
        <v>5469576.3799999999</v>
      </c>
      <c r="O12" s="390">
        <v>0.13368717772620883</v>
      </c>
      <c r="P12" s="575">
        <f t="shared" si="3"/>
        <v>1.8785929852944112</v>
      </c>
      <c r="Q12" s="569">
        <v>2098792.5099999998</v>
      </c>
      <c r="R12" s="390">
        <v>5.1298606656409083E-2</v>
      </c>
      <c r="S12" s="572">
        <f t="shared" si="5"/>
        <v>-0.93841645165772003</v>
      </c>
    </row>
    <row r="13" spans="1:19" ht="15" customHeight="1" x14ac:dyDescent="0.25">
      <c r="A13" s="9"/>
      <c r="B13" s="2" t="s">
        <v>7</v>
      </c>
      <c r="C13" s="162">
        <f>SUM(C11:C12)</f>
        <v>429103665.46999997</v>
      </c>
      <c r="D13" s="538">
        <f>C13/C17</f>
        <v>0.15682560813043001</v>
      </c>
      <c r="E13" s="152">
        <f>SUM(E11:E12)</f>
        <v>428009721.05999994</v>
      </c>
      <c r="F13" s="263">
        <f>E13/E17</f>
        <v>0.15546687592849243</v>
      </c>
      <c r="G13" s="84">
        <f>SUM(G11:G12)</f>
        <v>182567296.91</v>
      </c>
      <c r="H13" s="90">
        <f t="shared" si="4"/>
        <v>0.42654941681664993</v>
      </c>
      <c r="I13" s="84">
        <f>SUM(I11:I12)</f>
        <v>174534794.17999998</v>
      </c>
      <c r="J13" s="90">
        <f t="shared" si="0"/>
        <v>0.40778231332632059</v>
      </c>
      <c r="K13" s="84">
        <f>SUM(K11:K12)</f>
        <v>63688640.020000003</v>
      </c>
      <c r="L13" s="263">
        <f>K13/K17</f>
        <v>7.8653989971724667E-2</v>
      </c>
      <c r="M13" s="170">
        <f t="shared" si="1"/>
        <v>0.14880185399123658</v>
      </c>
      <c r="N13" s="568">
        <f>SUM(N11:N12)</f>
        <v>125727830.58999999</v>
      </c>
      <c r="O13" s="90">
        <v>0.31642050467398897</v>
      </c>
      <c r="P13" s="574">
        <f t="shared" si="3"/>
        <v>0.38819538491171546</v>
      </c>
      <c r="Q13" s="568">
        <f>SUM(Q11:Q12)</f>
        <v>60429417.719999999</v>
      </c>
      <c r="R13" s="90">
        <v>0.15208332763230328</v>
      </c>
      <c r="S13" s="574">
        <f t="shared" si="5"/>
        <v>5.3934365462557032E-2</v>
      </c>
    </row>
    <row r="14" spans="1:19" ht="15" customHeight="1" x14ac:dyDescent="0.25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1.0154181764536507E-2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10900399.48</v>
      </c>
      <c r="L14" s="262">
        <f>K14/K17</f>
        <v>1.3461739976210481E-2</v>
      </c>
      <c r="M14" s="153">
        <f t="shared" si="1"/>
        <v>0.38992557370198577</v>
      </c>
      <c r="N14" s="565">
        <v>19326131.140000001</v>
      </c>
      <c r="O14" s="48">
        <v>0.72796071824961106</v>
      </c>
      <c r="P14" s="572">
        <f t="shared" si="3"/>
        <v>0.18777405284646109</v>
      </c>
      <c r="Q14" s="565">
        <v>12242837.65</v>
      </c>
      <c r="R14" s="48">
        <v>0.46115307945216505</v>
      </c>
      <c r="S14" s="572">
        <f t="shared" si="5"/>
        <v>-0.10965090025513813</v>
      </c>
    </row>
    <row r="15" spans="1:19" ht="15" customHeight="1" x14ac:dyDescent="0.25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40">
        <v>127725000</v>
      </c>
      <c r="F15" s="264">
        <f>E15/E17</f>
        <v>4.6393821801031174E-2</v>
      </c>
      <c r="G15" s="137">
        <v>37102631.979999997</v>
      </c>
      <c r="H15" s="390">
        <f t="shared" si="4"/>
        <v>0.29048840853395963</v>
      </c>
      <c r="I15" s="137">
        <v>37102631.979999997</v>
      </c>
      <c r="J15" s="390">
        <f t="shared" si="0"/>
        <v>0.29048840853395963</v>
      </c>
      <c r="K15" s="137">
        <v>37102631.979999997</v>
      </c>
      <c r="L15" s="264">
        <f>K15/K17</f>
        <v>4.5820888038480528E-2</v>
      </c>
      <c r="M15" s="392">
        <f t="shared" si="1"/>
        <v>0.29048840853395963</v>
      </c>
      <c r="N15" s="569">
        <v>146854497.88999999</v>
      </c>
      <c r="O15" s="390">
        <v>0.93117541140166238</v>
      </c>
      <c r="P15" s="575">
        <f t="shared" si="3"/>
        <v>-0.74735106848554689</v>
      </c>
      <c r="Q15" s="569">
        <v>146854497.88999999</v>
      </c>
      <c r="R15" s="390">
        <v>0.93117541140166238</v>
      </c>
      <c r="S15" s="575">
        <f t="shared" si="5"/>
        <v>-0.74735106848554689</v>
      </c>
    </row>
    <row r="16" spans="1:19" ht="15" customHeight="1" thickBot="1" x14ac:dyDescent="0.3">
      <c r="A16" s="9"/>
      <c r="B16" s="2" t="s">
        <v>10</v>
      </c>
      <c r="C16" s="519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5.6548003565567682E-2</v>
      </c>
      <c r="G16" s="84">
        <f>SUM(G14:G15)</f>
        <v>60057709.089999996</v>
      </c>
      <c r="H16" s="90">
        <f t="shared" si="4"/>
        <v>0.38577646032102475</v>
      </c>
      <c r="I16" s="84">
        <f>SUM(I14:I15)</f>
        <v>60057709.089999996</v>
      </c>
      <c r="J16" s="90">
        <f t="shared" si="0"/>
        <v>0.38577646032102475</v>
      </c>
      <c r="K16" s="84">
        <f>SUM(K14:K15)</f>
        <v>48003031.459999993</v>
      </c>
      <c r="L16" s="263">
        <f>K16/K17</f>
        <v>5.9282628014691009E-2</v>
      </c>
      <c r="M16" s="170">
        <f t="shared" si="1"/>
        <v>0.30834408840947669</v>
      </c>
      <c r="N16" s="568">
        <f>SUM(N14:N15)</f>
        <v>166180629.02999997</v>
      </c>
      <c r="O16" s="90">
        <v>0.90189562104010712</v>
      </c>
      <c r="P16" s="574">
        <f t="shared" si="3"/>
        <v>-0.63859982092643297</v>
      </c>
      <c r="Q16" s="568">
        <f>SUM(Q14:Q15)</f>
        <v>159097335.53999999</v>
      </c>
      <c r="R16" s="90">
        <v>0.86345316587272647</v>
      </c>
      <c r="S16" s="574">
        <f t="shared" si="5"/>
        <v>-0.69827884736679868</v>
      </c>
    </row>
    <row r="17" spans="1:19" s="6" customFormat="1" ht="19.5" customHeight="1" thickBot="1" x14ac:dyDescent="0.3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2753060537.8400002</v>
      </c>
      <c r="F17" s="265"/>
      <c r="G17" s="155">
        <f>+G10+G13+G16</f>
        <v>1882371861.8899999</v>
      </c>
      <c r="H17" s="181">
        <f t="shared" si="4"/>
        <v>0.683737911323546</v>
      </c>
      <c r="I17" s="155">
        <f>+I10+I13+I16</f>
        <v>1812687717.72</v>
      </c>
      <c r="J17" s="181">
        <f t="shared" si="0"/>
        <v>0.65842639230236499</v>
      </c>
      <c r="K17" s="155">
        <f>+K10+K13+K16</f>
        <v>809731839.96000004</v>
      </c>
      <c r="L17" s="265"/>
      <c r="M17" s="173">
        <f t="shared" si="1"/>
        <v>0.29412060825778297</v>
      </c>
      <c r="N17" s="576">
        <f>N10+N13+N16</f>
        <v>1825175865.04</v>
      </c>
      <c r="O17" s="181">
        <v>0.66482101933943283</v>
      </c>
      <c r="P17" s="577">
        <f t="shared" si="3"/>
        <v>-6.8421611085276446E-3</v>
      </c>
      <c r="Q17" s="576">
        <f>+Q10+Q13+Q16</f>
        <v>955364496.17000008</v>
      </c>
      <c r="R17" s="181">
        <v>0.34799188963115263</v>
      </c>
      <c r="S17" s="577">
        <f t="shared" si="5"/>
        <v>-0.15243674722457534</v>
      </c>
    </row>
    <row r="18" spans="1:19" x14ac:dyDescent="0.25">
      <c r="D18" s="476"/>
      <c r="E18" s="46"/>
      <c r="G18" s="46"/>
      <c r="I18" s="46"/>
      <c r="K18" s="46"/>
    </row>
    <row r="19" spans="1:19" x14ac:dyDescent="0.25">
      <c r="A19" s="8" t="s">
        <v>783</v>
      </c>
      <c r="F19" s="411"/>
      <c r="G19" s="254"/>
      <c r="H19" s="411"/>
      <c r="K19" s="748"/>
      <c r="L19" s="748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9.6" x14ac:dyDescent="0.25">
      <c r="A21" s="1"/>
      <c r="B21" s="2" t="s">
        <v>12</v>
      </c>
      <c r="C21" s="3" t="s">
        <v>532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/>
    </row>
    <row r="22" spans="1:19" x14ac:dyDescent="0.25">
      <c r="A22" s="21">
        <v>1</v>
      </c>
      <c r="B22" s="21" t="s">
        <v>0</v>
      </c>
      <c r="C22" s="136" t="s">
        <v>148</v>
      </c>
      <c r="D22" s="136"/>
      <c r="E22" s="136">
        <v>27643179.620000001</v>
      </c>
      <c r="F22" s="48"/>
      <c r="G22" s="136">
        <v>27275055</v>
      </c>
      <c r="H22" s="48"/>
      <c r="I22" s="136"/>
      <c r="J22" s="48"/>
      <c r="K22" s="30"/>
      <c r="L22" s="30"/>
      <c r="M22" s="30"/>
      <c r="N22" s="337"/>
      <c r="O22" s="136"/>
      <c r="P22" s="48"/>
    </row>
    <row r="23" spans="1:19" x14ac:dyDescent="0.25">
      <c r="A23" s="23">
        <v>2</v>
      </c>
      <c r="B23" s="23" t="s">
        <v>1</v>
      </c>
      <c r="C23" s="133">
        <v>1468873.07</v>
      </c>
      <c r="D23" s="133"/>
      <c r="E23" s="133">
        <v>10730938.6</v>
      </c>
      <c r="F23" s="280"/>
      <c r="G23" s="133">
        <v>18288918.690000001</v>
      </c>
      <c r="H23" s="280"/>
      <c r="I23" s="133">
        <v>1698246.61</v>
      </c>
      <c r="J23" s="280"/>
      <c r="K23" s="32"/>
      <c r="L23" s="32"/>
      <c r="M23" s="32"/>
      <c r="N23" s="133"/>
      <c r="O23" s="133"/>
      <c r="P23" s="48"/>
    </row>
    <row r="24" spans="1:19" x14ac:dyDescent="0.25">
      <c r="A24" s="23">
        <v>3</v>
      </c>
      <c r="B24" s="23" t="s">
        <v>2</v>
      </c>
      <c r="C24" s="133"/>
      <c r="D24" s="133"/>
      <c r="E24" s="133" t="s">
        <v>148</v>
      </c>
      <c r="F24" s="280"/>
      <c r="G24" s="133"/>
      <c r="H24" s="280"/>
      <c r="I24" s="133"/>
      <c r="J24" s="280"/>
      <c r="K24" s="32"/>
      <c r="L24" s="32"/>
      <c r="M24" s="32"/>
      <c r="N24" s="133"/>
      <c r="O24" s="133"/>
      <c r="P24" s="48"/>
    </row>
    <row r="25" spans="1:19" x14ac:dyDescent="0.25">
      <c r="A25" s="23">
        <v>4</v>
      </c>
      <c r="B25" s="23" t="s">
        <v>3</v>
      </c>
      <c r="C25" s="133">
        <v>3330404.62</v>
      </c>
      <c r="D25" s="133"/>
      <c r="E25" s="133">
        <v>26502815.309999999</v>
      </c>
      <c r="F25" s="280"/>
      <c r="G25" s="133">
        <v>9931273.3800000008</v>
      </c>
      <c r="H25" s="280"/>
      <c r="I25" s="133">
        <v>6644823.1799999997</v>
      </c>
      <c r="J25" s="280"/>
      <c r="K25" s="32"/>
      <c r="L25" s="32"/>
      <c r="M25" s="465"/>
      <c r="N25" s="446"/>
      <c r="O25" s="133"/>
      <c r="P25" s="280"/>
    </row>
    <row r="26" spans="1:19" x14ac:dyDescent="0.25">
      <c r="A26" s="55">
        <v>5</v>
      </c>
      <c r="B26" s="55" t="s">
        <v>453</v>
      </c>
      <c r="C26" s="56"/>
      <c r="D26" s="56"/>
      <c r="E26" s="133" t="s">
        <v>148</v>
      </c>
      <c r="F26" s="78"/>
      <c r="G26" s="137">
        <v>4553205.53</v>
      </c>
      <c r="H26" s="78"/>
      <c r="I26" s="56"/>
      <c r="J26" s="78"/>
      <c r="K26" s="180"/>
      <c r="L26" s="180"/>
      <c r="M26" s="466"/>
      <c r="N26" s="338"/>
      <c r="O26" s="56"/>
      <c r="P26" s="78"/>
    </row>
    <row r="27" spans="1:19" x14ac:dyDescent="0.25">
      <c r="A27" s="9"/>
      <c r="B27" s="2" t="s">
        <v>4</v>
      </c>
      <c r="C27" s="19">
        <f>SUM(C22:C26)</f>
        <v>4799277.6900000004</v>
      </c>
      <c r="D27" s="19">
        <f>SUM(D22:D26)</f>
        <v>0</v>
      </c>
      <c r="E27" s="84">
        <f>SUM(E22:E26)</f>
        <v>64876933.530000001</v>
      </c>
      <c r="F27" s="44"/>
      <c r="G27" s="19">
        <f>SUM(G22:G26)</f>
        <v>60048452.600000001</v>
      </c>
      <c r="H27" s="44"/>
      <c r="I27" s="19">
        <f>SUM(I22:I26)</f>
        <v>8343069.79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84">
        <f>+C27+D27+E27-G27+I27+K27-M27+L27</f>
        <v>17970828.409999996</v>
      </c>
      <c r="P27" s="90"/>
      <c r="Q27" s="46"/>
    </row>
    <row r="28" spans="1:19" x14ac:dyDescent="0.25">
      <c r="A28" s="21">
        <v>6</v>
      </c>
      <c r="B28" s="21" t="s">
        <v>5</v>
      </c>
      <c r="C28" s="136">
        <v>17310</v>
      </c>
      <c r="D28" s="136"/>
      <c r="E28" s="136">
        <v>233576476.47</v>
      </c>
      <c r="F28" s="48"/>
      <c r="G28" s="136">
        <v>251738290.72999999</v>
      </c>
      <c r="H28" s="48"/>
      <c r="I28" s="136">
        <v>3504034.52</v>
      </c>
      <c r="J28" s="48"/>
      <c r="K28" s="180"/>
      <c r="L28" s="180"/>
      <c r="M28" s="30"/>
      <c r="N28" s="136"/>
      <c r="O28" s="136"/>
      <c r="P28" s="48"/>
    </row>
    <row r="29" spans="1:19" x14ac:dyDescent="0.25">
      <c r="A29" s="24">
        <v>7</v>
      </c>
      <c r="B29" s="24" t="s">
        <v>6</v>
      </c>
      <c r="C29" s="137">
        <v>213192</v>
      </c>
      <c r="D29" s="137"/>
      <c r="E29" s="56">
        <v>37683259.140000001</v>
      </c>
      <c r="F29" s="390"/>
      <c r="G29" s="56">
        <v>24349925.809999999</v>
      </c>
      <c r="H29" s="390"/>
      <c r="I29" s="137"/>
      <c r="J29" s="390"/>
      <c r="K29" s="34"/>
      <c r="L29" s="34"/>
      <c r="M29" s="466"/>
      <c r="N29" s="338"/>
      <c r="O29" s="137"/>
      <c r="P29" s="264"/>
    </row>
    <row r="30" spans="1:19" x14ac:dyDescent="0.25">
      <c r="A30" s="9"/>
      <c r="B30" s="2" t="s">
        <v>7</v>
      </c>
      <c r="C30" s="19">
        <f>SUM(C28:C29)</f>
        <v>230502</v>
      </c>
      <c r="D30" s="19">
        <f>SUM(D28:D29)</f>
        <v>0</v>
      </c>
      <c r="E30" s="19">
        <f>SUM(E28:E29)</f>
        <v>271259735.61000001</v>
      </c>
      <c r="F30" s="44"/>
      <c r="G30" s="19">
        <f>SUM(G28:G29)</f>
        <v>276088216.53999996</v>
      </c>
      <c r="H30" s="44"/>
      <c r="I30" s="19">
        <f>SUM(I28:I29)</f>
        <v>3504034.52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84">
        <f>+C30+D30+E30-G30+I30+K30-M30+L30</f>
        <v>-1093944.4099999475</v>
      </c>
      <c r="P30" s="90"/>
      <c r="Q30" s="46"/>
    </row>
    <row r="31" spans="1:19" x14ac:dyDescent="0.25">
      <c r="A31" s="21">
        <v>8</v>
      </c>
      <c r="B31" s="21" t="s">
        <v>8</v>
      </c>
      <c r="C31" s="22"/>
      <c r="D31" s="136"/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5">
      <c r="A32" s="24">
        <v>9</v>
      </c>
      <c r="B32" s="24" t="s">
        <v>9</v>
      </c>
      <c r="C32" s="25"/>
      <c r="D32" s="137"/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8" thickBot="1" x14ac:dyDescent="0.3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8" thickBot="1" x14ac:dyDescent="0.3">
      <c r="A34" s="5"/>
      <c r="B34" s="4" t="s">
        <v>11</v>
      </c>
      <c r="C34" s="20">
        <f>+C27+C30+C33</f>
        <v>5029779.6900000004</v>
      </c>
      <c r="D34" s="20">
        <f>+D27+D30+D33</f>
        <v>0</v>
      </c>
      <c r="E34" s="20">
        <f>+E27+E30+E33</f>
        <v>336136669.13999999</v>
      </c>
      <c r="F34" s="45"/>
      <c r="G34" s="20">
        <f>+G27+G30+G33</f>
        <v>336136669.13999999</v>
      </c>
      <c r="H34" s="45"/>
      <c r="I34" s="20">
        <f>+I27+I30+I33</f>
        <v>11847104.310000001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16876884.000000048</v>
      </c>
      <c r="P34" s="45"/>
    </row>
    <row r="36" spans="1:16" x14ac:dyDescent="0.25">
      <c r="N36" s="46"/>
    </row>
    <row r="37" spans="1:16" x14ac:dyDescent="0.25">
      <c r="B37" s="46"/>
    </row>
    <row r="136" spans="12:15" x14ac:dyDescent="0.25">
      <c r="L136" s="686"/>
      <c r="O136" s="686"/>
    </row>
    <row r="137" spans="12:15" x14ac:dyDescent="0.25">
      <c r="L137" s="686"/>
      <c r="N137" s="46"/>
      <c r="O137" s="686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56"/>
  <sheetViews>
    <sheetView zoomScaleNormal="100" workbookViewId="0">
      <selection activeCell="A12" sqref="A1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10.5546875" style="97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Maig&amp;R&amp;"Arial,Negreta"&amp;8&amp;K03+000Direcció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34</vt:i4>
      </vt:variant>
    </vt:vector>
  </HeadingPairs>
  <TitlesOfParts>
    <vt:vector size="9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2017-06-14T15:53:47Z</cp:lastPrinted>
  <dcterms:created xsi:type="dcterms:W3CDTF">2011-01-04T08:57:13Z</dcterms:created>
  <dcterms:modified xsi:type="dcterms:W3CDTF">2017-06-16T12:47:40Z</dcterms:modified>
</cp:coreProperties>
</file>