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7875"/>
  </bookViews>
  <sheets>
    <sheet name="CAT" sheetId="4" r:id="rId1"/>
  </sheets>
  <definedNames>
    <definedName name="__FPMExcelClient_CellBasedFunctionStatus" localSheetId="0" hidden="1">"2_2_2_2_2"</definedName>
    <definedName name="_xlnm.Print_Area" localSheetId="0">CAT!$A$3:$P$201</definedName>
  </definedNames>
  <calcPr calcId="145621"/>
</workbook>
</file>

<file path=xl/calcChain.xml><?xml version="1.0" encoding="utf-8"?>
<calcChain xmlns="http://schemas.openxmlformats.org/spreadsheetml/2006/main">
  <c r="N105" i="4" l="1"/>
  <c r="N104" i="4"/>
  <c r="N102" i="4"/>
  <c r="N101" i="4"/>
  <c r="N100" i="4"/>
  <c r="N98" i="4"/>
  <c r="N97" i="4"/>
  <c r="N106" i="4" l="1"/>
  <c r="K102" i="4"/>
  <c r="K105" i="4"/>
  <c r="K104" i="4"/>
  <c r="K101" i="4"/>
  <c r="K99" i="4"/>
  <c r="K98" i="4"/>
  <c r="K97" i="4"/>
  <c r="L105" i="4"/>
  <c r="L104" i="4"/>
  <c r="L103" i="4"/>
  <c r="L102" i="4"/>
  <c r="L101" i="4"/>
  <c r="L100" i="4"/>
  <c r="L99" i="4"/>
  <c r="L98" i="4"/>
  <c r="L97" i="4"/>
  <c r="M105" i="4"/>
  <c r="M104" i="4"/>
  <c r="M103" i="4"/>
  <c r="M102" i="4"/>
  <c r="M101" i="4"/>
  <c r="M100" i="4"/>
  <c r="M99" i="4"/>
  <c r="M98" i="4"/>
  <c r="M97" i="4"/>
  <c r="K106" i="4" l="1"/>
  <c r="L106" i="4"/>
  <c r="M106" i="4"/>
  <c r="O106" i="4"/>
  <c r="L190" i="4" l="1"/>
  <c r="L200" i="4"/>
  <c r="L147" i="4" l="1"/>
  <c r="L142" i="4"/>
  <c r="L77" i="4"/>
  <c r="L92" i="4"/>
  <c r="L87" i="4" l="1"/>
  <c r="L82" i="4" l="1"/>
  <c r="K169" i="4"/>
  <c r="L169" i="4"/>
  <c r="L164" i="4"/>
  <c r="L179" i="4"/>
  <c r="L174" i="4"/>
  <c r="L72" i="4" l="1"/>
  <c r="L52" i="4"/>
  <c r="L57" i="4"/>
  <c r="L47" i="4"/>
  <c r="L42" i="4"/>
  <c r="L6" i="4"/>
  <c r="L37" i="4"/>
  <c r="L31" i="4"/>
  <c r="L11" i="4"/>
  <c r="K200" i="4" l="1"/>
  <c r="K190" i="4"/>
  <c r="K184" i="4"/>
  <c r="K179" i="4"/>
  <c r="K147" i="4"/>
  <c r="K142" i="4"/>
  <c r="K137" i="4"/>
  <c r="K132" i="4"/>
  <c r="K127" i="4"/>
  <c r="K122" i="4"/>
  <c r="K117" i="4"/>
  <c r="K112" i="4"/>
  <c r="K92" i="4"/>
  <c r="K82" i="4"/>
  <c r="K77" i="4"/>
  <c r="K72" i="4"/>
  <c r="K52" i="4"/>
  <c r="K47" i="4"/>
  <c r="K42" i="4"/>
  <c r="K37" i="4"/>
  <c r="K6" i="4"/>
</calcChain>
</file>

<file path=xl/sharedStrings.xml><?xml version="1.0" encoding="utf-8"?>
<sst xmlns="http://schemas.openxmlformats.org/spreadsheetml/2006/main" count="210" uniqueCount="102">
  <si>
    <t>Indicador</t>
  </si>
  <si>
    <t>Unitat</t>
  </si>
  <si>
    <t>Euros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</si>
  <si>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nº d'habitants</t>
    </r>
  </si>
  <si>
    <t>%</t>
  </si>
  <si>
    <t>--</t>
  </si>
  <si>
    <t>Període mitjà de pagament</t>
  </si>
  <si>
    <t xml:space="preserve">Període promig de pagament </t>
  </si>
  <si>
    <t>Període mitjà de cobrament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</si>
  <si>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pendents de pagament (capítols 1 a 9) x 365 / Obligacions reconegudes (capítols 1 a 9)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</si>
  <si>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(∑ dies entre pagament i factura *import /total import)</t>
    </r>
  </si>
  <si>
    <t>Dies</t>
  </si>
  <si>
    <t>Evolució temporal del deute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</si>
  <si>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</t>
    </r>
  </si>
  <si>
    <t>Cost mitjà del deute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</si>
  <si>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Interessos meritats / saldo (deute) mig disposat</t>
    </r>
  </si>
  <si>
    <t>Vida mitjana del deute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</si>
  <si>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Saldo (deute) x dies acumulat / Saldo viu (deute) / 365</t>
    </r>
  </si>
  <si>
    <t>Anys</t>
  </si>
  <si>
    <t>Endeutament relatiu</t>
  </si>
  <si>
    <t>Milions d'euros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</si>
  <si>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Drets reconeguts (capítols 1 a 9)</t>
    </r>
  </si>
  <si>
    <t>Ingressos corrents per habitant</t>
  </si>
  <si>
    <t>Ingressos fiscals per habitant</t>
  </si>
  <si>
    <t>Despeses corrents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</si>
  <si>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3) / nº d'habitants</t>
    </r>
  </si>
  <si>
    <t>Pes relatiu de les despeses financeres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</si>
  <si>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3) / Drets reconeguts (capítols 1 a 5)</t>
    </r>
  </si>
  <si>
    <t>Inversió (operacions de capital)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</si>
  <si>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6 i 7) / nº d'habitants</t>
    </r>
  </si>
  <si>
    <t>Esforç inversor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</si>
  <si>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:Obligacions reconegudes (capítols 6 i 7) / Obligacions reconegudes totals</t>
    </r>
  </si>
  <si>
    <t>% d'ingressos derivats de l'urbanisme envers el pressupost total d'ingressos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</si>
  <si>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(grup de programa "Urbanisme") / obligacions reconegudes (capítols 1 a 9)</t>
    </r>
  </si>
  <si>
    <t>% de despeses derivades de l'urbanisme envers el pressupost total de despeses*</t>
  </si>
  <si>
    <t>Execució del pressupost d'ingressos</t>
  </si>
  <si>
    <t>Execució dels ingressos corrents</t>
  </si>
  <si>
    <t>Execució dels ingressos de capital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</si>
  <si>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(capítols 6 i 7) / Previsions definitives (capítols 6 i 7)</t>
    </r>
  </si>
  <si>
    <t>Execució del pressupost de despeses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</si>
  <si>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totals / Crèdits definitius totals</t>
    </r>
  </si>
  <si>
    <t>Execució de les despeses corrents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</si>
  <si>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4) / Crèdits definitius (capítols 1 a 4)</t>
    </r>
  </si>
  <si>
    <t>Execució de les despeses de capital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</si>
  <si>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6 i 7) / Crèdits definitius (capítols 6 i 7)</t>
    </r>
  </si>
  <si>
    <t>Despeses no financeres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</si>
  <si>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7) / nº d'habitants</t>
    </r>
  </si>
  <si>
    <t>Despesa total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</si>
  <si>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9) / nº d'habitants</t>
    </r>
  </si>
  <si>
    <t>Autonomia fiscal</t>
  </si>
  <si>
    <t>Grau de dependència financera</t>
  </si>
  <si>
    <t>Superàvit/dèficit per habitant (en termes de resultat pressupostari ajustat)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</si>
  <si>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Resultat pressupostari ajustat / nº d'habitants</t>
    </r>
  </si>
  <si>
    <t>Saldo d'operacions no financeres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</si>
  <si>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(capítols 1 a 7) - Obligacions reconegudes (capítols 1 a 7) / nº d'habitants</t>
    </r>
  </si>
  <si>
    <t>Superàvit / Dèficit (CNF) en termes SEC</t>
  </si>
  <si>
    <t>Superàvit / Dèficit (CNF) per habitant en termes SEC</t>
  </si>
  <si>
    <t>Superàvit / Dèficit (CNF) en relació als ingressos no financers en termes SEC</t>
  </si>
  <si>
    <t>*El criteri d'imputació als programes relacionats amb l'urbanisme sobreestima aquest import. A partir de 2012 es canviar el criteri d'assignació de recursos a programes.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</si>
  <si>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6) / nº d'habitants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</si>
  <si>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:Superàvit o dèficit en termes SEC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</si>
  <si>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Superàvit o dèficit (en termes SEC) / nº d'habitants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</si>
  <si>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Superàvit o dèficit (en termes SEC) / ingressos no financers (en termes SEC)</t>
    </r>
  </si>
  <si>
    <t>INDICADORS RELATIUS A L'ENDEUTAMENT</t>
  </si>
  <si>
    <t>POSICIÓ PRESSUPOSTÀRIA (SUPERÀVIT/DÈFICIT)</t>
  </si>
  <si>
    <t>AUTONOMIA FISCAL I FINANCERA</t>
  </si>
  <si>
    <t>INDICADORS D'OPERACIONS DE CAPITAL</t>
  </si>
  <si>
    <t>EXECUCIÓ I MAGNITUD GLOBAL D'INGRESSOS I DESPESES</t>
  </si>
  <si>
    <t>Despeses financeres (interessos) per habitant</t>
  </si>
  <si>
    <t xml:space="preserve">*El criteri d'imputació de les despeses de capítol 6 ha patit una variació al llarg del temps, on s'ha tendit a passar d'imputar del capítol 7 al capítol 6 els encàrrecs d'inversió a les entitats dependents. </t>
  </si>
  <si>
    <t>Inversió directa per habitant*</t>
  </si>
  <si>
    <t>PAGAMENTS I COBRAMENTS (EXERCICI corrent)</t>
  </si>
  <si>
    <t xml:space="preserve">Endeutament per habitant </t>
  </si>
  <si>
    <r>
      <rPr>
        <b/>
        <sz val="8"/>
        <color theme="3"/>
        <rFont val="Calibri"/>
        <family val="2"/>
        <scheme val="minor"/>
      </rPr>
      <t>Fórmula:</t>
    </r>
    <r>
      <rPr>
        <sz val="8"/>
        <color theme="3"/>
        <rFont val="Calibri"/>
        <family val="2"/>
        <scheme val="minor"/>
      </rPr>
      <t xml:space="preserve"> Drets reconeguts nets / Previsions definitives totals</t>
    </r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</si>
  <si>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 reconeguts nets (capítols 1 a 5) / nº d'habitants</t>
    </r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</si>
  <si>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 reconeguts nets (capítols 1 a 3) / nº d'habitants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</si>
  <si>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nets(capítols 1 a 3) /Drets reconeguts (capítols 1 a 9)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</si>
  <si>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nets(capítols 4 i 7) / Drets reconeguts (capítols 1 a 7)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</si>
  <si>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:Drets reconeguts nets(ICIO, llicències urbanístiques i d'obres, taxes d'informes, planols i certificats urbanistics, costos d'urbanització, reparcel·lacions, càrregues urbanístiques i  cessió d'aprofitament urbanístic ) / Drets reconeguts (capítols 1 a 9)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</si>
  <si>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pendents de cobrament nets(capítols 1 a 3) x 365 / Drets reconeguts (capítols 1 a 3)</t>
    </r>
  </si>
  <si>
    <r>
      <t>Capacitat de retorn del deute amb ingressos corrents (</t>
    </r>
    <r>
      <rPr>
        <b/>
        <u/>
        <sz val="12"/>
        <color theme="3"/>
        <rFont val="Calibri"/>
        <family val="2"/>
        <scheme val="minor"/>
      </rPr>
      <t>en termes SEC</t>
    </r>
    <r>
      <rPr>
        <b/>
        <sz val="12"/>
        <color theme="3"/>
        <rFont val="Calibri"/>
        <family val="2"/>
        <scheme val="minor"/>
      </rPr>
      <t>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</si>
  <si>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Drets reconeguts (capítols 1 a 5) (en termes SEC)</t>
    </r>
  </si>
  <si>
    <t>Cal tenir en compte que al 2012 s'han retingut 40 milions d'euros en el capítol 6 per tal de complir amb el Programa Econòmic-Financer. El crèdit definitiu del capítol 6 incorpora aquesta baixa pel càlcul d'aquest indicador.</t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</si>
  <si>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 reconeguts nets(capítols 1 a 5) - Obligacions reconegudes (capítols 1 a 5) / Drets reconeguts (capítols 1 a 5)</t>
    </r>
  </si>
  <si>
    <t>Fórmula: (Ingressos corrents SEC - Despeses corrents SEC) / Ingressos corrents SEC</t>
  </si>
  <si>
    <t>% d'estalvi corrent envers els ingressos corrents</t>
  </si>
  <si>
    <r>
      <t>% d'estalvi corrent envers els ingressos corrents (</t>
    </r>
    <r>
      <rPr>
        <b/>
        <u/>
        <sz val="12"/>
        <color theme="3"/>
        <rFont val="Calibri"/>
        <family val="2"/>
        <scheme val="minor"/>
      </rPr>
      <t>en termes SEC</t>
    </r>
    <r>
      <rPr>
        <b/>
        <sz val="12"/>
        <color theme="3"/>
        <rFont val="Calibri"/>
        <family val="2"/>
        <scheme val="minor"/>
      </rPr>
      <t>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</si>
  <si>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5) / nº d'habitants</t>
    </r>
  </si>
  <si>
    <t>INDICADORS D'OPERACIONS CORRENTS</t>
  </si>
  <si>
    <t>Fórmula: Drets reconeguts nets(capítols 1 a 5) / Previsions definitives (capítols 1 a 5)</t>
  </si>
  <si>
    <t>Aigua i clavegueram Total</t>
  </si>
  <si>
    <t>Aparcaments</t>
  </si>
  <si>
    <t>Diversos Total</t>
  </si>
  <si>
    <t>Energia</t>
  </si>
  <si>
    <t>Infraestructures Total</t>
  </si>
  <si>
    <t>Parcs</t>
  </si>
  <si>
    <t>Residus Total</t>
  </si>
  <si>
    <t>Verd urbà i zones forestals</t>
  </si>
  <si>
    <t>Vials Total</t>
  </si>
  <si>
    <t>*Abans de 2013 no es classificaven les inversions en aquestes tipologies</t>
  </si>
  <si>
    <t xml:space="preserve">TOTAL inversions a l'espai públic per habitant </t>
  </si>
  <si>
    <r>
      <rPr>
        <b/>
        <sz val="8"/>
        <color theme="4" tint="-0.249977111117893"/>
        <rFont val="Calibri"/>
        <family val="2"/>
        <scheme val="minor"/>
      </rPr>
      <t>Fórmula:</t>
    </r>
    <r>
      <rPr>
        <sz val="8"/>
        <color theme="4" tint="-0.249977111117893"/>
        <rFont val="Calibri"/>
        <family val="2"/>
        <scheme val="minor"/>
      </rPr>
      <t xml:space="preserve"> xxx / nº d'habitants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</si>
</sst>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,,"/>
  </numFmts>
  <fonts count="32" x14ac:knownFonts="1">
    <font>
      <sz val="10"/>
      <color theme="1"/>
      <name val="Arial"/>
      <family val="2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ndara"/>
      <family val="2"/>
    </font>
    <font>
      <sz val="9"/>
      <color theme="1"/>
      <name val="Arial"/>
      <family val="2"/>
    </font>
    <font>
      <b/>
      <u/>
      <sz val="12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2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ck">
        <color theme="3"/>
      </left>
      <right style="thin">
        <color theme="4"/>
      </right>
      <top style="thick">
        <color theme="3"/>
      </top>
      <bottom/>
      <diagonal/>
    </border>
    <border>
      <left style="thin">
        <color theme="4"/>
      </left>
      <right style="thin">
        <color theme="4"/>
      </right>
      <top style="thick">
        <color theme="3"/>
      </top>
      <bottom/>
      <diagonal/>
    </border>
    <border>
      <left style="thin">
        <color theme="4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4"/>
      </right>
      <top/>
      <bottom style="thick">
        <color theme="3"/>
      </bottom>
      <diagonal/>
    </border>
    <border>
      <left style="thin">
        <color theme="4"/>
      </left>
      <right style="thin">
        <color theme="4"/>
      </right>
      <top/>
      <bottom style="thick">
        <color theme="3"/>
      </bottom>
      <diagonal/>
    </border>
    <border>
      <left style="thick">
        <color theme="3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ck">
        <color theme="3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ck">
        <color theme="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ck">
        <color theme="4" tint="-0.249977111117893"/>
      </bottom>
      <diagonal/>
    </border>
    <border>
      <left style="thick">
        <color theme="4" tint="-0.249977111117893"/>
      </left>
      <right/>
      <top/>
      <bottom/>
      <diagonal/>
    </border>
    <border>
      <left style="thick">
        <color theme="4" tint="-0.249977111117893"/>
      </left>
      <right style="thin">
        <color theme="4" tint="-0.249977111117893"/>
      </right>
      <top style="thick">
        <color theme="4" tint="-0.249977111117893"/>
      </top>
      <bottom style="thin">
        <color theme="4" tint="-0.249977111117893"/>
      </bottom>
      <diagonal/>
    </border>
    <border>
      <left style="thick">
        <color theme="4" tint="-0.249977111117893"/>
      </left>
      <right/>
      <top style="thin">
        <color theme="4" tint="-0.249977111117893"/>
      </top>
      <bottom/>
      <diagonal/>
    </border>
    <border>
      <left style="thick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ck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ck">
        <color theme="4" tint="-0.249977111117893"/>
      </bottom>
      <diagonal/>
    </border>
    <border>
      <left/>
      <right/>
      <top style="thick">
        <color theme="4" tint="-0.249977111117893"/>
      </top>
      <bottom/>
      <diagonal/>
    </border>
    <border>
      <left style="thin">
        <color theme="4" tint="-0.249977111117893"/>
      </left>
      <right style="thick">
        <color theme="3"/>
      </right>
      <top/>
      <bottom style="thick">
        <color theme="3"/>
      </bottom>
      <diagonal/>
    </border>
    <border>
      <left style="thin">
        <color theme="4" tint="-0.249977111117893"/>
      </left>
      <right style="thick">
        <color theme="3"/>
      </right>
      <top/>
      <bottom/>
      <diagonal/>
    </border>
    <border>
      <left style="thin">
        <color theme="4"/>
      </left>
      <right style="thin">
        <color theme="4" tint="-0.249977111117893"/>
      </right>
      <top/>
      <bottom style="thick">
        <color theme="3"/>
      </bottom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theme="4"/>
      </left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ck">
        <color theme="3"/>
      </left>
      <right/>
      <top/>
      <bottom/>
      <diagonal/>
    </border>
    <border>
      <left style="thin">
        <color theme="4" tint="-0.249977111117893"/>
      </left>
      <right style="thick">
        <color theme="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ck">
        <color theme="3"/>
      </right>
      <top style="thin">
        <color theme="4" tint="-0.249977111117893"/>
      </top>
      <bottom style="thick">
        <color theme="4" tint="-0.249977111117893"/>
      </bottom>
      <diagonal/>
    </border>
    <border>
      <left style="thin">
        <color theme="4" tint="-0.249977111117893"/>
      </left>
      <right/>
      <top/>
      <bottom style="thick">
        <color theme="4" tint="-0.249977111117893"/>
      </bottom>
      <diagonal/>
    </border>
    <border>
      <left/>
      <right style="thin">
        <color theme="4" tint="-0.249977111117893"/>
      </right>
      <top/>
      <bottom style="thick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ck">
        <color theme="4" tint="-0.249977111117893"/>
      </bottom>
      <diagonal/>
    </border>
    <border>
      <left/>
      <right/>
      <top/>
      <bottom style="thick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ck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ck">
        <color theme="3"/>
      </right>
      <top style="thick">
        <color theme="4" tint="-0.249977111117893"/>
      </top>
      <bottom style="thin">
        <color theme="4" tint="-0.249977111117893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ck">
        <color theme="4" tint="-0.249977111117893"/>
      </top>
      <bottom/>
      <diagonal/>
    </border>
    <border>
      <left style="thin">
        <color theme="4"/>
      </left>
      <right/>
      <top style="thick">
        <color theme="3"/>
      </top>
      <bottom style="thick">
        <color theme="4" tint="-0.249977111117893"/>
      </bottom>
      <diagonal/>
    </border>
    <border>
      <left/>
      <right/>
      <top style="thick">
        <color theme="3"/>
      </top>
      <bottom style="thick">
        <color theme="4" tint="-0.249977111117893"/>
      </bottom>
      <diagonal/>
    </border>
    <border>
      <left/>
      <right style="thin">
        <color theme="4"/>
      </right>
      <top style="thick">
        <color theme="3"/>
      </top>
      <bottom style="thick">
        <color theme="4" tint="-0.249977111117893"/>
      </bottom>
      <diagonal/>
    </border>
    <border>
      <left style="thin">
        <color theme="4" tint="-0.249977111117893"/>
      </left>
      <right/>
      <top style="thick">
        <color theme="4" tint="-0.249977111117893"/>
      </top>
      <bottom/>
      <diagonal/>
    </border>
    <border>
      <left/>
      <right style="thin">
        <color theme="4" tint="-0.249977111117893"/>
      </right>
      <top style="thick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ck">
        <color theme="3"/>
      </bottom>
      <diagonal/>
    </border>
    <border>
      <left/>
      <right style="thin">
        <color theme="4"/>
      </right>
      <top/>
      <bottom style="thick">
        <color theme="3"/>
      </bottom>
      <diagonal/>
    </border>
  </borders>
  <cellStyleXfs count="44">
    <xf numFmtId="0" fontId="0" fillId="0" borderId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2" fillId="0" borderId="0" applyNumberFormat="0" applyFill="0" applyBorder="0" applyAlignment="0" applyProtection="0"/>
    <xf numFmtId="0" fontId="6" fillId="10" borderId="1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</cellStyleXfs>
  <cellXfs count="118">
    <xf numFmtId="0" fontId="0" fillId="0" borderId="0" xfId="0"/>
    <xf numFmtId="0" fontId="1" fillId="0" borderId="4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 indent="1"/>
    </xf>
    <xf numFmtId="0" fontId="0" fillId="3" borderId="0" xfId="0" applyFill="1"/>
    <xf numFmtId="0" fontId="0" fillId="3" borderId="0" xfId="0" applyFill="1" applyAlignment="1">
      <alignment vertical="center"/>
    </xf>
    <xf numFmtId="0" fontId="7" fillId="3" borderId="0" xfId="0" applyFont="1" applyFill="1"/>
    <xf numFmtId="0" fontId="1" fillId="0" borderId="4" xfId="0" applyFont="1" applyBorder="1" applyAlignment="1">
      <alignment horizontal="left" vertical="center" wrapText="1" indent="1"/>
    </xf>
    <xf numFmtId="0" fontId="8" fillId="0" borderId="0" xfId="0" applyFont="1" applyFill="1"/>
    <xf numFmtId="0" fontId="8" fillId="3" borderId="0" xfId="0" applyFont="1" applyFill="1"/>
    <xf numFmtId="0" fontId="1" fillId="0" borderId="4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center" vertical="center"/>
    </xf>
    <xf numFmtId="165" fontId="0" fillId="3" borderId="0" xfId="1" applyNumberFormat="1" applyFont="1" applyFill="1"/>
    <xf numFmtId="4" fontId="26" fillId="3" borderId="0" xfId="43" applyNumberFormat="1" applyFont="1" applyFill="1"/>
    <xf numFmtId="0" fontId="0" fillId="3" borderId="0" xfId="0" applyFill="1" applyBorder="1"/>
    <xf numFmtId="4" fontId="28" fillId="3" borderId="23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165" fontId="4" fillId="3" borderId="0" xfId="1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7" fillId="3" borderId="0" xfId="0" applyFont="1" applyFill="1" applyBorder="1"/>
    <xf numFmtId="0" fontId="29" fillId="3" borderId="38" xfId="0" applyFont="1" applyFill="1" applyBorder="1" applyAlignment="1">
      <alignment horizontal="center" vertical="center" wrapText="1"/>
    </xf>
    <xf numFmtId="4" fontId="28" fillId="3" borderId="40" xfId="0" applyNumberFormat="1" applyFont="1" applyFill="1" applyBorder="1" applyAlignment="1">
      <alignment horizontal="center" vertical="center"/>
    </xf>
    <xf numFmtId="4" fontId="28" fillId="3" borderId="24" xfId="0" applyNumberFormat="1" applyFont="1" applyFill="1" applyBorder="1" applyAlignment="1">
      <alignment horizontal="center" vertical="center"/>
    </xf>
    <xf numFmtId="4" fontId="28" fillId="3" borderId="41" xfId="0" applyNumberFormat="1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0" fillId="0" borderId="39" xfId="0" applyBorder="1" applyAlignment="1"/>
    <xf numFmtId="4" fontId="28" fillId="3" borderId="46" xfId="0" applyNumberFormat="1" applyFont="1" applyFill="1" applyBorder="1" applyAlignment="1">
      <alignment horizontal="center" vertical="center"/>
    </xf>
    <xf numFmtId="4" fontId="28" fillId="3" borderId="47" xfId="0" applyNumberFormat="1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29" fillId="3" borderId="54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29" fillId="3" borderId="56" xfId="0" applyFont="1" applyFill="1" applyBorder="1" applyAlignment="1">
      <alignment horizontal="center" vertical="center" wrapText="1"/>
    </xf>
    <xf numFmtId="0" fontId="29" fillId="3" borderId="37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 indent="1"/>
    </xf>
    <xf numFmtId="3" fontId="27" fillId="3" borderId="0" xfId="0" applyNumberFormat="1" applyFont="1" applyFill="1" applyBorder="1"/>
    <xf numFmtId="0" fontId="0" fillId="3" borderId="0" xfId="0" applyFill="1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65" fontId="4" fillId="0" borderId="32" xfId="1" applyNumberFormat="1" applyFont="1" applyBorder="1" applyAlignment="1">
      <alignment horizontal="center" vertical="center"/>
    </xf>
    <xf numFmtId="165" fontId="4" fillId="0" borderId="31" xfId="1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165" fontId="4" fillId="3" borderId="34" xfId="0" applyNumberFormat="1" applyFont="1" applyFill="1" applyBorder="1" applyAlignment="1">
      <alignment horizontal="center" vertical="center"/>
    </xf>
    <xf numFmtId="165" fontId="4" fillId="3" borderId="35" xfId="0" applyNumberFormat="1" applyFont="1" applyFill="1" applyBorder="1" applyAlignment="1">
      <alignment horizontal="center" vertical="center"/>
    </xf>
    <xf numFmtId="164" fontId="4" fillId="3" borderId="34" xfId="0" applyNumberFormat="1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5" fontId="4" fillId="0" borderId="21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164" fontId="4" fillId="3" borderId="32" xfId="0" applyNumberFormat="1" applyFont="1" applyFill="1" applyBorder="1" applyAlignment="1">
      <alignment horizontal="center" vertical="center"/>
    </xf>
    <xf numFmtId="164" fontId="4" fillId="3" borderId="31" xfId="0" applyNumberFormat="1" applyFont="1" applyFill="1" applyBorder="1" applyAlignment="1">
      <alignment horizontal="center" vertical="center"/>
    </xf>
    <xf numFmtId="166" fontId="4" fillId="3" borderId="21" xfId="0" applyNumberFormat="1" applyFont="1" applyFill="1" applyBorder="1" applyAlignment="1">
      <alignment horizontal="center" vertical="center"/>
    </xf>
    <xf numFmtId="166" fontId="4" fillId="3" borderId="22" xfId="0" applyNumberFormat="1" applyFont="1" applyFill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3" borderId="21" xfId="1" applyNumberFormat="1" applyFont="1" applyFill="1" applyBorder="1" applyAlignment="1">
      <alignment horizontal="center" vertical="center"/>
    </xf>
    <xf numFmtId="165" fontId="4" fillId="3" borderId="22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165" fontId="4" fillId="3" borderId="36" xfId="0" applyNumberFormat="1" applyFont="1" applyFill="1" applyBorder="1" applyAlignment="1">
      <alignment horizontal="center" vertical="center"/>
    </xf>
    <xf numFmtId="165" fontId="4" fillId="3" borderId="33" xfId="0" applyNumberFormat="1" applyFont="1" applyFill="1" applyBorder="1" applyAlignment="1">
      <alignment horizontal="center" vertical="center"/>
    </xf>
    <xf numFmtId="164" fontId="4" fillId="3" borderId="36" xfId="0" applyNumberFormat="1" applyFont="1" applyFill="1" applyBorder="1" applyAlignment="1">
      <alignment horizontal="center" vertical="center"/>
    </xf>
    <xf numFmtId="164" fontId="4" fillId="3" borderId="33" xfId="0" applyNumberFormat="1" applyFont="1" applyFill="1" applyBorder="1" applyAlignment="1">
      <alignment horizontal="center" vertical="center"/>
    </xf>
    <xf numFmtId="165" fontId="4" fillId="0" borderId="36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164" fontId="4" fillId="0" borderId="7" xfId="0" quotePrefix="1" applyNumberFormat="1" applyFont="1" applyBorder="1" applyAlignment="1">
      <alignment horizontal="center" vertical="center"/>
    </xf>
    <xf numFmtId="166" fontId="4" fillId="0" borderId="36" xfId="0" applyNumberFormat="1" applyFont="1" applyFill="1" applyBorder="1" applyAlignment="1">
      <alignment horizontal="center" vertical="center"/>
    </xf>
    <xf numFmtId="166" fontId="4" fillId="0" borderId="33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</cellXfs>
  <cellStyles count="44">
    <cellStyle name="20% - Èmfasi1" xfId="20" builtinId="30" customBuiltin="1"/>
    <cellStyle name="20% - Èmfasi2" xfId="24" builtinId="34" customBuiltin="1"/>
    <cellStyle name="20% - Èmfasi3" xfId="28" builtinId="38" customBuiltin="1"/>
    <cellStyle name="20% - Èmfasi4" xfId="32" builtinId="42" customBuiltin="1"/>
    <cellStyle name="20% - Èmfasi5" xfId="36" builtinId="46" customBuiltin="1"/>
    <cellStyle name="20% - Èmfasi6" xfId="40" builtinId="50" customBuiltin="1"/>
    <cellStyle name="40% - Èmfasi1" xfId="21" builtinId="31" customBuiltin="1"/>
    <cellStyle name="40% - Èmfasi2" xfId="25" builtinId="35" customBuiltin="1"/>
    <cellStyle name="40% - Èmfasi3" xfId="29" builtinId="39" customBuiltin="1"/>
    <cellStyle name="40% - Èmfasi4" xfId="33" builtinId="43" customBuiltin="1"/>
    <cellStyle name="40% - Èmfasi5" xfId="37" builtinId="47" customBuiltin="1"/>
    <cellStyle name="40% - Èmfasi6" xfId="41" builtinId="51" customBuiltin="1"/>
    <cellStyle name="60% - Èmfasi1" xfId="22" builtinId="32" customBuiltin="1"/>
    <cellStyle name="60% - Èmfasi2" xfId="26" builtinId="36" customBuiltin="1"/>
    <cellStyle name="60% - Èmfasi3" xfId="30" builtinId="40" customBuiltin="1"/>
    <cellStyle name="60% - Èmfasi4" xfId="34" builtinId="44" customBuiltin="1"/>
    <cellStyle name="60% - Èmfasi5" xfId="38" builtinId="48" customBuiltin="1"/>
    <cellStyle name="60% - Èmfasi6" xfId="42" builtinId="52" customBuiltin="1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Neutral" xfId="9" builtinId="28" customBuiltin="1"/>
    <cellStyle name="Normal" xfId="0" builtinId="0"/>
    <cellStyle name="Normal 2" xfId="43"/>
    <cellStyle name="Nota" xfId="16" builtinId="10" customBuiltin="1"/>
    <cellStyle name="Percentatge" xfId="1" builtinId="5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1F497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9"/>
  <sheetViews>
    <sheetView tabSelected="1" zoomScale="80" zoomScaleNormal="80" zoomScaleSheetLayoutView="70" workbookViewId="0">
      <selection activeCell="D102" sqref="D102"/>
    </sheetView>
  </sheetViews>
  <sheetFormatPr defaultRowHeight="12.75" x14ac:dyDescent="0.2"/>
  <cols>
    <col min="1" max="1" width="58.42578125" style="6" customWidth="1"/>
    <col min="2" max="2" width="9.28515625" style="6" customWidth="1"/>
    <col min="3" max="3" width="10.28515625" style="6" customWidth="1"/>
    <col min="4" max="4" width="10" style="6" customWidth="1"/>
    <col min="5" max="5" width="10.140625" style="6" customWidth="1"/>
    <col min="6" max="6" width="9.85546875" style="6" customWidth="1"/>
    <col min="7" max="7" width="9.140625" style="6" customWidth="1"/>
    <col min="8" max="8" width="9.7109375" style="6" customWidth="1"/>
    <col min="9" max="9" width="8.42578125" style="6" customWidth="1"/>
    <col min="10" max="10" width="9.7109375" style="6" customWidth="1"/>
    <col min="11" max="11" width="11.5703125" style="6" customWidth="1"/>
    <col min="12" max="12" width="10.85546875" style="6" customWidth="1"/>
    <col min="13" max="13" width="10.42578125" style="6" customWidth="1"/>
    <col min="14" max="15" width="10.140625" style="6" customWidth="1"/>
    <col min="16" max="16" width="32.85546875" style="6" customWidth="1"/>
    <col min="17" max="16384" width="9.140625" style="6"/>
  </cols>
  <sheetData>
    <row r="2" spans="1:16" x14ac:dyDescent="0.2">
      <c r="M2" s="49"/>
      <c r="N2" s="49"/>
      <c r="O2" s="49"/>
    </row>
    <row r="3" spans="1:16" ht="18.75" x14ac:dyDescent="0.3">
      <c r="A3" s="8" t="s">
        <v>63</v>
      </c>
    </row>
    <row r="4" spans="1:16" ht="13.5" thickBot="1" x14ac:dyDescent="0.25"/>
    <row r="5" spans="1:16" s="7" customFormat="1" ht="16.5" thickTop="1" x14ac:dyDescent="0.2">
      <c r="A5" s="2" t="s">
        <v>0</v>
      </c>
      <c r="B5" s="3" t="s">
        <v>1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13">
        <v>2013</v>
      </c>
      <c r="L5" s="13">
        <v>2014</v>
      </c>
      <c r="M5" s="4">
        <v>2015</v>
      </c>
      <c r="N5" s="4">
        <v>2016</v>
      </c>
      <c r="O5" s="4">
        <v>2017</v>
      </c>
      <c r="P5" s="51"/>
    </row>
    <row r="6" spans="1:16" ht="34.5" customHeight="1" x14ac:dyDescent="0.2">
      <c r="A6" s="48" t="s">
        <v>72</v>
      </c>
      <c r="B6" s="54" t="s">
        <v>2</v>
      </c>
      <c r="C6" s="56">
        <v>720.84032269667102</v>
      </c>
      <c r="D6" s="56">
        <v>660.93959894170496</v>
      </c>
      <c r="E6" s="56">
        <v>581.68191894602876</v>
      </c>
      <c r="F6" s="56">
        <v>476.57491047757674</v>
      </c>
      <c r="G6" s="56">
        <v>462.58655241292678</v>
      </c>
      <c r="H6" s="56">
        <v>741.10652102681536</v>
      </c>
      <c r="I6" s="56">
        <v>674.79808105243876</v>
      </c>
      <c r="J6" s="56">
        <v>718.77987717026451</v>
      </c>
      <c r="K6" s="58">
        <f>1101376210.44/1611822</f>
        <v>683.31131504595419</v>
      </c>
      <c r="L6" s="58">
        <f>(971.679973626667*1000000)/1602386</f>
        <v>606.39569593510362</v>
      </c>
      <c r="M6" s="58">
        <v>520.80421051319524</v>
      </c>
      <c r="N6" s="64">
        <v>519.6</v>
      </c>
      <c r="O6" s="64">
        <v>515.5</v>
      </c>
      <c r="P6" s="52"/>
    </row>
    <row r="7" spans="1:16" ht="26.1" customHeight="1" thickBot="1" x14ac:dyDescent="0.25">
      <c r="A7" s="1" t="s">
        <v>3</v>
      </c>
      <c r="B7" s="55"/>
      <c r="C7" s="57"/>
      <c r="D7" s="57"/>
      <c r="E7" s="57"/>
      <c r="F7" s="57"/>
      <c r="G7" s="57"/>
      <c r="H7" s="57"/>
      <c r="I7" s="57"/>
      <c r="J7" s="57"/>
      <c r="K7" s="59"/>
      <c r="L7" s="59"/>
      <c r="M7" s="59"/>
      <c r="N7" s="65"/>
      <c r="O7" s="65"/>
      <c r="P7" s="53"/>
    </row>
    <row r="8" spans="1:16" ht="13.5" thickTop="1" x14ac:dyDescent="0.2"/>
    <row r="9" spans="1:16" ht="13.5" thickBot="1" x14ac:dyDescent="0.25"/>
    <row r="10" spans="1:16" s="7" customFormat="1" ht="16.5" thickTop="1" x14ac:dyDescent="0.2">
      <c r="A10" s="2" t="s">
        <v>0</v>
      </c>
      <c r="B10" s="3" t="s">
        <v>1</v>
      </c>
      <c r="C10" s="3">
        <v>2005</v>
      </c>
      <c r="D10" s="3">
        <v>2006</v>
      </c>
      <c r="E10" s="3">
        <v>2007</v>
      </c>
      <c r="F10" s="3">
        <v>2008</v>
      </c>
      <c r="G10" s="3">
        <v>2009</v>
      </c>
      <c r="H10" s="3">
        <v>2010</v>
      </c>
      <c r="I10" s="3">
        <v>2011</v>
      </c>
      <c r="J10" s="3">
        <v>2012</v>
      </c>
      <c r="K10" s="13">
        <v>2013</v>
      </c>
      <c r="L10" s="13">
        <v>2014</v>
      </c>
      <c r="M10" s="4">
        <v>2015</v>
      </c>
      <c r="N10" s="4">
        <v>2016</v>
      </c>
      <c r="O10" s="4">
        <v>2017</v>
      </c>
      <c r="P10" s="51"/>
    </row>
    <row r="11" spans="1:16" ht="34.5" customHeight="1" x14ac:dyDescent="0.2">
      <c r="A11" s="48" t="s">
        <v>12</v>
      </c>
      <c r="B11" s="54" t="s">
        <v>20</v>
      </c>
      <c r="C11" s="94">
        <v>1148352697.0799999</v>
      </c>
      <c r="D11" s="94">
        <v>1061205941.9400001</v>
      </c>
      <c r="E11" s="94">
        <v>927846645.73000002</v>
      </c>
      <c r="F11" s="94">
        <v>770101210.44000006</v>
      </c>
      <c r="G11" s="94">
        <v>750101210.44000006</v>
      </c>
      <c r="H11" s="94">
        <v>1200101210.4400001</v>
      </c>
      <c r="I11" s="94">
        <v>1090101210.4400001</v>
      </c>
      <c r="J11" s="94">
        <v>1165101210.4400001</v>
      </c>
      <c r="K11" s="96">
        <v>1101376210.4000001</v>
      </c>
      <c r="L11" s="96">
        <f>+(971.679973626667*1000000)</f>
        <v>971679973.62666702</v>
      </c>
      <c r="M11" s="96">
        <v>835659000</v>
      </c>
      <c r="N11" s="76">
        <v>835.5</v>
      </c>
      <c r="O11" s="76">
        <v>835.5</v>
      </c>
      <c r="P11" s="52"/>
    </row>
    <row r="12" spans="1:16" ht="26.1" customHeight="1" thickBot="1" x14ac:dyDescent="0.25">
      <c r="A12" s="1" t="s">
        <v>13</v>
      </c>
      <c r="B12" s="55"/>
      <c r="C12" s="95"/>
      <c r="D12" s="95"/>
      <c r="E12" s="95"/>
      <c r="F12" s="95"/>
      <c r="G12" s="95"/>
      <c r="H12" s="95"/>
      <c r="I12" s="95"/>
      <c r="J12" s="95"/>
      <c r="K12" s="97"/>
      <c r="L12" s="97"/>
      <c r="M12" s="97"/>
      <c r="N12" s="77"/>
      <c r="O12" s="77"/>
      <c r="P12" s="53"/>
    </row>
    <row r="13" spans="1:16" ht="13.5" thickTop="1" x14ac:dyDescent="0.2"/>
    <row r="14" spans="1:16" ht="13.5" thickBot="1" x14ac:dyDescent="0.25"/>
    <row r="15" spans="1:16" s="7" customFormat="1" ht="16.5" thickTop="1" x14ac:dyDescent="0.2">
      <c r="A15" s="2" t="s">
        <v>0</v>
      </c>
      <c r="B15" s="3" t="s">
        <v>1</v>
      </c>
      <c r="C15" s="3">
        <v>2005</v>
      </c>
      <c r="D15" s="3">
        <v>2006</v>
      </c>
      <c r="E15" s="3">
        <v>2007</v>
      </c>
      <c r="F15" s="3">
        <v>2008</v>
      </c>
      <c r="G15" s="3">
        <v>2009</v>
      </c>
      <c r="H15" s="3">
        <v>2010</v>
      </c>
      <c r="I15" s="3">
        <v>2011</v>
      </c>
      <c r="J15" s="3">
        <v>2012</v>
      </c>
      <c r="K15" s="13">
        <v>2013</v>
      </c>
      <c r="L15" s="13">
        <v>2014</v>
      </c>
      <c r="M15" s="4">
        <v>2015</v>
      </c>
      <c r="N15" s="4">
        <v>2016</v>
      </c>
      <c r="O15" s="4">
        <v>2017</v>
      </c>
      <c r="P15" s="51"/>
    </row>
    <row r="16" spans="1:16" ht="34.5" customHeight="1" x14ac:dyDescent="0.2">
      <c r="A16" s="48" t="s">
        <v>80</v>
      </c>
      <c r="B16" s="54" t="s">
        <v>4</v>
      </c>
      <c r="C16" s="102">
        <v>0.626</v>
      </c>
      <c r="D16" s="102">
        <v>0.53800000000000003</v>
      </c>
      <c r="E16" s="102">
        <v>0.41099999999999998</v>
      </c>
      <c r="F16" s="102">
        <v>0.33700000000000002</v>
      </c>
      <c r="G16" s="102">
        <v>0.33600000000000002</v>
      </c>
      <c r="H16" s="102">
        <v>0.58799999999999997</v>
      </c>
      <c r="I16" s="102">
        <v>0.57899999999999996</v>
      </c>
      <c r="J16" s="102">
        <v>0.52100000000000002</v>
      </c>
      <c r="K16" s="66">
        <v>0.46700000000000003</v>
      </c>
      <c r="L16" s="98">
        <v>0.38600000000000001</v>
      </c>
      <c r="M16" s="84">
        <v>0.32800000000000001</v>
      </c>
      <c r="N16" s="62">
        <v>0.32900000000000001</v>
      </c>
      <c r="O16" s="62">
        <v>0.33</v>
      </c>
      <c r="P16" s="52"/>
    </row>
    <row r="17" spans="1:16" ht="26.1" customHeight="1" thickBot="1" x14ac:dyDescent="0.25">
      <c r="A17" s="12" t="s">
        <v>81</v>
      </c>
      <c r="B17" s="55"/>
      <c r="C17" s="103"/>
      <c r="D17" s="103"/>
      <c r="E17" s="103"/>
      <c r="F17" s="103"/>
      <c r="G17" s="103"/>
      <c r="H17" s="103"/>
      <c r="I17" s="103"/>
      <c r="J17" s="103"/>
      <c r="K17" s="67"/>
      <c r="L17" s="99"/>
      <c r="M17" s="85"/>
      <c r="N17" s="63"/>
      <c r="O17" s="63"/>
      <c r="P17" s="53"/>
    </row>
    <row r="18" spans="1:16" ht="13.5" thickTop="1" x14ac:dyDescent="0.2"/>
    <row r="19" spans="1:16" ht="13.5" thickBot="1" x14ac:dyDescent="0.25"/>
    <row r="20" spans="1:16" s="7" customFormat="1" ht="16.5" thickTop="1" x14ac:dyDescent="0.2">
      <c r="A20" s="2" t="s">
        <v>0</v>
      </c>
      <c r="B20" s="3" t="s">
        <v>1</v>
      </c>
      <c r="C20" s="3">
        <v>2005</v>
      </c>
      <c r="D20" s="3">
        <v>2006</v>
      </c>
      <c r="E20" s="3">
        <v>2007</v>
      </c>
      <c r="F20" s="3">
        <v>2008</v>
      </c>
      <c r="G20" s="3">
        <v>2009</v>
      </c>
      <c r="H20" s="3">
        <v>2010</v>
      </c>
      <c r="I20" s="3">
        <v>2011</v>
      </c>
      <c r="J20" s="3">
        <v>2012</v>
      </c>
      <c r="K20" s="13">
        <v>2013</v>
      </c>
      <c r="L20" s="13">
        <v>2014</v>
      </c>
      <c r="M20" s="4">
        <v>2015</v>
      </c>
      <c r="N20" s="4">
        <v>2016</v>
      </c>
      <c r="O20" s="4">
        <v>2017</v>
      </c>
      <c r="P20" s="51"/>
    </row>
    <row r="21" spans="1:16" ht="34.5" customHeight="1" x14ac:dyDescent="0.2">
      <c r="A21" s="5" t="s">
        <v>14</v>
      </c>
      <c r="B21" s="54" t="s">
        <v>4</v>
      </c>
      <c r="C21" s="70">
        <v>3.044461041078237E-2</v>
      </c>
      <c r="D21" s="70">
        <v>3.2278272871459027E-2</v>
      </c>
      <c r="E21" s="70">
        <v>3.7882400630696297E-2</v>
      </c>
      <c r="F21" s="70">
        <v>4.1026881031750485E-2</v>
      </c>
      <c r="G21" s="70">
        <v>3.3222268109078051E-2</v>
      </c>
      <c r="H21" s="70">
        <v>2.8428047756439281E-2</v>
      </c>
      <c r="I21" s="70">
        <v>2.8571915712121872E-2</v>
      </c>
      <c r="J21" s="70">
        <v>2.8500000000000001E-2</v>
      </c>
      <c r="K21" s="100">
        <v>2.76E-2</v>
      </c>
      <c r="L21" s="98">
        <v>2.86E-2</v>
      </c>
      <c r="M21" s="104">
        <v>2.5000000000000001E-2</v>
      </c>
      <c r="N21" s="78">
        <v>2.4E-2</v>
      </c>
      <c r="O21" s="78">
        <v>2.1100000000000001E-2</v>
      </c>
      <c r="P21" s="52"/>
    </row>
    <row r="22" spans="1:16" ht="26.1" customHeight="1" thickBot="1" x14ac:dyDescent="0.25">
      <c r="A22" s="1" t="s">
        <v>15</v>
      </c>
      <c r="B22" s="55"/>
      <c r="C22" s="71"/>
      <c r="D22" s="71"/>
      <c r="E22" s="71"/>
      <c r="F22" s="71"/>
      <c r="G22" s="71"/>
      <c r="H22" s="71"/>
      <c r="I22" s="71"/>
      <c r="J22" s="71"/>
      <c r="K22" s="101"/>
      <c r="L22" s="99"/>
      <c r="M22" s="105"/>
      <c r="N22" s="79"/>
      <c r="O22" s="79"/>
      <c r="P22" s="53"/>
    </row>
    <row r="23" spans="1:16" ht="13.5" thickTop="1" x14ac:dyDescent="0.2"/>
    <row r="24" spans="1:16" ht="13.5" thickBot="1" x14ac:dyDescent="0.25"/>
    <row r="25" spans="1:16" s="7" customFormat="1" ht="16.5" thickTop="1" x14ac:dyDescent="0.2">
      <c r="A25" s="2" t="s">
        <v>0</v>
      </c>
      <c r="B25" s="3" t="s">
        <v>1</v>
      </c>
      <c r="C25" s="3">
        <v>2005</v>
      </c>
      <c r="D25" s="3">
        <v>2006</v>
      </c>
      <c r="E25" s="3">
        <v>2007</v>
      </c>
      <c r="F25" s="3">
        <v>2008</v>
      </c>
      <c r="G25" s="3">
        <v>2009</v>
      </c>
      <c r="H25" s="3">
        <v>2010</v>
      </c>
      <c r="I25" s="3">
        <v>2011</v>
      </c>
      <c r="J25" s="3">
        <v>2012</v>
      </c>
      <c r="K25" s="13">
        <v>2013</v>
      </c>
      <c r="L25" s="13">
        <v>2014</v>
      </c>
      <c r="M25" s="4">
        <v>2015</v>
      </c>
      <c r="N25" s="4">
        <v>2016</v>
      </c>
      <c r="O25" s="4">
        <v>2017</v>
      </c>
      <c r="P25" s="51"/>
    </row>
    <row r="26" spans="1:16" ht="34.5" customHeight="1" x14ac:dyDescent="0.2">
      <c r="A26" s="5" t="s">
        <v>16</v>
      </c>
      <c r="B26" s="54" t="s">
        <v>18</v>
      </c>
      <c r="C26" s="56">
        <v>5.9810063494321248</v>
      </c>
      <c r="D26" s="56">
        <v>5.4054749240680762</v>
      </c>
      <c r="E26" s="56">
        <v>5.8777774216566385</v>
      </c>
      <c r="F26" s="56">
        <v>4.5381547495108334</v>
      </c>
      <c r="G26" s="56">
        <v>5.8181704637126614</v>
      </c>
      <c r="H26" s="56">
        <v>5.8734507545130326</v>
      </c>
      <c r="I26" s="56">
        <v>5.3891429053033706</v>
      </c>
      <c r="J26" s="56">
        <v>5.2</v>
      </c>
      <c r="K26" s="72">
        <v>4.5999999999999996</v>
      </c>
      <c r="L26" s="58">
        <v>4.2</v>
      </c>
      <c r="M26" s="106">
        <v>5.5</v>
      </c>
      <c r="N26" s="80">
        <v>6.4</v>
      </c>
      <c r="O26" s="80">
        <v>6.8</v>
      </c>
      <c r="P26" s="52"/>
    </row>
    <row r="27" spans="1:16" ht="26.1" customHeight="1" thickBot="1" x14ac:dyDescent="0.25">
      <c r="A27" s="1" t="s">
        <v>17</v>
      </c>
      <c r="B27" s="55"/>
      <c r="C27" s="57"/>
      <c r="D27" s="57"/>
      <c r="E27" s="57"/>
      <c r="F27" s="57"/>
      <c r="G27" s="57"/>
      <c r="H27" s="57"/>
      <c r="I27" s="57"/>
      <c r="J27" s="57"/>
      <c r="K27" s="73"/>
      <c r="L27" s="59"/>
      <c r="M27" s="107"/>
      <c r="N27" s="81"/>
      <c r="O27" s="81"/>
      <c r="P27" s="53"/>
    </row>
    <row r="28" spans="1:16" ht="13.5" thickTop="1" x14ac:dyDescent="0.2"/>
    <row r="29" spans="1:16" ht="13.5" thickBot="1" x14ac:dyDescent="0.25"/>
    <row r="30" spans="1:16" s="7" customFormat="1" ht="16.5" thickTop="1" x14ac:dyDescent="0.2">
      <c r="A30" s="2" t="s">
        <v>0</v>
      </c>
      <c r="B30" s="3" t="s">
        <v>1</v>
      </c>
      <c r="C30" s="3">
        <v>2005</v>
      </c>
      <c r="D30" s="3">
        <v>2006</v>
      </c>
      <c r="E30" s="3">
        <v>2007</v>
      </c>
      <c r="F30" s="3">
        <v>2008</v>
      </c>
      <c r="G30" s="3">
        <v>2009</v>
      </c>
      <c r="H30" s="3">
        <v>2010</v>
      </c>
      <c r="I30" s="3">
        <v>2011</v>
      </c>
      <c r="J30" s="3">
        <v>2012</v>
      </c>
      <c r="K30" s="13">
        <v>2013</v>
      </c>
      <c r="L30" s="13">
        <v>2014</v>
      </c>
      <c r="M30" s="4">
        <v>2015</v>
      </c>
      <c r="N30" s="4">
        <v>2016</v>
      </c>
      <c r="O30" s="4">
        <v>2017</v>
      </c>
      <c r="P30" s="51"/>
    </row>
    <row r="31" spans="1:16" ht="34.5" customHeight="1" x14ac:dyDescent="0.2">
      <c r="A31" s="5" t="s">
        <v>19</v>
      </c>
      <c r="B31" s="54" t="s">
        <v>4</v>
      </c>
      <c r="C31" s="70">
        <v>0.5547490072860517</v>
      </c>
      <c r="D31" s="70">
        <v>0.487470169525551</v>
      </c>
      <c r="E31" s="70">
        <v>0.38945055310276655</v>
      </c>
      <c r="F31" s="70">
        <v>0.32365800479538515</v>
      </c>
      <c r="G31" s="70">
        <v>0.27524952334634972</v>
      </c>
      <c r="H31" s="70">
        <v>0.40342696136052381</v>
      </c>
      <c r="I31" s="70">
        <v>0.45588934696098171</v>
      </c>
      <c r="J31" s="70">
        <v>0.46250538004477615</v>
      </c>
      <c r="K31" s="100">
        <v>0.441</v>
      </c>
      <c r="L31" s="98">
        <f>(971.679973626667*1000000)/2661281432.28</f>
        <v>0.36511733101230087</v>
      </c>
      <c r="M31" s="108">
        <v>0.29881738799098917</v>
      </c>
      <c r="N31" s="82">
        <v>0.30499999999999999</v>
      </c>
      <c r="O31" s="82">
        <v>0.309</v>
      </c>
      <c r="P31" s="52"/>
    </row>
    <row r="32" spans="1:16" ht="26.1" customHeight="1" thickBot="1" x14ac:dyDescent="0.25">
      <c r="A32" s="1" t="s">
        <v>21</v>
      </c>
      <c r="B32" s="55"/>
      <c r="C32" s="71"/>
      <c r="D32" s="71"/>
      <c r="E32" s="71"/>
      <c r="F32" s="71"/>
      <c r="G32" s="71"/>
      <c r="H32" s="71"/>
      <c r="I32" s="71"/>
      <c r="J32" s="71"/>
      <c r="K32" s="101"/>
      <c r="L32" s="99"/>
      <c r="M32" s="109"/>
      <c r="N32" s="83"/>
      <c r="O32" s="83"/>
      <c r="P32" s="53"/>
    </row>
    <row r="33" spans="1:16" ht="13.5" thickTop="1" x14ac:dyDescent="0.2"/>
    <row r="34" spans="1:16" ht="18.75" x14ac:dyDescent="0.3">
      <c r="A34" s="8" t="s">
        <v>88</v>
      </c>
    </row>
    <row r="35" spans="1:16" ht="13.5" thickBot="1" x14ac:dyDescent="0.25"/>
    <row r="36" spans="1:16" s="7" customFormat="1" ht="16.5" thickTop="1" x14ac:dyDescent="0.2">
      <c r="A36" s="2" t="s">
        <v>0</v>
      </c>
      <c r="B36" s="3" t="s">
        <v>1</v>
      </c>
      <c r="C36" s="3">
        <v>2005</v>
      </c>
      <c r="D36" s="3">
        <v>2006</v>
      </c>
      <c r="E36" s="3">
        <v>2007</v>
      </c>
      <c r="F36" s="3">
        <v>2008</v>
      </c>
      <c r="G36" s="3">
        <v>2009</v>
      </c>
      <c r="H36" s="3">
        <v>2010</v>
      </c>
      <c r="I36" s="3">
        <v>2011</v>
      </c>
      <c r="J36" s="3">
        <v>2012</v>
      </c>
      <c r="K36" s="13">
        <v>2013</v>
      </c>
      <c r="L36" s="13">
        <v>2014</v>
      </c>
      <c r="M36" s="4">
        <v>2015</v>
      </c>
      <c r="N36" s="4">
        <v>2016</v>
      </c>
      <c r="O36" s="4">
        <v>2017</v>
      </c>
      <c r="P36" s="51"/>
    </row>
    <row r="37" spans="1:16" ht="34.5" customHeight="1" x14ac:dyDescent="0.2">
      <c r="A37" s="48" t="s">
        <v>22</v>
      </c>
      <c r="B37" s="54" t="s">
        <v>2</v>
      </c>
      <c r="C37" s="56">
        <v>1208.5282367120194</v>
      </c>
      <c r="D37" s="56">
        <v>1287.541155068317</v>
      </c>
      <c r="E37" s="56">
        <v>1465.8173119032544</v>
      </c>
      <c r="F37" s="56">
        <v>1444.9358128990018</v>
      </c>
      <c r="G37" s="56">
        <v>1436.0873225526152</v>
      </c>
      <c r="H37" s="56">
        <v>1379.3287036669947</v>
      </c>
      <c r="I37" s="56">
        <v>1416.3189495793122</v>
      </c>
      <c r="J37" s="56">
        <v>1427.2344872213273</v>
      </c>
      <c r="K37" s="58">
        <f>2430506527.51/1611822</f>
        <v>1507.9248995918906</v>
      </c>
      <c r="L37" s="58">
        <f>2610915641.61/1602386</f>
        <v>1629.3924445233547</v>
      </c>
      <c r="M37" s="58">
        <v>1615.2784258937836</v>
      </c>
      <c r="N37" s="64">
        <v>1577.5</v>
      </c>
      <c r="O37" s="64">
        <v>1582.5</v>
      </c>
      <c r="P37" s="52"/>
    </row>
    <row r="38" spans="1:16" ht="26.1" customHeight="1" thickBot="1" x14ac:dyDescent="0.25">
      <c r="A38" s="1" t="s">
        <v>74</v>
      </c>
      <c r="B38" s="55"/>
      <c r="C38" s="57"/>
      <c r="D38" s="57"/>
      <c r="E38" s="57"/>
      <c r="F38" s="57"/>
      <c r="G38" s="57"/>
      <c r="H38" s="57"/>
      <c r="I38" s="57"/>
      <c r="J38" s="57"/>
      <c r="K38" s="59"/>
      <c r="L38" s="59"/>
      <c r="M38" s="59"/>
      <c r="N38" s="65"/>
      <c r="O38" s="65"/>
      <c r="P38" s="53"/>
    </row>
    <row r="39" spans="1:16" ht="13.5" thickTop="1" x14ac:dyDescent="0.2"/>
    <row r="40" spans="1:16" ht="13.5" customHeight="1" thickBot="1" x14ac:dyDescent="0.25"/>
    <row r="41" spans="1:16" s="7" customFormat="1" ht="16.5" thickTop="1" x14ac:dyDescent="0.2">
      <c r="A41" s="2" t="s">
        <v>0</v>
      </c>
      <c r="B41" s="3" t="s">
        <v>1</v>
      </c>
      <c r="C41" s="3">
        <v>2005</v>
      </c>
      <c r="D41" s="3">
        <v>2006</v>
      </c>
      <c r="E41" s="3">
        <v>2007</v>
      </c>
      <c r="F41" s="3">
        <v>2008</v>
      </c>
      <c r="G41" s="3">
        <v>2009</v>
      </c>
      <c r="H41" s="3">
        <v>2010</v>
      </c>
      <c r="I41" s="3">
        <v>2011</v>
      </c>
      <c r="J41" s="3">
        <v>2012</v>
      </c>
      <c r="K41" s="13">
        <v>2013</v>
      </c>
      <c r="L41" s="13">
        <v>2014</v>
      </c>
      <c r="M41" s="4">
        <v>2015</v>
      </c>
      <c r="N41" s="4">
        <v>2016</v>
      </c>
      <c r="O41" s="4">
        <v>2017</v>
      </c>
      <c r="P41" s="51"/>
    </row>
    <row r="42" spans="1:16" ht="34.5" customHeight="1" x14ac:dyDescent="0.2">
      <c r="A42" s="48" t="s">
        <v>23</v>
      </c>
      <c r="B42" s="54" t="s">
        <v>2</v>
      </c>
      <c r="C42" s="56">
        <v>678.43203927624245</v>
      </c>
      <c r="D42" s="56">
        <v>711.75480677029554</v>
      </c>
      <c r="E42" s="56">
        <v>760.10550199045827</v>
      </c>
      <c r="F42" s="56">
        <v>739.79933481361559</v>
      </c>
      <c r="G42" s="56">
        <v>726.81736588804324</v>
      </c>
      <c r="H42" s="56">
        <v>765.87969087966246</v>
      </c>
      <c r="I42" s="56">
        <v>771.04224836082619</v>
      </c>
      <c r="J42" s="56">
        <v>778.83389700316411</v>
      </c>
      <c r="K42" s="58">
        <f>1300625257.5/1611822</f>
        <v>806.92859230113504</v>
      </c>
      <c r="L42" s="58">
        <f>1341812433.18/1602386</f>
        <v>837.38402181496849</v>
      </c>
      <c r="M42" s="58">
        <v>872.94913302442114</v>
      </c>
      <c r="N42" s="64">
        <v>701.1</v>
      </c>
      <c r="O42" s="64">
        <v>889</v>
      </c>
      <c r="P42" s="52"/>
    </row>
    <row r="43" spans="1:16" ht="26.1" customHeight="1" thickBot="1" x14ac:dyDescent="0.25">
      <c r="A43" s="1" t="s">
        <v>75</v>
      </c>
      <c r="B43" s="55"/>
      <c r="C43" s="57"/>
      <c r="D43" s="57"/>
      <c r="E43" s="57"/>
      <c r="F43" s="57"/>
      <c r="G43" s="57"/>
      <c r="H43" s="57"/>
      <c r="I43" s="57"/>
      <c r="J43" s="57"/>
      <c r="K43" s="59"/>
      <c r="L43" s="59"/>
      <c r="M43" s="59"/>
      <c r="N43" s="65"/>
      <c r="O43" s="65"/>
      <c r="P43" s="53"/>
    </row>
    <row r="44" spans="1:16" ht="13.5" thickTop="1" x14ac:dyDescent="0.2"/>
    <row r="45" spans="1:16" ht="13.5" customHeight="1" thickBot="1" x14ac:dyDescent="0.25"/>
    <row r="46" spans="1:16" s="7" customFormat="1" ht="16.5" thickTop="1" x14ac:dyDescent="0.2">
      <c r="A46" s="2" t="s">
        <v>0</v>
      </c>
      <c r="B46" s="3" t="s">
        <v>1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3">
        <v>2010</v>
      </c>
      <c r="I46" s="3">
        <v>2011</v>
      </c>
      <c r="J46" s="3">
        <v>2012</v>
      </c>
      <c r="K46" s="13">
        <v>2013</v>
      </c>
      <c r="L46" s="13">
        <v>2014</v>
      </c>
      <c r="M46" s="4">
        <v>2015</v>
      </c>
      <c r="N46" s="4">
        <v>2016</v>
      </c>
      <c r="O46" s="4">
        <v>2017</v>
      </c>
      <c r="P46" s="51"/>
    </row>
    <row r="47" spans="1:16" ht="34.5" customHeight="1" x14ac:dyDescent="0.2">
      <c r="A47" s="48" t="s">
        <v>24</v>
      </c>
      <c r="B47" s="54" t="s">
        <v>2</v>
      </c>
      <c r="C47" s="56">
        <v>813.32948098488771</v>
      </c>
      <c r="D47" s="56">
        <v>862.53636693900478</v>
      </c>
      <c r="E47" s="56">
        <v>945.84012632984559</v>
      </c>
      <c r="F47" s="56">
        <v>1008.9074502694459</v>
      </c>
      <c r="G47" s="56">
        <v>1069.0904596133175</v>
      </c>
      <c r="H47" s="56">
        <v>1095.1693179801362</v>
      </c>
      <c r="I47" s="56">
        <v>1108.0245261624023</v>
      </c>
      <c r="J47" s="56">
        <v>1115.4115229406586</v>
      </c>
      <c r="K47" s="58">
        <f>1838420398.85/1611822</f>
        <v>1140.5852500152</v>
      </c>
      <c r="L47" s="58">
        <f>1885498459.3/1602386</f>
        <v>1176.681810312871</v>
      </c>
      <c r="M47" s="58">
        <v>1263.9827561909688</v>
      </c>
      <c r="N47" s="64">
        <v>1301.3</v>
      </c>
      <c r="O47" s="64">
        <v>1297.0999999999999</v>
      </c>
      <c r="P47" s="52"/>
    </row>
    <row r="48" spans="1:16" ht="26.1" customHeight="1" thickBot="1" x14ac:dyDescent="0.25">
      <c r="A48" s="1" t="s">
        <v>87</v>
      </c>
      <c r="B48" s="55"/>
      <c r="C48" s="57"/>
      <c r="D48" s="57"/>
      <c r="E48" s="57"/>
      <c r="F48" s="57"/>
      <c r="G48" s="57"/>
      <c r="H48" s="57"/>
      <c r="I48" s="57"/>
      <c r="J48" s="57"/>
      <c r="K48" s="59"/>
      <c r="L48" s="59"/>
      <c r="M48" s="59"/>
      <c r="N48" s="65"/>
      <c r="O48" s="65"/>
      <c r="P48" s="53"/>
    </row>
    <row r="49" spans="1:16" ht="13.5" thickTop="1" x14ac:dyDescent="0.2"/>
    <row r="50" spans="1:16" ht="13.5" customHeight="1" thickBot="1" x14ac:dyDescent="0.25"/>
    <row r="51" spans="1:16" s="7" customFormat="1" ht="16.5" thickTop="1" x14ac:dyDescent="0.2">
      <c r="A51" s="2" t="s">
        <v>0</v>
      </c>
      <c r="B51" s="3" t="s">
        <v>1</v>
      </c>
      <c r="C51" s="3">
        <v>2005</v>
      </c>
      <c r="D51" s="3">
        <v>2006</v>
      </c>
      <c r="E51" s="3">
        <v>2007</v>
      </c>
      <c r="F51" s="3">
        <v>2008</v>
      </c>
      <c r="G51" s="3">
        <v>2009</v>
      </c>
      <c r="H51" s="3">
        <v>2010</v>
      </c>
      <c r="I51" s="3">
        <v>2011</v>
      </c>
      <c r="J51" s="3">
        <v>2012</v>
      </c>
      <c r="K51" s="13">
        <v>2013</v>
      </c>
      <c r="L51" s="13">
        <v>2014</v>
      </c>
      <c r="M51" s="4">
        <v>2015</v>
      </c>
      <c r="N51" s="4">
        <v>2016</v>
      </c>
      <c r="O51" s="4">
        <v>2017</v>
      </c>
      <c r="P51" s="51"/>
    </row>
    <row r="52" spans="1:16" ht="34.5" customHeight="1" x14ac:dyDescent="0.2">
      <c r="A52" s="48" t="s">
        <v>68</v>
      </c>
      <c r="B52" s="54" t="s">
        <v>2</v>
      </c>
      <c r="C52" s="56">
        <v>26.43922202658381</v>
      </c>
      <c r="D52" s="56">
        <v>22.017715068865137</v>
      </c>
      <c r="E52" s="56">
        <v>22.265288230905707</v>
      </c>
      <c r="F52" s="56">
        <v>17.650847690586346</v>
      </c>
      <c r="G52" s="56">
        <v>16.173894052371299</v>
      </c>
      <c r="H52" s="56">
        <v>12.979505958302687</v>
      </c>
      <c r="I52" s="56">
        <v>20.964508018828212</v>
      </c>
      <c r="J52" s="56">
        <v>19.992231454159715</v>
      </c>
      <c r="K52" s="58">
        <f>33348541.77/1611822</f>
        <v>20.689965622754869</v>
      </c>
      <c r="L52" s="58">
        <f>29699297.56/1602386</f>
        <v>18.534421518909923</v>
      </c>
      <c r="M52" s="58">
        <v>14.599546946037998</v>
      </c>
      <c r="N52" s="64">
        <v>11.5</v>
      </c>
      <c r="O52" s="64">
        <v>10.9</v>
      </c>
      <c r="P52" s="52"/>
    </row>
    <row r="53" spans="1:16" ht="26.1" customHeight="1" thickBot="1" x14ac:dyDescent="0.25">
      <c r="A53" s="1" t="s">
        <v>25</v>
      </c>
      <c r="B53" s="55"/>
      <c r="C53" s="57"/>
      <c r="D53" s="57"/>
      <c r="E53" s="57"/>
      <c r="F53" s="57"/>
      <c r="G53" s="57"/>
      <c r="H53" s="57"/>
      <c r="I53" s="57"/>
      <c r="J53" s="57"/>
      <c r="K53" s="59"/>
      <c r="L53" s="59"/>
      <c r="M53" s="59"/>
      <c r="N53" s="65"/>
      <c r="O53" s="65"/>
      <c r="P53" s="53"/>
    </row>
    <row r="54" spans="1:16" ht="13.5" thickTop="1" x14ac:dyDescent="0.2"/>
    <row r="55" spans="1:16" ht="13.5" customHeight="1" thickBot="1" x14ac:dyDescent="0.25"/>
    <row r="56" spans="1:16" s="7" customFormat="1" ht="16.5" thickTop="1" x14ac:dyDescent="0.2">
      <c r="A56" s="2" t="s">
        <v>0</v>
      </c>
      <c r="B56" s="3" t="s">
        <v>1</v>
      </c>
      <c r="C56" s="3">
        <v>2005</v>
      </c>
      <c r="D56" s="3">
        <v>2006</v>
      </c>
      <c r="E56" s="3">
        <v>2007</v>
      </c>
      <c r="F56" s="3">
        <v>2008</v>
      </c>
      <c r="G56" s="3">
        <v>2009</v>
      </c>
      <c r="H56" s="3">
        <v>2010</v>
      </c>
      <c r="I56" s="3">
        <v>2011</v>
      </c>
      <c r="J56" s="3">
        <v>2012</v>
      </c>
      <c r="K56" s="13">
        <v>2013</v>
      </c>
      <c r="L56" s="13">
        <v>2014</v>
      </c>
      <c r="M56" s="4">
        <v>2015</v>
      </c>
      <c r="N56" s="4">
        <v>2016</v>
      </c>
      <c r="O56" s="4">
        <v>2017</v>
      </c>
      <c r="P56" s="51"/>
    </row>
    <row r="57" spans="1:16" ht="34.5" customHeight="1" x14ac:dyDescent="0.2">
      <c r="A57" s="48" t="s">
        <v>26</v>
      </c>
      <c r="B57" s="54" t="s">
        <v>4</v>
      </c>
      <c r="C57" s="70">
        <v>2.1877206691103587E-2</v>
      </c>
      <c r="D57" s="70">
        <v>1.7100591295426883E-2</v>
      </c>
      <c r="E57" s="70">
        <v>1.5189674763764312E-2</v>
      </c>
      <c r="F57" s="70">
        <v>1.2215662130467318E-2</v>
      </c>
      <c r="G57" s="70">
        <v>1.126247255189367E-2</v>
      </c>
      <c r="H57" s="70">
        <v>9.41001657095673E-3</v>
      </c>
      <c r="I57" s="70">
        <v>1.480210938719367E-2</v>
      </c>
      <c r="J57" s="70">
        <v>1.4007671222324825E-2</v>
      </c>
      <c r="K57" s="84">
        <v>1.4E-2</v>
      </c>
      <c r="L57" s="84">
        <f>29699297.56/2610915641.61</f>
        <v>1.1375050609328061E-2</v>
      </c>
      <c r="M57" s="84">
        <v>9.0384089281447672E-3</v>
      </c>
      <c r="N57" s="62">
        <v>7.0000000000000001E-3</v>
      </c>
      <c r="O57" s="62">
        <v>7.0000000000000001E-3</v>
      </c>
      <c r="P57" s="52"/>
    </row>
    <row r="58" spans="1:16" ht="26.1" customHeight="1" thickBot="1" x14ac:dyDescent="0.25">
      <c r="A58" s="9" t="s">
        <v>27</v>
      </c>
      <c r="B58" s="55"/>
      <c r="C58" s="71"/>
      <c r="D58" s="71"/>
      <c r="E58" s="71"/>
      <c r="F58" s="71"/>
      <c r="G58" s="71"/>
      <c r="H58" s="71"/>
      <c r="I58" s="71"/>
      <c r="J58" s="71"/>
      <c r="K58" s="85"/>
      <c r="L58" s="85"/>
      <c r="M58" s="85"/>
      <c r="N58" s="63"/>
      <c r="O58" s="63"/>
      <c r="P58" s="53"/>
    </row>
    <row r="59" spans="1:16" ht="13.5" thickTop="1" x14ac:dyDescent="0.2"/>
    <row r="60" spans="1:16" ht="13.5" thickBot="1" x14ac:dyDescent="0.25"/>
    <row r="61" spans="1:16" s="7" customFormat="1" ht="16.5" thickTop="1" x14ac:dyDescent="0.2">
      <c r="A61" s="2" t="s">
        <v>0</v>
      </c>
      <c r="B61" s="3" t="s">
        <v>1</v>
      </c>
      <c r="C61" s="3">
        <v>2005</v>
      </c>
      <c r="D61" s="3">
        <v>2006</v>
      </c>
      <c r="E61" s="3">
        <v>2007</v>
      </c>
      <c r="F61" s="3">
        <v>2008</v>
      </c>
      <c r="G61" s="3">
        <v>2009</v>
      </c>
      <c r="H61" s="3">
        <v>2010</v>
      </c>
      <c r="I61" s="3">
        <v>2011</v>
      </c>
      <c r="J61" s="3">
        <v>2012</v>
      </c>
      <c r="K61" s="13">
        <v>2013</v>
      </c>
      <c r="L61" s="13">
        <v>2014</v>
      </c>
      <c r="M61" s="4">
        <v>2015</v>
      </c>
      <c r="N61" s="4">
        <v>2016</v>
      </c>
      <c r="O61" s="4">
        <v>2017</v>
      </c>
      <c r="P61" s="51"/>
    </row>
    <row r="62" spans="1:16" ht="34.5" customHeight="1" x14ac:dyDescent="0.2">
      <c r="A62" s="48" t="s">
        <v>85</v>
      </c>
      <c r="B62" s="54" t="s">
        <v>4</v>
      </c>
      <c r="C62" s="70">
        <v>0.32700829299804252</v>
      </c>
      <c r="D62" s="70">
        <v>0.3300902549454906</v>
      </c>
      <c r="E62" s="70">
        <v>0.35473532844161682</v>
      </c>
      <c r="F62" s="70">
        <v>0.30176313628405677</v>
      </c>
      <c r="G62" s="70">
        <v>0.25555330596956205</v>
      </c>
      <c r="H62" s="70">
        <v>0.20601281255976964</v>
      </c>
      <c r="I62" s="70">
        <v>0.21767302026742086</v>
      </c>
      <c r="J62" s="70">
        <v>0.21848054196599093</v>
      </c>
      <c r="K62" s="84">
        <v>0.24399999999999999</v>
      </c>
      <c r="L62" s="84">
        <v>0.27784014571327897</v>
      </c>
      <c r="M62" s="84">
        <v>0.21748304445311464</v>
      </c>
      <c r="N62" s="62">
        <v>0.17499999999999999</v>
      </c>
      <c r="O62" s="62">
        <v>0.18</v>
      </c>
      <c r="P62" s="52"/>
    </row>
    <row r="63" spans="1:16" ht="26.1" customHeight="1" thickBot="1" x14ac:dyDescent="0.25">
      <c r="A63" s="9" t="s">
        <v>83</v>
      </c>
      <c r="B63" s="55"/>
      <c r="C63" s="71"/>
      <c r="D63" s="71"/>
      <c r="E63" s="71"/>
      <c r="F63" s="71"/>
      <c r="G63" s="71"/>
      <c r="H63" s="71"/>
      <c r="I63" s="71"/>
      <c r="J63" s="71"/>
      <c r="K63" s="85"/>
      <c r="L63" s="85"/>
      <c r="M63" s="85"/>
      <c r="N63" s="63"/>
      <c r="O63" s="63"/>
      <c r="P63" s="53"/>
    </row>
    <row r="64" spans="1:16" ht="13.5" thickTop="1" x14ac:dyDescent="0.2"/>
    <row r="65" spans="1:16" ht="13.5" thickBot="1" x14ac:dyDescent="0.25"/>
    <row r="66" spans="1:16" s="7" customFormat="1" ht="16.5" thickTop="1" x14ac:dyDescent="0.2">
      <c r="A66" s="2" t="s">
        <v>0</v>
      </c>
      <c r="B66" s="3" t="s">
        <v>1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3">
        <v>2010</v>
      </c>
      <c r="I66" s="3">
        <v>2011</v>
      </c>
      <c r="J66" s="3">
        <v>2012</v>
      </c>
      <c r="K66" s="13">
        <v>2013</v>
      </c>
      <c r="L66" s="4">
        <v>2014</v>
      </c>
      <c r="M66" s="4">
        <v>2015</v>
      </c>
      <c r="N66" s="4">
        <v>2016</v>
      </c>
      <c r="O66" s="4">
        <v>2017</v>
      </c>
      <c r="P66" s="51"/>
    </row>
    <row r="67" spans="1:16" ht="34.5" customHeight="1" x14ac:dyDescent="0.2">
      <c r="A67" s="48" t="s">
        <v>86</v>
      </c>
      <c r="B67" s="54" t="s">
        <v>4</v>
      </c>
      <c r="C67" s="70">
        <v>0.29373297002724802</v>
      </c>
      <c r="D67" s="70">
        <v>0.29837892603850102</v>
      </c>
      <c r="E67" s="70">
        <v>0.331506220086079</v>
      </c>
      <c r="F67" s="70">
        <v>0.28472977061815802</v>
      </c>
      <c r="G67" s="70">
        <v>0.22459833421626299</v>
      </c>
      <c r="H67" s="70">
        <v>0.130877987985967</v>
      </c>
      <c r="I67" s="70">
        <v>5.0839681381121098E-2</v>
      </c>
      <c r="J67" s="70">
        <v>0.19136452752546701</v>
      </c>
      <c r="K67" s="84">
        <v>0.198325373879747</v>
      </c>
      <c r="L67" s="84">
        <v>0.25088808014550801</v>
      </c>
      <c r="M67" s="84">
        <v>0.19700000000000001</v>
      </c>
      <c r="N67" s="62">
        <v>0.19600000000000001</v>
      </c>
      <c r="O67" s="62">
        <v>0.16600000000000001</v>
      </c>
      <c r="P67" s="52"/>
    </row>
    <row r="68" spans="1:16" ht="26.1" customHeight="1" thickBot="1" x14ac:dyDescent="0.25">
      <c r="A68" s="9" t="s">
        <v>84</v>
      </c>
      <c r="B68" s="55"/>
      <c r="C68" s="71"/>
      <c r="D68" s="71"/>
      <c r="E68" s="71"/>
      <c r="F68" s="71"/>
      <c r="G68" s="71"/>
      <c r="H68" s="71"/>
      <c r="I68" s="71"/>
      <c r="J68" s="71"/>
      <c r="K68" s="85"/>
      <c r="L68" s="85"/>
      <c r="M68" s="85"/>
      <c r="N68" s="63"/>
      <c r="O68" s="63"/>
      <c r="P68" s="53"/>
    </row>
    <row r="69" spans="1:16" ht="19.5" thickTop="1" x14ac:dyDescent="0.3">
      <c r="A69" s="8" t="s">
        <v>66</v>
      </c>
    </row>
    <row r="70" spans="1:16" ht="13.5" customHeight="1" thickBot="1" x14ac:dyDescent="0.25"/>
    <row r="71" spans="1:16" s="7" customFormat="1" ht="16.5" thickTop="1" x14ac:dyDescent="0.2">
      <c r="A71" s="2" t="s">
        <v>0</v>
      </c>
      <c r="B71" s="3" t="s">
        <v>1</v>
      </c>
      <c r="C71" s="3">
        <v>2005</v>
      </c>
      <c r="D71" s="3">
        <v>2006</v>
      </c>
      <c r="E71" s="3">
        <v>2007</v>
      </c>
      <c r="F71" s="3">
        <v>2008</v>
      </c>
      <c r="G71" s="3">
        <v>2009</v>
      </c>
      <c r="H71" s="3">
        <v>2010</v>
      </c>
      <c r="I71" s="3">
        <v>2011</v>
      </c>
      <c r="J71" s="3">
        <v>2012</v>
      </c>
      <c r="K71" s="13">
        <v>2013</v>
      </c>
      <c r="L71" s="13">
        <v>2014</v>
      </c>
      <c r="M71" s="4">
        <v>2015</v>
      </c>
      <c r="N71" s="4">
        <v>2016</v>
      </c>
      <c r="O71" s="4">
        <v>2017</v>
      </c>
      <c r="P71" s="51"/>
    </row>
    <row r="72" spans="1:16" ht="34.5" customHeight="1" x14ac:dyDescent="0.2">
      <c r="A72" s="48" t="s">
        <v>28</v>
      </c>
      <c r="B72" s="54" t="s">
        <v>2</v>
      </c>
      <c r="C72" s="56">
        <v>287.24888826326446</v>
      </c>
      <c r="D72" s="56">
        <v>333.79834094626187</v>
      </c>
      <c r="E72" s="56">
        <v>363.0797434973137</v>
      </c>
      <c r="F72" s="56">
        <v>375.65909140248078</v>
      </c>
      <c r="G72" s="56">
        <v>537.21573077888456</v>
      </c>
      <c r="H72" s="56">
        <v>452.92324432159586</v>
      </c>
      <c r="I72" s="56">
        <v>328.84512251709742</v>
      </c>
      <c r="J72" s="56">
        <v>263.24178686110497</v>
      </c>
      <c r="K72" s="58">
        <f>334091750.25/1611822</f>
        <v>207.27583458347138</v>
      </c>
      <c r="L72" s="58">
        <f>613191186.36/1602386</f>
        <v>382.67382912731392</v>
      </c>
      <c r="M72" s="58">
        <v>279.76767761154963</v>
      </c>
      <c r="N72" s="64">
        <v>270.5</v>
      </c>
      <c r="O72" s="64">
        <v>260.7</v>
      </c>
      <c r="P72" s="52"/>
    </row>
    <row r="73" spans="1:16" ht="26.1" customHeight="1" thickBot="1" x14ac:dyDescent="0.25">
      <c r="A73" s="1" t="s">
        <v>29</v>
      </c>
      <c r="B73" s="55"/>
      <c r="C73" s="57"/>
      <c r="D73" s="57"/>
      <c r="E73" s="57"/>
      <c r="F73" s="57"/>
      <c r="G73" s="57"/>
      <c r="H73" s="57"/>
      <c r="I73" s="57"/>
      <c r="J73" s="57"/>
      <c r="K73" s="59"/>
      <c r="L73" s="59"/>
      <c r="M73" s="59"/>
      <c r="N73" s="65"/>
      <c r="O73" s="65"/>
      <c r="P73" s="53"/>
    </row>
    <row r="74" spans="1:16" ht="13.5" thickTop="1" x14ac:dyDescent="0.2"/>
    <row r="75" spans="1:16" ht="13.5" customHeight="1" thickBot="1" x14ac:dyDescent="0.25"/>
    <row r="76" spans="1:16" s="7" customFormat="1" ht="16.5" thickTop="1" x14ac:dyDescent="0.2">
      <c r="A76" s="2" t="s">
        <v>0</v>
      </c>
      <c r="B76" s="3" t="s">
        <v>1</v>
      </c>
      <c r="C76" s="3">
        <v>2005</v>
      </c>
      <c r="D76" s="3">
        <v>2006</v>
      </c>
      <c r="E76" s="3">
        <v>2007</v>
      </c>
      <c r="F76" s="3">
        <v>2008</v>
      </c>
      <c r="G76" s="3">
        <v>2009</v>
      </c>
      <c r="H76" s="3">
        <v>2010</v>
      </c>
      <c r="I76" s="3">
        <v>2011</v>
      </c>
      <c r="J76" s="3">
        <v>2012</v>
      </c>
      <c r="K76" s="13">
        <v>2013</v>
      </c>
      <c r="L76" s="13">
        <v>2014</v>
      </c>
      <c r="M76" s="4">
        <v>2015</v>
      </c>
      <c r="N76" s="4">
        <v>2016</v>
      </c>
      <c r="O76" s="4">
        <v>2017</v>
      </c>
      <c r="P76" s="51"/>
    </row>
    <row r="77" spans="1:16" ht="34.5" customHeight="1" x14ac:dyDescent="0.2">
      <c r="A77" s="48" t="s">
        <v>70</v>
      </c>
      <c r="B77" s="54" t="s">
        <v>2</v>
      </c>
      <c r="C77" s="56">
        <v>60.179469064544989</v>
      </c>
      <c r="D77" s="56">
        <v>94.048404000493278</v>
      </c>
      <c r="E77" s="56">
        <v>125.33817255863232</v>
      </c>
      <c r="F77" s="56">
        <v>111.58945944323563</v>
      </c>
      <c r="G77" s="56">
        <v>285.95475340371507</v>
      </c>
      <c r="H77" s="56">
        <v>181.22188564208685</v>
      </c>
      <c r="I77" s="56">
        <v>111.21213343914505</v>
      </c>
      <c r="J77" s="56">
        <v>243.3272655608497</v>
      </c>
      <c r="K77" s="58">
        <f>311710839.7/1611822</f>
        <v>193.39036177692077</v>
      </c>
      <c r="L77" s="58">
        <f>454767110.56/1602386</f>
        <v>283.80621807729221</v>
      </c>
      <c r="M77" s="58">
        <v>247.32070240658624</v>
      </c>
      <c r="N77" s="64">
        <v>230.3</v>
      </c>
      <c r="O77" s="64">
        <v>219.1</v>
      </c>
      <c r="P77" s="52"/>
    </row>
    <row r="78" spans="1:16" ht="26.1" customHeight="1" thickBot="1" x14ac:dyDescent="0.25">
      <c r="A78" s="1" t="s">
        <v>59</v>
      </c>
      <c r="B78" s="55"/>
      <c r="C78" s="57"/>
      <c r="D78" s="57"/>
      <c r="E78" s="57"/>
      <c r="F78" s="57"/>
      <c r="G78" s="57"/>
      <c r="H78" s="57"/>
      <c r="I78" s="57"/>
      <c r="J78" s="57"/>
      <c r="K78" s="59"/>
      <c r="L78" s="59"/>
      <c r="M78" s="59"/>
      <c r="N78" s="65"/>
      <c r="O78" s="65"/>
      <c r="P78" s="53"/>
    </row>
    <row r="79" spans="1:16" ht="13.5" thickTop="1" x14ac:dyDescent="0.2">
      <c r="A79" s="10" t="s">
        <v>69</v>
      </c>
    </row>
    <row r="80" spans="1:16" ht="13.5" customHeight="1" thickBot="1" x14ac:dyDescent="0.25"/>
    <row r="81" spans="1:16" s="7" customFormat="1" ht="16.5" thickTop="1" x14ac:dyDescent="0.2">
      <c r="A81" s="2" t="s">
        <v>0</v>
      </c>
      <c r="B81" s="3" t="s">
        <v>1</v>
      </c>
      <c r="C81" s="3">
        <v>2005</v>
      </c>
      <c r="D81" s="3">
        <v>2006</v>
      </c>
      <c r="E81" s="3">
        <v>2007</v>
      </c>
      <c r="F81" s="3">
        <v>2008</v>
      </c>
      <c r="G81" s="3">
        <v>2009</v>
      </c>
      <c r="H81" s="3">
        <v>2010</v>
      </c>
      <c r="I81" s="3">
        <v>2011</v>
      </c>
      <c r="J81" s="3">
        <v>2012</v>
      </c>
      <c r="K81" s="13">
        <v>2013</v>
      </c>
      <c r="L81" s="13">
        <v>2014</v>
      </c>
      <c r="M81" s="4">
        <v>2015</v>
      </c>
      <c r="N81" s="4">
        <v>2016</v>
      </c>
      <c r="O81" s="4">
        <v>2017</v>
      </c>
      <c r="P81" s="51"/>
    </row>
    <row r="82" spans="1:16" ht="34.5" customHeight="1" x14ac:dyDescent="0.2">
      <c r="A82" s="48" t="s">
        <v>30</v>
      </c>
      <c r="B82" s="54" t="s">
        <v>4</v>
      </c>
      <c r="C82" s="70">
        <v>0.23936286951631608</v>
      </c>
      <c r="D82" s="70">
        <v>0.2667499028790995</v>
      </c>
      <c r="E82" s="70">
        <v>0.26</v>
      </c>
      <c r="F82" s="70">
        <v>0.252</v>
      </c>
      <c r="G82" s="70">
        <v>0.32</v>
      </c>
      <c r="H82" s="70">
        <v>0.28000000000000003</v>
      </c>
      <c r="I82" s="70">
        <v>0.216</v>
      </c>
      <c r="J82" s="70">
        <v>0.18259141080698638</v>
      </c>
      <c r="K82" s="84">
        <f>334091750.25/2285271901.89</f>
        <v>0.14619343543921159</v>
      </c>
      <c r="L82" s="84">
        <f>613191186.36/2646991423.5</f>
        <v>0.23165590221263518</v>
      </c>
      <c r="M82" s="84">
        <v>0.1608828480957529</v>
      </c>
      <c r="N82" s="62">
        <v>0.161</v>
      </c>
      <c r="O82" s="62">
        <v>0.158</v>
      </c>
      <c r="P82" s="52"/>
    </row>
    <row r="83" spans="1:16" ht="26.1" customHeight="1" thickBot="1" x14ac:dyDescent="0.25">
      <c r="A83" s="9" t="s">
        <v>31</v>
      </c>
      <c r="B83" s="55"/>
      <c r="C83" s="71"/>
      <c r="D83" s="71"/>
      <c r="E83" s="71"/>
      <c r="F83" s="71"/>
      <c r="G83" s="71"/>
      <c r="H83" s="71"/>
      <c r="I83" s="71"/>
      <c r="J83" s="71"/>
      <c r="K83" s="85"/>
      <c r="L83" s="85"/>
      <c r="M83" s="85"/>
      <c r="N83" s="63"/>
      <c r="O83" s="63"/>
      <c r="P83" s="53"/>
    </row>
    <row r="84" spans="1:16" ht="13.5" thickTop="1" x14ac:dyDescent="0.2"/>
    <row r="85" spans="1:16" ht="6.75" customHeight="1" thickBot="1" x14ac:dyDescent="0.25"/>
    <row r="86" spans="1:16" s="7" customFormat="1" ht="16.5" thickTop="1" x14ac:dyDescent="0.2">
      <c r="A86" s="2" t="s">
        <v>0</v>
      </c>
      <c r="B86" s="3" t="s">
        <v>1</v>
      </c>
      <c r="C86" s="3">
        <v>2005</v>
      </c>
      <c r="D86" s="3">
        <v>2006</v>
      </c>
      <c r="E86" s="3">
        <v>2007</v>
      </c>
      <c r="F86" s="3">
        <v>2008</v>
      </c>
      <c r="G86" s="3">
        <v>2009</v>
      </c>
      <c r="H86" s="3">
        <v>2010</v>
      </c>
      <c r="I86" s="3">
        <v>2011</v>
      </c>
      <c r="J86" s="3">
        <v>2012</v>
      </c>
      <c r="K86" s="13">
        <v>2013</v>
      </c>
      <c r="L86" s="13">
        <v>2014</v>
      </c>
      <c r="M86" s="4">
        <v>2015</v>
      </c>
      <c r="N86" s="4">
        <v>2016</v>
      </c>
      <c r="O86" s="4">
        <v>2017</v>
      </c>
      <c r="P86" s="51"/>
    </row>
    <row r="87" spans="1:16" ht="34.5" customHeight="1" x14ac:dyDescent="0.2">
      <c r="A87" s="5" t="s">
        <v>32</v>
      </c>
      <c r="B87" s="54" t="s">
        <v>4</v>
      </c>
      <c r="C87" s="70">
        <v>2.545274483759712E-2</v>
      </c>
      <c r="D87" s="70">
        <v>2.9401304738534015E-2</v>
      </c>
      <c r="E87" s="70">
        <v>4.0339574556689246E-2</v>
      </c>
      <c r="F87" s="70">
        <v>2.9887463573341565E-2</v>
      </c>
      <c r="G87" s="70">
        <v>1.3370657994246582E-2</v>
      </c>
      <c r="H87" s="70">
        <v>1.2896850884786003E-2</v>
      </c>
      <c r="I87" s="70">
        <v>1.15019032003709E-2</v>
      </c>
      <c r="J87" s="70">
        <v>1.3934449435122485E-2</v>
      </c>
      <c r="K87" s="84">
        <v>1.2E-2</v>
      </c>
      <c r="L87" s="84">
        <f>28509287.72/2646991423.5</f>
        <v>1.0770449600589723E-2</v>
      </c>
      <c r="M87" s="66">
        <v>9.803874283123749E-3</v>
      </c>
      <c r="N87" s="74">
        <v>1.6E-2</v>
      </c>
      <c r="O87" s="74">
        <v>1.4999999999999999E-2</v>
      </c>
      <c r="P87" s="52"/>
    </row>
    <row r="88" spans="1:16" ht="45.75" thickBot="1" x14ac:dyDescent="0.25">
      <c r="A88" s="9" t="s">
        <v>78</v>
      </c>
      <c r="B88" s="55"/>
      <c r="C88" s="71"/>
      <c r="D88" s="71"/>
      <c r="E88" s="71"/>
      <c r="F88" s="71"/>
      <c r="G88" s="71"/>
      <c r="H88" s="71"/>
      <c r="I88" s="71"/>
      <c r="J88" s="71"/>
      <c r="K88" s="85"/>
      <c r="L88" s="85"/>
      <c r="M88" s="67"/>
      <c r="N88" s="75"/>
      <c r="O88" s="75"/>
      <c r="P88" s="53"/>
    </row>
    <row r="89" spans="1:16" ht="13.5" thickTop="1" x14ac:dyDescent="0.2">
      <c r="C89" s="14"/>
      <c r="D89" s="14"/>
      <c r="E89" s="14"/>
      <c r="F89" s="14"/>
      <c r="G89" s="14"/>
      <c r="H89" s="14"/>
      <c r="I89" s="14"/>
      <c r="J89" s="14"/>
      <c r="K89" s="14"/>
    </row>
    <row r="90" spans="1:16" ht="3.75" customHeight="1" thickBot="1" x14ac:dyDescent="0.25"/>
    <row r="91" spans="1:16" s="7" customFormat="1" ht="16.5" thickTop="1" x14ac:dyDescent="0.2">
      <c r="A91" s="2" t="s">
        <v>0</v>
      </c>
      <c r="B91" s="3" t="s">
        <v>1</v>
      </c>
      <c r="C91" s="3">
        <v>2005</v>
      </c>
      <c r="D91" s="3">
        <v>2006</v>
      </c>
      <c r="E91" s="3">
        <v>2007</v>
      </c>
      <c r="F91" s="3">
        <v>2008</v>
      </c>
      <c r="G91" s="3">
        <v>2009</v>
      </c>
      <c r="H91" s="3">
        <v>2010</v>
      </c>
      <c r="I91" s="3">
        <v>2011</v>
      </c>
      <c r="J91" s="3">
        <v>2012</v>
      </c>
      <c r="K91" s="13">
        <v>2013</v>
      </c>
      <c r="L91" s="13">
        <v>2014</v>
      </c>
      <c r="M91" s="4">
        <v>2015</v>
      </c>
      <c r="N91" s="4">
        <v>2016</v>
      </c>
      <c r="O91" s="4">
        <v>2017</v>
      </c>
      <c r="P91" s="51"/>
    </row>
    <row r="92" spans="1:16" ht="34.5" customHeight="1" x14ac:dyDescent="0.2">
      <c r="A92" s="5" t="s">
        <v>34</v>
      </c>
      <c r="B92" s="54" t="s">
        <v>4</v>
      </c>
      <c r="C92" s="70">
        <v>0.23104574870790687</v>
      </c>
      <c r="D92" s="70">
        <v>0.23779763882564442</v>
      </c>
      <c r="E92" s="70">
        <v>0.23173084766520566</v>
      </c>
      <c r="F92" s="70">
        <v>0.2519490415845177</v>
      </c>
      <c r="G92" s="70">
        <v>0.25427405657681124</v>
      </c>
      <c r="H92" s="70">
        <v>0.1981618727813487</v>
      </c>
      <c r="I92" s="70">
        <v>0.15504678606807415</v>
      </c>
      <c r="J92" s="70">
        <v>0.14377370568528092</v>
      </c>
      <c r="K92" s="84">
        <f>255220740.8/2285271901.89</f>
        <v>0.1116806891070264</v>
      </c>
      <c r="L92" s="84">
        <f>298930832.49/2646991423.5</f>
        <v>0.11293230111593522</v>
      </c>
      <c r="M92" s="84">
        <v>0.10165187296110885</v>
      </c>
      <c r="N92" s="62">
        <v>0.105</v>
      </c>
      <c r="O92" s="62">
        <v>9.7000000000000003E-2</v>
      </c>
      <c r="P92" s="52"/>
    </row>
    <row r="93" spans="1:16" ht="26.1" customHeight="1" thickBot="1" x14ac:dyDescent="0.25">
      <c r="A93" s="9" t="s">
        <v>33</v>
      </c>
      <c r="B93" s="55"/>
      <c r="C93" s="71"/>
      <c r="D93" s="71"/>
      <c r="E93" s="71"/>
      <c r="F93" s="71"/>
      <c r="G93" s="71"/>
      <c r="H93" s="71"/>
      <c r="I93" s="71"/>
      <c r="J93" s="71"/>
      <c r="K93" s="85"/>
      <c r="L93" s="85"/>
      <c r="M93" s="85"/>
      <c r="N93" s="63"/>
      <c r="O93" s="63"/>
      <c r="P93" s="53"/>
    </row>
    <row r="94" spans="1:16" ht="13.5" thickTop="1" x14ac:dyDescent="0.2">
      <c r="A94" s="10" t="s">
        <v>58</v>
      </c>
    </row>
    <row r="95" spans="1:16" ht="13.5" thickBot="1" x14ac:dyDescent="0.25">
      <c r="A95" s="10"/>
    </row>
    <row r="96" spans="1:16" ht="26.1" customHeight="1" thickTop="1" thickBot="1" x14ac:dyDescent="0.25">
      <c r="A96" s="2" t="s">
        <v>0</v>
      </c>
      <c r="B96" s="3" t="s">
        <v>1</v>
      </c>
      <c r="C96" s="39"/>
      <c r="D96" s="40"/>
      <c r="E96" s="40"/>
      <c r="F96" s="40"/>
      <c r="G96" s="40"/>
      <c r="H96" s="40"/>
      <c r="I96" s="40"/>
      <c r="J96" s="41"/>
      <c r="K96" s="13">
        <v>2013</v>
      </c>
      <c r="L96" s="4">
        <v>2014</v>
      </c>
      <c r="M96" s="4">
        <v>2015</v>
      </c>
      <c r="N96" s="4">
        <v>2016</v>
      </c>
      <c r="O96" s="4">
        <v>2017</v>
      </c>
      <c r="P96" s="16"/>
    </row>
    <row r="97" spans="1:21" ht="16.5" thickTop="1" x14ac:dyDescent="0.2">
      <c r="A97" s="22" t="s">
        <v>90</v>
      </c>
      <c r="B97" s="37"/>
      <c r="C97" s="42"/>
      <c r="D97" s="32"/>
      <c r="E97" s="32"/>
      <c r="F97" s="32"/>
      <c r="G97" s="32"/>
      <c r="H97" s="32"/>
      <c r="I97" s="32"/>
      <c r="J97" s="43"/>
      <c r="K97" s="35">
        <f>3007720.35/1611822</f>
        <v>1.8660375339212396</v>
      </c>
      <c r="L97" s="35">
        <f>1399895.15/1602386</f>
        <v>0.87363166552878013</v>
      </c>
      <c r="M97" s="35">
        <f>2082917.64/1604555</f>
        <v>1.2981279170860456</v>
      </c>
      <c r="N97" s="36">
        <f>656149.32/1608746</f>
        <v>0.40786383928848924</v>
      </c>
      <c r="O97" s="36">
        <v>1.45</v>
      </c>
      <c r="P97" s="18"/>
    </row>
    <row r="98" spans="1:21" ht="15.75" x14ac:dyDescent="0.2">
      <c r="A98" s="21" t="s">
        <v>91</v>
      </c>
      <c r="B98" s="27"/>
      <c r="C98" s="44"/>
      <c r="D98" s="33"/>
      <c r="E98" s="33"/>
      <c r="F98" s="33"/>
      <c r="G98" s="33"/>
      <c r="H98" s="33"/>
      <c r="I98" s="33"/>
      <c r="J98" s="45"/>
      <c r="K98" s="17">
        <f>12238749.43/1611822</f>
        <v>7.5931147670152157</v>
      </c>
      <c r="L98" s="17">
        <f>1211515.17/1602386</f>
        <v>0.7560694926191317</v>
      </c>
      <c r="M98" s="17">
        <f>532323.46/1604555</f>
        <v>0.33175768982677439</v>
      </c>
      <c r="N98" s="28">
        <f>250493.77/1608746</f>
        <v>0.15570747029052442</v>
      </c>
      <c r="O98" s="28">
        <v>1.17</v>
      </c>
      <c r="P98" s="18"/>
    </row>
    <row r="99" spans="1:21" ht="15.75" x14ac:dyDescent="0.2">
      <c r="A99" s="23" t="s">
        <v>92</v>
      </c>
      <c r="B99" s="27"/>
      <c r="C99" s="44"/>
      <c r="D99" s="33"/>
      <c r="E99" s="33"/>
      <c r="F99" s="33"/>
      <c r="G99" s="33"/>
      <c r="H99" s="33"/>
      <c r="I99" s="33"/>
      <c r="J99" s="45"/>
      <c r="K99" s="17">
        <f>185373.05/1611822</f>
        <v>0.11500838802299508</v>
      </c>
      <c r="L99" s="17">
        <f>0/1602386</f>
        <v>0</v>
      </c>
      <c r="M99" s="17">
        <f>39264.5/1604555</f>
        <v>2.4470647625042457E-2</v>
      </c>
      <c r="N99" s="28">
        <v>0</v>
      </c>
      <c r="O99" s="28">
        <v>0.99</v>
      </c>
      <c r="P99" s="18"/>
    </row>
    <row r="100" spans="1:21" ht="15.75" x14ac:dyDescent="0.2">
      <c r="A100" s="24" t="s">
        <v>93</v>
      </c>
      <c r="B100" s="27"/>
      <c r="C100" s="44"/>
      <c r="D100" s="33"/>
      <c r="E100" s="33"/>
      <c r="F100" s="33"/>
      <c r="G100" s="33"/>
      <c r="H100" s="33"/>
      <c r="I100" s="33"/>
      <c r="J100" s="45"/>
      <c r="K100" s="17">
        <v>0</v>
      </c>
      <c r="L100" s="17">
        <f>797780.76/1602386</f>
        <v>0.49787052557873074</v>
      </c>
      <c r="M100" s="17">
        <f>1513450.18/1604555</f>
        <v>0.94322112984596973</v>
      </c>
      <c r="N100" s="28">
        <f>1253416.89/1608746</f>
        <v>0.77912665517117052</v>
      </c>
      <c r="O100" s="28">
        <v>1.53</v>
      </c>
    </row>
    <row r="101" spans="1:21" ht="15.75" x14ac:dyDescent="0.2">
      <c r="A101" s="21" t="s">
        <v>94</v>
      </c>
      <c r="B101" s="27"/>
      <c r="C101" s="44"/>
      <c r="D101" s="33"/>
      <c r="E101" s="33"/>
      <c r="F101" s="33"/>
      <c r="G101" s="33"/>
      <c r="H101" s="33"/>
      <c r="I101" s="33"/>
      <c r="J101" s="45"/>
      <c r="K101" s="17">
        <f>73786.57/1611822</f>
        <v>4.577836138233627E-2</v>
      </c>
      <c r="L101" s="17">
        <f>54201.24/1602386</f>
        <v>3.3825332972205198E-2</v>
      </c>
      <c r="M101" s="17">
        <f>2169858.05/1604555</f>
        <v>1.3523114196771067</v>
      </c>
      <c r="N101" s="28">
        <f>1308991.93/1608746</f>
        <v>0.81367222047482946</v>
      </c>
      <c r="O101" s="28">
        <v>1.32</v>
      </c>
    </row>
    <row r="102" spans="1:21" ht="15.75" x14ac:dyDescent="0.2">
      <c r="A102" s="24" t="s">
        <v>95</v>
      </c>
      <c r="B102" s="27"/>
      <c r="C102" s="44"/>
      <c r="D102" s="33"/>
      <c r="E102" s="33"/>
      <c r="F102" s="33"/>
      <c r="G102" s="33"/>
      <c r="H102" s="33"/>
      <c r="I102" s="33"/>
      <c r="J102" s="45"/>
      <c r="K102" s="17">
        <f>6034330.85/1611822</f>
        <v>3.743794817293721</v>
      </c>
      <c r="L102" s="17">
        <f>1248992.46/1602386</f>
        <v>0.77945792087549437</v>
      </c>
      <c r="M102" s="17">
        <f>3725827.01/1604555</f>
        <v>2.3220313482554351</v>
      </c>
      <c r="N102" s="28">
        <f>4873456.16/1608746</f>
        <v>3.0293509105850149</v>
      </c>
      <c r="O102" s="28">
        <v>3.12</v>
      </c>
    </row>
    <row r="103" spans="1:21" ht="15.75" x14ac:dyDescent="0.2">
      <c r="A103" s="24" t="s">
        <v>96</v>
      </c>
      <c r="B103" s="27"/>
      <c r="C103" s="44"/>
      <c r="D103" s="33"/>
      <c r="E103" s="33"/>
      <c r="F103" s="33"/>
      <c r="G103" s="33"/>
      <c r="H103" s="33"/>
      <c r="I103" s="33"/>
      <c r="J103" s="45"/>
      <c r="K103" s="17">
        <v>0</v>
      </c>
      <c r="L103" s="17">
        <f>1038354.95/1602386</f>
        <v>0.64800550553986369</v>
      </c>
      <c r="M103" s="17">
        <f>992090.18/1604555</f>
        <v>0.61829615064612931</v>
      </c>
      <c r="N103" s="28">
        <v>0</v>
      </c>
      <c r="O103" s="28">
        <v>0.28000000000000003</v>
      </c>
      <c r="P103" s="18"/>
    </row>
    <row r="104" spans="1:21" ht="15.75" x14ac:dyDescent="0.2">
      <c r="A104" s="21" t="s">
        <v>97</v>
      </c>
      <c r="B104" s="27"/>
      <c r="C104" s="44"/>
      <c r="D104" s="33"/>
      <c r="E104" s="33"/>
      <c r="F104" s="33"/>
      <c r="G104" s="33"/>
      <c r="H104" s="33"/>
      <c r="I104" s="33"/>
      <c r="J104" s="45"/>
      <c r="K104" s="17">
        <f>10859434.94/1611822</f>
        <v>6.7373661235545859</v>
      </c>
      <c r="L104" s="17">
        <f>2926349.79/1602386</f>
        <v>1.8262452305499424</v>
      </c>
      <c r="M104" s="17">
        <f>5135520.4/1604555</f>
        <v>3.2005885744022486</v>
      </c>
      <c r="N104" s="28">
        <f>1101079.02/1608746</f>
        <v>0.68443310503957744</v>
      </c>
      <c r="O104" s="28">
        <v>0.51</v>
      </c>
      <c r="Q104" s="16"/>
      <c r="R104" s="16"/>
      <c r="S104" s="16"/>
      <c r="T104" s="16"/>
      <c r="U104" s="16"/>
    </row>
    <row r="105" spans="1:21" ht="16.5" thickBot="1" x14ac:dyDescent="0.25">
      <c r="A105" s="25" t="s">
        <v>98</v>
      </c>
      <c r="B105" s="38"/>
      <c r="C105" s="46"/>
      <c r="D105" s="47"/>
      <c r="E105" s="47"/>
      <c r="F105" s="47"/>
      <c r="G105" s="47"/>
      <c r="H105" s="47"/>
      <c r="I105" s="47"/>
      <c r="J105" s="31"/>
      <c r="K105" s="29">
        <f>64625797.42/1611822</f>
        <v>40.094872399061437</v>
      </c>
      <c r="L105" s="29">
        <f>171225559.15/1602386</f>
        <v>106.85662452742348</v>
      </c>
      <c r="M105" s="29">
        <f>144793728.07/1604555</f>
        <v>90.239180377113897</v>
      </c>
      <c r="N105" s="30">
        <f>106283352.3/1608746</f>
        <v>66.065962122050337</v>
      </c>
      <c r="O105" s="30">
        <v>60.61</v>
      </c>
      <c r="P105" s="34"/>
      <c r="Q105" s="16"/>
      <c r="R105" s="16"/>
      <c r="S105" s="16"/>
      <c r="T105" s="16"/>
      <c r="U105" s="16"/>
    </row>
    <row r="106" spans="1:21" ht="34.5" customHeight="1" thickTop="1" x14ac:dyDescent="0.2">
      <c r="A106" s="5" t="s">
        <v>100</v>
      </c>
      <c r="B106" s="54" t="s">
        <v>2</v>
      </c>
      <c r="C106" s="113"/>
      <c r="D106" s="19"/>
      <c r="E106" s="19"/>
      <c r="F106" s="19"/>
      <c r="G106" s="19"/>
      <c r="H106" s="19"/>
      <c r="I106" s="19"/>
      <c r="J106" s="114"/>
      <c r="K106" s="56">
        <f>SUM(K97:K105)</f>
        <v>60.195972390251526</v>
      </c>
      <c r="L106" s="56">
        <f>SUM(L97:L105)</f>
        <v>112.27173020108762</v>
      </c>
      <c r="M106" s="56">
        <f>SUM(M97:M105)</f>
        <v>100.32998525447864</v>
      </c>
      <c r="N106" s="58">
        <f>SUM(N97:N105)</f>
        <v>71.936116322899949</v>
      </c>
      <c r="O106" s="58">
        <f>SUM(O97:O105)</f>
        <v>70.98</v>
      </c>
      <c r="P106" s="60"/>
      <c r="Q106" s="50"/>
      <c r="R106" s="50"/>
      <c r="S106" s="50"/>
      <c r="T106" s="16"/>
      <c r="U106" s="16"/>
    </row>
    <row r="107" spans="1:21" ht="25.5" customHeight="1" thickBot="1" x14ac:dyDescent="0.25">
      <c r="A107" s="9" t="s">
        <v>101</v>
      </c>
      <c r="B107" s="55"/>
      <c r="C107" s="115"/>
      <c r="D107" s="116"/>
      <c r="E107" s="116"/>
      <c r="F107" s="116"/>
      <c r="G107" s="116"/>
      <c r="H107" s="116"/>
      <c r="I107" s="116"/>
      <c r="J107" s="117"/>
      <c r="K107" s="57"/>
      <c r="L107" s="57"/>
      <c r="M107" s="57"/>
      <c r="N107" s="59"/>
      <c r="O107" s="59"/>
      <c r="P107" s="61"/>
      <c r="Q107" s="50"/>
      <c r="R107" s="50"/>
      <c r="S107" s="50"/>
      <c r="T107" s="16"/>
      <c r="U107" s="16"/>
    </row>
    <row r="108" spans="1:21" ht="17.25" customHeight="1" thickTop="1" x14ac:dyDescent="0.2">
      <c r="A108" s="10" t="s">
        <v>99</v>
      </c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18"/>
      <c r="Q108" s="16"/>
      <c r="R108" s="16"/>
      <c r="S108" s="16"/>
      <c r="T108" s="16"/>
      <c r="U108" s="16"/>
    </row>
    <row r="109" spans="1:21" ht="18.75" x14ac:dyDescent="0.3">
      <c r="A109" s="26" t="s">
        <v>67</v>
      </c>
      <c r="Q109" s="16"/>
      <c r="R109" s="16"/>
      <c r="S109" s="16"/>
      <c r="T109" s="16"/>
      <c r="U109" s="16"/>
    </row>
    <row r="110" spans="1:21" ht="13.5" customHeight="1" thickBot="1" x14ac:dyDescent="0.25">
      <c r="Q110" s="16"/>
      <c r="R110" s="16"/>
      <c r="S110" s="16"/>
      <c r="T110" s="16"/>
      <c r="U110" s="16"/>
    </row>
    <row r="111" spans="1:21" s="7" customFormat="1" ht="16.5" thickTop="1" x14ac:dyDescent="0.2">
      <c r="A111" s="2" t="s">
        <v>0</v>
      </c>
      <c r="B111" s="3" t="s">
        <v>1</v>
      </c>
      <c r="C111" s="3">
        <v>2005</v>
      </c>
      <c r="D111" s="3">
        <v>2006</v>
      </c>
      <c r="E111" s="3">
        <v>2007</v>
      </c>
      <c r="F111" s="3">
        <v>2008</v>
      </c>
      <c r="G111" s="3">
        <v>2009</v>
      </c>
      <c r="H111" s="3">
        <v>2010</v>
      </c>
      <c r="I111" s="3">
        <v>2011</v>
      </c>
      <c r="J111" s="3">
        <v>2012</v>
      </c>
      <c r="K111" s="13">
        <v>2013</v>
      </c>
      <c r="L111" s="13">
        <v>2014</v>
      </c>
      <c r="M111" s="4">
        <v>2015</v>
      </c>
      <c r="N111" s="4">
        <v>2016</v>
      </c>
      <c r="O111" s="4">
        <v>2017</v>
      </c>
      <c r="P111" s="51"/>
    </row>
    <row r="112" spans="1:21" ht="34.5" customHeight="1" x14ac:dyDescent="0.2">
      <c r="A112" s="5" t="s">
        <v>35</v>
      </c>
      <c r="B112" s="54" t="s">
        <v>4</v>
      </c>
      <c r="C112" s="70">
        <v>1.0381096817753341</v>
      </c>
      <c r="D112" s="70">
        <v>1.025690017606157</v>
      </c>
      <c r="E112" s="70">
        <v>1.0129999999999999</v>
      </c>
      <c r="F112" s="70">
        <v>0.93700000000000006</v>
      </c>
      <c r="G112" s="70">
        <v>0.95499999999999996</v>
      </c>
      <c r="H112" s="70">
        <v>1.0009999999999999</v>
      </c>
      <c r="I112" s="70">
        <v>0.91100000000000003</v>
      </c>
      <c r="J112" s="70">
        <v>0.99548946881936806</v>
      </c>
      <c r="K112" s="84">
        <f>2500163020.84/2348803519.49</f>
        <v>1.06444110803396</v>
      </c>
      <c r="L112" s="84">
        <v>0.98499999999999999</v>
      </c>
      <c r="M112" s="84">
        <v>0.98507799689067144</v>
      </c>
      <c r="N112" s="62">
        <v>0.96499999999999997</v>
      </c>
      <c r="O112" s="62">
        <v>0.97899999999999998</v>
      </c>
      <c r="P112" s="52"/>
    </row>
    <row r="113" spans="1:16" ht="26.1" customHeight="1" thickBot="1" x14ac:dyDescent="0.25">
      <c r="A113" s="9" t="s">
        <v>73</v>
      </c>
      <c r="B113" s="55"/>
      <c r="C113" s="71"/>
      <c r="D113" s="71"/>
      <c r="E113" s="71"/>
      <c r="F113" s="71"/>
      <c r="G113" s="71"/>
      <c r="H113" s="71"/>
      <c r="I113" s="71"/>
      <c r="J113" s="71"/>
      <c r="K113" s="85"/>
      <c r="L113" s="85"/>
      <c r="M113" s="85"/>
      <c r="N113" s="63"/>
      <c r="O113" s="63"/>
      <c r="P113" s="53"/>
    </row>
    <row r="114" spans="1:16" ht="13.5" customHeight="1" thickTop="1" x14ac:dyDescent="0.2"/>
    <row r="115" spans="1:16" ht="13.5" customHeight="1" thickBot="1" x14ac:dyDescent="0.25"/>
    <row r="116" spans="1:16" s="7" customFormat="1" ht="16.5" thickTop="1" x14ac:dyDescent="0.2">
      <c r="A116" s="2" t="s">
        <v>0</v>
      </c>
      <c r="B116" s="3" t="s">
        <v>1</v>
      </c>
      <c r="C116" s="3">
        <v>2005</v>
      </c>
      <c r="D116" s="3">
        <v>2006</v>
      </c>
      <c r="E116" s="3">
        <v>2007</v>
      </c>
      <c r="F116" s="3">
        <v>2008</v>
      </c>
      <c r="G116" s="3">
        <v>2009</v>
      </c>
      <c r="H116" s="3">
        <v>2010</v>
      </c>
      <c r="I116" s="3">
        <v>2011</v>
      </c>
      <c r="J116" s="3">
        <v>2012</v>
      </c>
      <c r="K116" s="13">
        <v>2013</v>
      </c>
      <c r="L116" s="13">
        <v>2014</v>
      </c>
      <c r="M116" s="4">
        <v>2015</v>
      </c>
      <c r="N116" s="4">
        <v>2016</v>
      </c>
      <c r="O116" s="4">
        <v>2017</v>
      </c>
      <c r="P116" s="51"/>
    </row>
    <row r="117" spans="1:16" ht="34.5" customHeight="1" x14ac:dyDescent="0.2">
      <c r="A117" s="5" t="s">
        <v>36</v>
      </c>
      <c r="B117" s="54" t="s">
        <v>4</v>
      </c>
      <c r="C117" s="70">
        <v>1.0663152584502087</v>
      </c>
      <c r="D117" s="70">
        <v>1.0744089427376966</v>
      </c>
      <c r="E117" s="70">
        <v>1.1113869213206942</v>
      </c>
      <c r="F117" s="70">
        <v>1.0354269379660004</v>
      </c>
      <c r="G117" s="70">
        <v>1.0146400251373096</v>
      </c>
      <c r="H117" s="70">
        <v>1.0533153349345168</v>
      </c>
      <c r="I117" s="70">
        <v>1.0419637945556162</v>
      </c>
      <c r="J117" s="70">
        <v>1.0408786052174679</v>
      </c>
      <c r="K117" s="84">
        <f>2430506527.51/2221961334.98</f>
        <v>1.0938563553050653</v>
      </c>
      <c r="L117" s="84">
        <v>1.123</v>
      </c>
      <c r="M117" s="84">
        <v>1.0936236202115717</v>
      </c>
      <c r="N117" s="62">
        <v>1.069</v>
      </c>
      <c r="O117" s="62">
        <v>1.0169999999999999</v>
      </c>
      <c r="P117" s="52"/>
    </row>
    <row r="118" spans="1:16" ht="26.1" customHeight="1" thickBot="1" x14ac:dyDescent="0.25">
      <c r="A118" s="9" t="s">
        <v>89</v>
      </c>
      <c r="B118" s="55"/>
      <c r="C118" s="71"/>
      <c r="D118" s="71"/>
      <c r="E118" s="71"/>
      <c r="F118" s="71"/>
      <c r="G118" s="71"/>
      <c r="H118" s="71"/>
      <c r="I118" s="71"/>
      <c r="J118" s="71"/>
      <c r="K118" s="85"/>
      <c r="L118" s="85"/>
      <c r="M118" s="85"/>
      <c r="N118" s="63"/>
      <c r="O118" s="63"/>
      <c r="P118" s="53"/>
    </row>
    <row r="119" spans="1:16" ht="13.5" customHeight="1" thickTop="1" x14ac:dyDescent="0.2"/>
    <row r="120" spans="1:16" ht="13.5" customHeight="1" thickBot="1" x14ac:dyDescent="0.25"/>
    <row r="121" spans="1:16" s="7" customFormat="1" ht="16.5" thickTop="1" x14ac:dyDescent="0.2">
      <c r="A121" s="2" t="s">
        <v>0</v>
      </c>
      <c r="B121" s="3" t="s">
        <v>1</v>
      </c>
      <c r="C121" s="3">
        <v>2005</v>
      </c>
      <c r="D121" s="3">
        <v>2006</v>
      </c>
      <c r="E121" s="3">
        <v>2007</v>
      </c>
      <c r="F121" s="3">
        <v>2008</v>
      </c>
      <c r="G121" s="3">
        <v>2009</v>
      </c>
      <c r="H121" s="3">
        <v>2010</v>
      </c>
      <c r="I121" s="3">
        <v>2011</v>
      </c>
      <c r="J121" s="3">
        <v>2012</v>
      </c>
      <c r="K121" s="13">
        <v>2013</v>
      </c>
      <c r="L121" s="13">
        <v>2014</v>
      </c>
      <c r="M121" s="4">
        <v>2015</v>
      </c>
      <c r="N121" s="4">
        <v>2016</v>
      </c>
      <c r="O121" s="4">
        <v>2017</v>
      </c>
      <c r="P121" s="51"/>
    </row>
    <row r="122" spans="1:16" ht="34.5" customHeight="1" x14ac:dyDescent="0.2">
      <c r="A122" s="5" t="s">
        <v>37</v>
      </c>
      <c r="B122" s="54" t="s">
        <v>4</v>
      </c>
      <c r="C122" s="70">
        <v>0.86357196214619014</v>
      </c>
      <c r="D122" s="70">
        <v>0.86404179289746452</v>
      </c>
      <c r="E122" s="70">
        <v>0.65710389785111256</v>
      </c>
      <c r="F122" s="70">
        <v>0.63840717520936219</v>
      </c>
      <c r="G122" s="70">
        <v>0.87837218678539541</v>
      </c>
      <c r="H122" s="70">
        <v>0.82618260755294937</v>
      </c>
      <c r="I122" s="70">
        <v>0.98394234083001963</v>
      </c>
      <c r="J122" s="70">
        <v>0.9244794269844413</v>
      </c>
      <c r="K122" s="84">
        <f>28408197.23/17675195.4</f>
        <v>1.6072352574953714</v>
      </c>
      <c r="L122" s="84">
        <v>1.4079999999999999</v>
      </c>
      <c r="M122" s="84">
        <v>0.80080268129218068</v>
      </c>
      <c r="N122" s="62">
        <v>2.12</v>
      </c>
      <c r="O122" s="62">
        <v>0.65200000000000002</v>
      </c>
      <c r="P122" s="52"/>
    </row>
    <row r="123" spans="1:16" ht="26.1" customHeight="1" thickBot="1" x14ac:dyDescent="0.25">
      <c r="A123" s="9" t="s">
        <v>38</v>
      </c>
      <c r="B123" s="55"/>
      <c r="C123" s="71"/>
      <c r="D123" s="71"/>
      <c r="E123" s="71"/>
      <c r="F123" s="71"/>
      <c r="G123" s="71"/>
      <c r="H123" s="71"/>
      <c r="I123" s="71"/>
      <c r="J123" s="71"/>
      <c r="K123" s="85"/>
      <c r="L123" s="85"/>
      <c r="M123" s="85"/>
      <c r="N123" s="63"/>
      <c r="O123" s="63"/>
      <c r="P123" s="53"/>
    </row>
    <row r="124" spans="1:16" ht="13.5" customHeight="1" thickTop="1" x14ac:dyDescent="0.2"/>
    <row r="125" spans="1:16" ht="13.5" customHeight="1" thickBot="1" x14ac:dyDescent="0.25"/>
    <row r="126" spans="1:16" s="7" customFormat="1" ht="16.5" thickTop="1" x14ac:dyDescent="0.2">
      <c r="A126" s="2" t="s">
        <v>0</v>
      </c>
      <c r="B126" s="3" t="s">
        <v>1</v>
      </c>
      <c r="C126" s="3">
        <v>2005</v>
      </c>
      <c r="D126" s="3">
        <v>2006</v>
      </c>
      <c r="E126" s="3">
        <v>2007</v>
      </c>
      <c r="F126" s="3">
        <v>2008</v>
      </c>
      <c r="G126" s="3">
        <v>2009</v>
      </c>
      <c r="H126" s="3">
        <v>2010</v>
      </c>
      <c r="I126" s="3">
        <v>2011</v>
      </c>
      <c r="J126" s="3">
        <v>2012</v>
      </c>
      <c r="K126" s="13">
        <v>2013</v>
      </c>
      <c r="L126" s="13">
        <v>2014</v>
      </c>
      <c r="M126" s="4">
        <v>2015</v>
      </c>
      <c r="N126" s="4">
        <v>2016</v>
      </c>
      <c r="O126" s="4">
        <v>2017</v>
      </c>
      <c r="P126" s="51"/>
    </row>
    <row r="127" spans="1:16" ht="34.5" customHeight="1" x14ac:dyDescent="0.2">
      <c r="A127" s="5" t="s">
        <v>39</v>
      </c>
      <c r="B127" s="54" t="s">
        <v>4</v>
      </c>
      <c r="C127" s="70">
        <v>0.95876869940992926</v>
      </c>
      <c r="D127" s="70">
        <v>0.94663444825816923</v>
      </c>
      <c r="E127" s="70">
        <v>0.94899999999999995</v>
      </c>
      <c r="F127" s="70">
        <v>0.94699999999999995</v>
      </c>
      <c r="G127" s="70">
        <v>0.95399999999999996</v>
      </c>
      <c r="H127" s="70">
        <v>0.88</v>
      </c>
      <c r="I127" s="70">
        <v>0.93500000000000005</v>
      </c>
      <c r="J127" s="70">
        <v>0.92348965474774058</v>
      </c>
      <c r="K127" s="84">
        <f>2285271901.89/2342625404.29</f>
        <v>0.97551742489645599</v>
      </c>
      <c r="L127" s="84">
        <v>0.98</v>
      </c>
      <c r="M127" s="84">
        <v>0.98285576388216633</v>
      </c>
      <c r="N127" s="62">
        <v>0.97599999999999998</v>
      </c>
      <c r="O127" s="62">
        <v>0.96599999999999997</v>
      </c>
      <c r="P127" s="52"/>
    </row>
    <row r="128" spans="1:16" ht="26.1" customHeight="1" thickBot="1" x14ac:dyDescent="0.25">
      <c r="A128" s="1" t="s">
        <v>40</v>
      </c>
      <c r="B128" s="55"/>
      <c r="C128" s="71"/>
      <c r="D128" s="71"/>
      <c r="E128" s="71"/>
      <c r="F128" s="71"/>
      <c r="G128" s="71"/>
      <c r="H128" s="71"/>
      <c r="I128" s="71"/>
      <c r="J128" s="71"/>
      <c r="K128" s="85"/>
      <c r="L128" s="85"/>
      <c r="M128" s="85"/>
      <c r="N128" s="63"/>
      <c r="O128" s="63"/>
      <c r="P128" s="53"/>
    </row>
    <row r="129" spans="1:16" ht="13.5" customHeight="1" thickTop="1" x14ac:dyDescent="0.2"/>
    <row r="130" spans="1:16" ht="13.5" customHeight="1" thickBot="1" x14ac:dyDescent="0.25"/>
    <row r="131" spans="1:16" s="7" customFormat="1" ht="16.5" thickTop="1" x14ac:dyDescent="0.2">
      <c r="A131" s="2" t="s">
        <v>0</v>
      </c>
      <c r="B131" s="3" t="s">
        <v>1</v>
      </c>
      <c r="C131" s="3">
        <v>2005</v>
      </c>
      <c r="D131" s="3">
        <v>2006</v>
      </c>
      <c r="E131" s="3">
        <v>2007</v>
      </c>
      <c r="F131" s="3">
        <v>2008</v>
      </c>
      <c r="G131" s="3">
        <v>2009</v>
      </c>
      <c r="H131" s="3">
        <v>2010</v>
      </c>
      <c r="I131" s="3">
        <v>2011</v>
      </c>
      <c r="J131" s="3">
        <v>2012</v>
      </c>
      <c r="K131" s="13">
        <v>2013</v>
      </c>
      <c r="L131" s="13">
        <v>2014</v>
      </c>
      <c r="M131" s="4">
        <v>2015</v>
      </c>
      <c r="N131" s="4">
        <v>2016</v>
      </c>
      <c r="O131" s="4">
        <v>2017</v>
      </c>
      <c r="P131" s="51"/>
    </row>
    <row r="132" spans="1:16" ht="34.5" customHeight="1" x14ac:dyDescent="0.2">
      <c r="A132" s="5" t="s">
        <v>41</v>
      </c>
      <c r="B132" s="54" t="s">
        <v>4</v>
      </c>
      <c r="C132" s="70">
        <v>0.96215523835684713</v>
      </c>
      <c r="D132" s="70">
        <v>0.96779385712394594</v>
      </c>
      <c r="E132" s="70">
        <v>0.97297523105579242</v>
      </c>
      <c r="F132" s="70">
        <v>0.96604148907576937</v>
      </c>
      <c r="G132" s="70">
        <v>0.97656403277271964</v>
      </c>
      <c r="H132" s="70">
        <v>0.97488396271258326</v>
      </c>
      <c r="I132" s="70">
        <v>0.96891716239654979</v>
      </c>
      <c r="J132" s="70">
        <v>0.95802931857034479</v>
      </c>
      <c r="K132" s="84">
        <f>1838420398.85/1876112854.18</f>
        <v>0.97990928144539868</v>
      </c>
      <c r="L132" s="84">
        <v>0.98199999999999998</v>
      </c>
      <c r="M132" s="84">
        <v>0.98693536665838466</v>
      </c>
      <c r="N132" s="62">
        <v>0.97899999999999998</v>
      </c>
      <c r="O132" s="62">
        <v>0.97</v>
      </c>
      <c r="P132" s="52"/>
    </row>
    <row r="133" spans="1:16" ht="26.1" customHeight="1" thickBot="1" x14ac:dyDescent="0.25">
      <c r="A133" s="9" t="s">
        <v>42</v>
      </c>
      <c r="B133" s="55"/>
      <c r="C133" s="71"/>
      <c r="D133" s="71"/>
      <c r="E133" s="71"/>
      <c r="F133" s="71"/>
      <c r="G133" s="71"/>
      <c r="H133" s="71"/>
      <c r="I133" s="71"/>
      <c r="J133" s="71"/>
      <c r="K133" s="85"/>
      <c r="L133" s="85"/>
      <c r="M133" s="85"/>
      <c r="N133" s="63"/>
      <c r="O133" s="63"/>
      <c r="P133" s="53"/>
    </row>
    <row r="134" spans="1:16" ht="13.5" thickTop="1" x14ac:dyDescent="0.2"/>
    <row r="135" spans="1:16" ht="13.5" thickBot="1" x14ac:dyDescent="0.25"/>
    <row r="136" spans="1:16" s="7" customFormat="1" ht="16.5" thickTop="1" x14ac:dyDescent="0.2">
      <c r="A136" s="2" t="s">
        <v>0</v>
      </c>
      <c r="B136" s="3" t="s">
        <v>1</v>
      </c>
      <c r="C136" s="3">
        <v>2005</v>
      </c>
      <c r="D136" s="3">
        <v>2006</v>
      </c>
      <c r="E136" s="3">
        <v>2007</v>
      </c>
      <c r="F136" s="3">
        <v>2008</v>
      </c>
      <c r="G136" s="3">
        <v>2009</v>
      </c>
      <c r="H136" s="3">
        <v>2010</v>
      </c>
      <c r="I136" s="3">
        <v>2011</v>
      </c>
      <c r="J136" s="3">
        <v>2012</v>
      </c>
      <c r="K136" s="13">
        <v>2013</v>
      </c>
      <c r="L136" s="13">
        <v>2014</v>
      </c>
      <c r="M136" s="4">
        <v>2015</v>
      </c>
      <c r="N136" s="4">
        <v>2016</v>
      </c>
      <c r="O136" s="4">
        <v>2017</v>
      </c>
      <c r="P136" s="51"/>
    </row>
    <row r="137" spans="1:16" ht="34.5" customHeight="1" x14ac:dyDescent="0.2">
      <c r="A137" s="5" t="s">
        <v>43</v>
      </c>
      <c r="B137" s="54" t="s">
        <v>4</v>
      </c>
      <c r="C137" s="70">
        <v>0.94148931637563726</v>
      </c>
      <c r="D137" s="70">
        <v>0.88883790179417088</v>
      </c>
      <c r="E137" s="70">
        <v>0.88471019656551819</v>
      </c>
      <c r="F137" s="70">
        <v>0.88842744708671983</v>
      </c>
      <c r="G137" s="70">
        <v>0.90821542610562189</v>
      </c>
      <c r="H137" s="70">
        <v>0.70311262478952619</v>
      </c>
      <c r="I137" s="70">
        <v>0.82923660996546067</v>
      </c>
      <c r="J137" s="70">
        <v>0.85199999999999998</v>
      </c>
      <c r="K137" s="84">
        <f>334091750.25/353730709.2</f>
        <v>0.94448048066164336</v>
      </c>
      <c r="L137" s="84">
        <v>0.97199999999999998</v>
      </c>
      <c r="M137" s="84">
        <v>0.96549351073247791</v>
      </c>
      <c r="N137" s="62">
        <v>0.97699999999999998</v>
      </c>
      <c r="O137" s="62">
        <v>0.96399999999999997</v>
      </c>
      <c r="P137" s="52"/>
    </row>
    <row r="138" spans="1:16" ht="26.1" customHeight="1" thickBot="1" x14ac:dyDescent="0.25">
      <c r="A138" s="9" t="s">
        <v>44</v>
      </c>
      <c r="B138" s="55"/>
      <c r="C138" s="71"/>
      <c r="D138" s="71"/>
      <c r="E138" s="71"/>
      <c r="F138" s="71"/>
      <c r="G138" s="71"/>
      <c r="H138" s="71"/>
      <c r="I138" s="71"/>
      <c r="J138" s="71"/>
      <c r="K138" s="85"/>
      <c r="L138" s="85"/>
      <c r="M138" s="85"/>
      <c r="N138" s="63"/>
      <c r="O138" s="63"/>
      <c r="P138" s="53"/>
    </row>
    <row r="139" spans="1:16" ht="13.5" thickTop="1" x14ac:dyDescent="0.2">
      <c r="A139" s="11" t="s">
        <v>82</v>
      </c>
    </row>
    <row r="140" spans="1:16" ht="13.5" thickBot="1" x14ac:dyDescent="0.25"/>
    <row r="141" spans="1:16" s="7" customFormat="1" ht="16.5" thickTop="1" x14ac:dyDescent="0.2">
      <c r="A141" s="2" t="s">
        <v>0</v>
      </c>
      <c r="B141" s="3" t="s">
        <v>1</v>
      </c>
      <c r="C141" s="3">
        <v>2005</v>
      </c>
      <c r="D141" s="3">
        <v>2006</v>
      </c>
      <c r="E141" s="3">
        <v>2007</v>
      </c>
      <c r="F141" s="3">
        <v>2008</v>
      </c>
      <c r="G141" s="3">
        <v>2009</v>
      </c>
      <c r="H141" s="3">
        <v>2010</v>
      </c>
      <c r="I141" s="3">
        <v>2011</v>
      </c>
      <c r="J141" s="3">
        <v>2012</v>
      </c>
      <c r="K141" s="13">
        <v>2013</v>
      </c>
      <c r="L141" s="13">
        <v>2014</v>
      </c>
      <c r="M141" s="4">
        <v>2015</v>
      </c>
      <c r="N141" s="4">
        <v>2016</v>
      </c>
      <c r="O141" s="4">
        <v>2017</v>
      </c>
      <c r="P141" s="51"/>
    </row>
    <row r="142" spans="1:16" ht="34.5" customHeight="1" x14ac:dyDescent="0.2">
      <c r="A142" s="5" t="s">
        <v>45</v>
      </c>
      <c r="B142" s="54" t="s">
        <v>2</v>
      </c>
      <c r="C142" s="56">
        <v>1100.5783692481523</v>
      </c>
      <c r="D142" s="56">
        <v>1196.3347078852669</v>
      </c>
      <c r="E142" s="56">
        <v>1308.9198698271591</v>
      </c>
      <c r="F142" s="56">
        <v>1384.5665416719266</v>
      </c>
      <c r="G142" s="56">
        <v>1606.3061903922021</v>
      </c>
      <c r="H142" s="56">
        <v>1548.0925623017322</v>
      </c>
      <c r="I142" s="56">
        <v>1436.8696486794993</v>
      </c>
      <c r="J142" s="56">
        <v>1378.6533098017637</v>
      </c>
      <c r="K142" s="58">
        <f>2172512149.1/1611822</f>
        <v>1347.8610845986716</v>
      </c>
      <c r="L142" s="58">
        <f>2498689645.66/1602386</f>
        <v>1559.3556394401846</v>
      </c>
      <c r="M142" s="58">
        <v>1543.7504338025185</v>
      </c>
      <c r="N142" s="64">
        <v>1571.8</v>
      </c>
      <c r="O142" s="64">
        <v>1610.9</v>
      </c>
      <c r="P142" s="52"/>
    </row>
    <row r="143" spans="1:16" ht="26.1" customHeight="1" thickBot="1" x14ac:dyDescent="0.25">
      <c r="A143" s="1" t="s">
        <v>46</v>
      </c>
      <c r="B143" s="55"/>
      <c r="C143" s="57"/>
      <c r="D143" s="57"/>
      <c r="E143" s="57"/>
      <c r="F143" s="57"/>
      <c r="G143" s="57"/>
      <c r="H143" s="57"/>
      <c r="I143" s="57"/>
      <c r="J143" s="57"/>
      <c r="K143" s="59"/>
      <c r="L143" s="59"/>
      <c r="M143" s="59"/>
      <c r="N143" s="65"/>
      <c r="O143" s="65"/>
      <c r="P143" s="53"/>
    </row>
    <row r="144" spans="1:16" ht="13.5" thickTop="1" x14ac:dyDescent="0.2"/>
    <row r="145" spans="1:16" ht="13.5" thickBot="1" x14ac:dyDescent="0.25"/>
    <row r="146" spans="1:16" s="7" customFormat="1" ht="16.5" thickTop="1" x14ac:dyDescent="0.2">
      <c r="A146" s="2" t="s">
        <v>0</v>
      </c>
      <c r="B146" s="3" t="s">
        <v>1</v>
      </c>
      <c r="C146" s="3">
        <v>2005</v>
      </c>
      <c r="D146" s="3">
        <v>2006</v>
      </c>
      <c r="E146" s="3">
        <v>2007</v>
      </c>
      <c r="F146" s="3">
        <v>2008</v>
      </c>
      <c r="G146" s="3">
        <v>2009</v>
      </c>
      <c r="H146" s="3">
        <v>2010</v>
      </c>
      <c r="I146" s="3">
        <v>2011</v>
      </c>
      <c r="J146" s="3">
        <v>2012</v>
      </c>
      <c r="K146" s="13">
        <v>2013</v>
      </c>
      <c r="L146" s="13">
        <v>2014</v>
      </c>
      <c r="M146" s="4">
        <v>2015</v>
      </c>
      <c r="N146" s="4">
        <v>2016</v>
      </c>
      <c r="O146" s="4">
        <v>2017</v>
      </c>
      <c r="P146" s="51"/>
    </row>
    <row r="147" spans="1:16" ht="34.5" customHeight="1" x14ac:dyDescent="0.2">
      <c r="A147" s="5" t="s">
        <v>47</v>
      </c>
      <c r="B147" s="54" t="s">
        <v>2</v>
      </c>
      <c r="C147" s="56">
        <v>1200.056169295231</v>
      </c>
      <c r="D147" s="56">
        <v>1251.3531864434647</v>
      </c>
      <c r="E147" s="56">
        <v>1398.8030491439461</v>
      </c>
      <c r="F147" s="56">
        <v>1489.1807001821885</v>
      </c>
      <c r="G147" s="56">
        <v>1680.0659144256344</v>
      </c>
      <c r="H147" s="56">
        <v>1615.6769962274684</v>
      </c>
      <c r="I147" s="56">
        <v>1519.0892322006032</v>
      </c>
      <c r="J147" s="56">
        <v>1441.6986302787946</v>
      </c>
      <c r="K147" s="58">
        <f>2285271901.89/1611822</f>
        <v>1417.819028335635</v>
      </c>
      <c r="L147" s="58">
        <f>2646991423.5/1602386</f>
        <v>1651.906234515279</v>
      </c>
      <c r="M147" s="58">
        <v>1738.9527903250435</v>
      </c>
      <c r="N147" s="64">
        <v>1679.8</v>
      </c>
      <c r="O147" s="64">
        <v>1707</v>
      </c>
      <c r="P147" s="52"/>
    </row>
    <row r="148" spans="1:16" ht="26.1" customHeight="1" thickBot="1" x14ac:dyDescent="0.25">
      <c r="A148" s="1" t="s">
        <v>48</v>
      </c>
      <c r="B148" s="55"/>
      <c r="C148" s="57"/>
      <c r="D148" s="57"/>
      <c r="E148" s="57"/>
      <c r="F148" s="57"/>
      <c r="G148" s="57"/>
      <c r="H148" s="57"/>
      <c r="I148" s="57"/>
      <c r="J148" s="57"/>
      <c r="K148" s="59"/>
      <c r="L148" s="59"/>
      <c r="M148" s="59"/>
      <c r="N148" s="65"/>
      <c r="O148" s="65"/>
      <c r="P148" s="53"/>
    </row>
    <row r="149" spans="1:16" ht="13.5" thickTop="1" x14ac:dyDescent="0.2"/>
    <row r="150" spans="1:16" ht="18.75" x14ac:dyDescent="0.3">
      <c r="A150" s="8" t="s">
        <v>65</v>
      </c>
    </row>
    <row r="151" spans="1:16" ht="13.5" customHeight="1" thickBot="1" x14ac:dyDescent="0.25"/>
    <row r="152" spans="1:16" s="7" customFormat="1" ht="16.5" thickTop="1" x14ac:dyDescent="0.2">
      <c r="A152" s="2" t="s">
        <v>0</v>
      </c>
      <c r="B152" s="3" t="s">
        <v>1</v>
      </c>
      <c r="C152" s="3">
        <v>2005</v>
      </c>
      <c r="D152" s="3">
        <v>2006</v>
      </c>
      <c r="E152" s="3">
        <v>2007</v>
      </c>
      <c r="F152" s="3">
        <v>2008</v>
      </c>
      <c r="G152" s="3">
        <v>2009</v>
      </c>
      <c r="H152" s="3">
        <v>2010</v>
      </c>
      <c r="I152" s="3">
        <v>2011</v>
      </c>
      <c r="J152" s="3">
        <v>2012</v>
      </c>
      <c r="K152" s="13">
        <v>2013</v>
      </c>
      <c r="L152" s="13">
        <v>2014</v>
      </c>
      <c r="M152" s="4">
        <v>2015</v>
      </c>
      <c r="N152" s="4">
        <v>2016</v>
      </c>
      <c r="O152" s="4">
        <v>2017</v>
      </c>
      <c r="P152" s="51"/>
    </row>
    <row r="153" spans="1:16" ht="34.5" customHeight="1" x14ac:dyDescent="0.2">
      <c r="A153" s="5" t="s">
        <v>49</v>
      </c>
      <c r="B153" s="54" t="s">
        <v>4</v>
      </c>
      <c r="C153" s="70">
        <v>0.52211216333123844</v>
      </c>
      <c r="D153" s="70">
        <v>0.52494847770127839</v>
      </c>
      <c r="E153" s="70">
        <v>0.50890959220980447</v>
      </c>
      <c r="F153" s="70">
        <v>0.50242253922847646</v>
      </c>
      <c r="G153" s="70">
        <v>0.43247286908148974</v>
      </c>
      <c r="H153" s="70">
        <v>0.4169124244531372</v>
      </c>
      <c r="I153" s="70">
        <v>0.52091130214288239</v>
      </c>
      <c r="J153" s="70">
        <v>0.50114767951395323</v>
      </c>
      <c r="K153" s="84">
        <v>0.52</v>
      </c>
      <c r="L153" s="84">
        <v>0.50419787133539995</v>
      </c>
      <c r="M153" s="84">
        <v>0.50086457542713558</v>
      </c>
      <c r="N153" s="62">
        <v>0.52800000000000002</v>
      </c>
      <c r="O153" s="62">
        <v>0.53210000000000002</v>
      </c>
      <c r="P153" s="52"/>
    </row>
    <row r="154" spans="1:16" ht="26.1" customHeight="1" thickBot="1" x14ac:dyDescent="0.25">
      <c r="A154" s="9" t="s">
        <v>76</v>
      </c>
      <c r="B154" s="55"/>
      <c r="C154" s="71"/>
      <c r="D154" s="71"/>
      <c r="E154" s="71"/>
      <c r="F154" s="71"/>
      <c r="G154" s="71"/>
      <c r="H154" s="71"/>
      <c r="I154" s="71"/>
      <c r="J154" s="71"/>
      <c r="K154" s="85"/>
      <c r="L154" s="85"/>
      <c r="M154" s="85"/>
      <c r="N154" s="63"/>
      <c r="O154" s="63"/>
      <c r="P154" s="53"/>
    </row>
    <row r="155" spans="1:16" ht="13.5" thickTop="1" x14ac:dyDescent="0.2"/>
    <row r="156" spans="1:16" ht="13.5" customHeight="1" thickBot="1" x14ac:dyDescent="0.25"/>
    <row r="157" spans="1:16" s="7" customFormat="1" ht="16.5" thickTop="1" x14ac:dyDescent="0.2">
      <c r="A157" s="2" t="s">
        <v>0</v>
      </c>
      <c r="B157" s="3" t="s">
        <v>1</v>
      </c>
      <c r="C157" s="3">
        <v>2005</v>
      </c>
      <c r="D157" s="3">
        <v>2006</v>
      </c>
      <c r="E157" s="3">
        <v>2007</v>
      </c>
      <c r="F157" s="3">
        <v>2008</v>
      </c>
      <c r="G157" s="3">
        <v>2009</v>
      </c>
      <c r="H157" s="3">
        <v>2010</v>
      </c>
      <c r="I157" s="3">
        <v>2011</v>
      </c>
      <c r="J157" s="3">
        <v>2012</v>
      </c>
      <c r="K157" s="13">
        <v>2013</v>
      </c>
      <c r="L157" s="13">
        <v>2014</v>
      </c>
      <c r="M157" s="4">
        <v>2015</v>
      </c>
      <c r="N157" s="4">
        <v>2016</v>
      </c>
      <c r="O157" s="4">
        <v>2017</v>
      </c>
      <c r="P157" s="51"/>
    </row>
    <row r="158" spans="1:16" ht="34.5" customHeight="1" x14ac:dyDescent="0.2">
      <c r="A158" s="5" t="s">
        <v>50</v>
      </c>
      <c r="B158" s="54" t="s">
        <v>4</v>
      </c>
      <c r="C158" s="70">
        <v>0.42297005293122497</v>
      </c>
      <c r="D158" s="70">
        <v>0.42356943433710564</v>
      </c>
      <c r="E158" s="70">
        <v>0.45221144230596988</v>
      </c>
      <c r="F158" s="70">
        <v>0.46671562587522669</v>
      </c>
      <c r="G158" s="70">
        <v>0.52989168781204732</v>
      </c>
      <c r="H158" s="70">
        <v>0.46344395130467914</v>
      </c>
      <c r="I158" s="70">
        <v>0.44241396242881781</v>
      </c>
      <c r="J158" s="70">
        <v>0.44049359161979618</v>
      </c>
      <c r="K158" s="84">
        <v>0.45</v>
      </c>
      <c r="L158" s="84">
        <v>0.41069160492385098</v>
      </c>
      <c r="M158" s="84">
        <v>0.44584569282949871</v>
      </c>
      <c r="N158" s="62">
        <v>0.42199999999999999</v>
      </c>
      <c r="O158" s="62">
        <v>0.42399999999999999</v>
      </c>
      <c r="P158" s="52"/>
    </row>
    <row r="159" spans="1:16" ht="26.1" customHeight="1" thickBot="1" x14ac:dyDescent="0.25">
      <c r="A159" s="9" t="s">
        <v>77</v>
      </c>
      <c r="B159" s="55"/>
      <c r="C159" s="71"/>
      <c r="D159" s="71"/>
      <c r="E159" s="71"/>
      <c r="F159" s="71"/>
      <c r="G159" s="71"/>
      <c r="H159" s="71"/>
      <c r="I159" s="71"/>
      <c r="J159" s="71"/>
      <c r="K159" s="85"/>
      <c r="L159" s="85"/>
      <c r="M159" s="85"/>
      <c r="N159" s="63"/>
      <c r="O159" s="63"/>
      <c r="P159" s="53"/>
    </row>
    <row r="160" spans="1:16" ht="13.5" thickTop="1" x14ac:dyDescent="0.2"/>
    <row r="161" spans="1:16" ht="18.75" x14ac:dyDescent="0.3">
      <c r="A161" s="8" t="s">
        <v>64</v>
      </c>
    </row>
    <row r="162" spans="1:16" ht="13.5" customHeight="1" thickBot="1" x14ac:dyDescent="0.25"/>
    <row r="163" spans="1:16" s="7" customFormat="1" ht="16.5" thickTop="1" x14ac:dyDescent="0.2">
      <c r="A163" s="2" t="s">
        <v>0</v>
      </c>
      <c r="B163" s="3" t="s">
        <v>1</v>
      </c>
      <c r="C163" s="3">
        <v>2005</v>
      </c>
      <c r="D163" s="3">
        <v>2006</v>
      </c>
      <c r="E163" s="3">
        <v>2007</v>
      </c>
      <c r="F163" s="3">
        <v>2008</v>
      </c>
      <c r="G163" s="3">
        <v>2009</v>
      </c>
      <c r="H163" s="3">
        <v>2010</v>
      </c>
      <c r="I163" s="3">
        <v>2011</v>
      </c>
      <c r="J163" s="3">
        <v>2012</v>
      </c>
      <c r="K163" s="13">
        <v>2013</v>
      </c>
      <c r="L163" s="13">
        <v>2014</v>
      </c>
      <c r="M163" s="4">
        <v>2015</v>
      </c>
      <c r="N163" s="4">
        <v>2016</v>
      </c>
      <c r="O163" s="4">
        <v>2017</v>
      </c>
      <c r="P163" s="51"/>
    </row>
    <row r="164" spans="1:16" ht="34.5" customHeight="1" x14ac:dyDescent="0.2">
      <c r="A164" s="5" t="s">
        <v>51</v>
      </c>
      <c r="B164" s="54" t="s">
        <v>2</v>
      </c>
      <c r="C164" s="56">
        <v>113.32034861509973</v>
      </c>
      <c r="D164" s="56">
        <v>113.40954454466299</v>
      </c>
      <c r="E164" s="56">
        <v>126.1393333813969</v>
      </c>
      <c r="F164" s="56">
        <v>4.8807998351391291</v>
      </c>
      <c r="G164" s="56">
        <v>66.278921116200252</v>
      </c>
      <c r="H164" s="56">
        <v>180.65742170406779</v>
      </c>
      <c r="I164" s="56">
        <v>118.61226834908955</v>
      </c>
      <c r="J164" s="56">
        <v>173.51074808922957</v>
      </c>
      <c r="K164" s="72">
        <v>128.4</v>
      </c>
      <c r="L164" s="72">
        <f>115027963.9/1602386</f>
        <v>71.78542741886163</v>
      </c>
      <c r="M164" s="68">
        <v>155.78961144990356</v>
      </c>
      <c r="N164" s="86">
        <v>94.4</v>
      </c>
      <c r="O164" s="86">
        <v>17.899999999999999</v>
      </c>
      <c r="P164" s="52"/>
    </row>
    <row r="165" spans="1:16" ht="26.1" customHeight="1" thickBot="1" x14ac:dyDescent="0.25">
      <c r="A165" s="1" t="s">
        <v>52</v>
      </c>
      <c r="B165" s="55"/>
      <c r="C165" s="57"/>
      <c r="D165" s="57"/>
      <c r="E165" s="57"/>
      <c r="F165" s="57"/>
      <c r="G165" s="57"/>
      <c r="H165" s="57"/>
      <c r="I165" s="57"/>
      <c r="J165" s="57"/>
      <c r="K165" s="73"/>
      <c r="L165" s="73"/>
      <c r="M165" s="69"/>
      <c r="N165" s="87"/>
      <c r="O165" s="87"/>
      <c r="P165" s="53"/>
    </row>
    <row r="166" spans="1:16" ht="13.5" customHeight="1" thickTop="1" x14ac:dyDescent="0.2"/>
    <row r="167" spans="1:16" ht="13.5" customHeight="1" thickBot="1" x14ac:dyDescent="0.25"/>
    <row r="168" spans="1:16" s="7" customFormat="1" ht="16.5" thickTop="1" x14ac:dyDescent="0.2">
      <c r="A168" s="2" t="s">
        <v>0</v>
      </c>
      <c r="B168" s="3" t="s">
        <v>1</v>
      </c>
      <c r="C168" s="3">
        <v>2005</v>
      </c>
      <c r="D168" s="3">
        <v>2006</v>
      </c>
      <c r="E168" s="3">
        <v>2007</v>
      </c>
      <c r="F168" s="3">
        <v>2008</v>
      </c>
      <c r="G168" s="3">
        <v>2009</v>
      </c>
      <c r="H168" s="3">
        <v>2010</v>
      </c>
      <c r="I168" s="3">
        <v>2011</v>
      </c>
      <c r="J168" s="3">
        <v>2012</v>
      </c>
      <c r="K168" s="13">
        <v>2013</v>
      </c>
      <c r="L168" s="13">
        <v>2014</v>
      </c>
      <c r="M168" s="4">
        <v>2015</v>
      </c>
      <c r="N168" s="4">
        <v>2016</v>
      </c>
      <c r="O168" s="4">
        <v>2017</v>
      </c>
      <c r="P168" s="51"/>
    </row>
    <row r="169" spans="1:16" ht="34.5" customHeight="1" x14ac:dyDescent="0.2">
      <c r="A169" s="5" t="s">
        <v>53</v>
      </c>
      <c r="B169" s="54" t="s">
        <v>2</v>
      </c>
      <c r="C169" s="56">
        <v>135.36378242706738</v>
      </c>
      <c r="D169" s="56">
        <v>152.73498375064295</v>
      </c>
      <c r="E169" s="56">
        <v>182.56911392317784</v>
      </c>
      <c r="F169" s="56">
        <v>86.31142130616351</v>
      </c>
      <c r="G169" s="56">
        <v>17.258896849100559</v>
      </c>
      <c r="H169" s="56">
        <v>-51.831562775382345</v>
      </c>
      <c r="I169" s="56">
        <v>42.159166912212569</v>
      </c>
      <c r="J169" s="56">
        <v>72.574215737382517</v>
      </c>
      <c r="K169" s="58">
        <f>(2458914724.74-2172512149.1)/1611822</f>
        <v>177.68871230197868</v>
      </c>
      <c r="L169" s="58">
        <f>+(2659527547.69-2498689645.66)/1602386</f>
        <v>100.37400603225453</v>
      </c>
      <c r="M169" s="58">
        <v>95.206079991025447</v>
      </c>
      <c r="N169" s="64">
        <v>30.9</v>
      </c>
      <c r="O169" s="64">
        <v>32.799999999999997</v>
      </c>
      <c r="P169" s="52"/>
    </row>
    <row r="170" spans="1:16" ht="26.1" customHeight="1" thickBot="1" x14ac:dyDescent="0.25">
      <c r="A170" s="9" t="s">
        <v>54</v>
      </c>
      <c r="B170" s="55"/>
      <c r="C170" s="57"/>
      <c r="D170" s="57"/>
      <c r="E170" s="57"/>
      <c r="F170" s="57"/>
      <c r="G170" s="57"/>
      <c r="H170" s="57"/>
      <c r="I170" s="57"/>
      <c r="J170" s="57"/>
      <c r="K170" s="59"/>
      <c r="L170" s="59"/>
      <c r="M170" s="59"/>
      <c r="N170" s="65"/>
      <c r="O170" s="65"/>
      <c r="P170" s="53"/>
    </row>
    <row r="171" spans="1:16" ht="13.5" customHeight="1" thickTop="1" x14ac:dyDescent="0.2"/>
    <row r="172" spans="1:16" ht="13.5" customHeight="1" thickBot="1" x14ac:dyDescent="0.25"/>
    <row r="173" spans="1:16" s="7" customFormat="1" ht="16.5" thickTop="1" x14ac:dyDescent="0.2">
      <c r="A173" s="2" t="s">
        <v>0</v>
      </c>
      <c r="B173" s="3" t="s">
        <v>1</v>
      </c>
      <c r="C173" s="3">
        <v>2005</v>
      </c>
      <c r="D173" s="3">
        <v>2006</v>
      </c>
      <c r="E173" s="3">
        <v>2007</v>
      </c>
      <c r="F173" s="3">
        <v>2008</v>
      </c>
      <c r="G173" s="3">
        <v>2009</v>
      </c>
      <c r="H173" s="3">
        <v>2010</v>
      </c>
      <c r="I173" s="3">
        <v>2011</v>
      </c>
      <c r="J173" s="3">
        <v>2012</v>
      </c>
      <c r="K173" s="13">
        <v>2013</v>
      </c>
      <c r="L173" s="13">
        <v>2014</v>
      </c>
      <c r="M173" s="4">
        <v>2015</v>
      </c>
      <c r="N173" s="4">
        <v>2016</v>
      </c>
      <c r="O173" s="4">
        <v>2017</v>
      </c>
      <c r="P173" s="51"/>
    </row>
    <row r="174" spans="1:16" ht="34.5" customHeight="1" x14ac:dyDescent="0.2">
      <c r="A174" s="5" t="s">
        <v>55</v>
      </c>
      <c r="B174" s="54" t="s">
        <v>20</v>
      </c>
      <c r="C174" s="94">
        <v>125000000</v>
      </c>
      <c r="D174" s="94">
        <v>152000000</v>
      </c>
      <c r="E174" s="94">
        <v>209193759.76000002</v>
      </c>
      <c r="F174" s="94">
        <v>72164676.890000239</v>
      </c>
      <c r="G174" s="94">
        <v>-83314270.140000299</v>
      </c>
      <c r="H174" s="94">
        <v>-300231763.5000003</v>
      </c>
      <c r="I174" s="94">
        <v>-398303009.67999983</v>
      </c>
      <c r="J174" s="94">
        <v>60079801.530000001</v>
      </c>
      <c r="K174" s="92">
        <v>139300000</v>
      </c>
      <c r="L174" s="92">
        <f>22.1646146600003*1000000</f>
        <v>22164614.660000298</v>
      </c>
      <c r="M174" s="111">
        <v>100206578.66</v>
      </c>
      <c r="N174" s="88">
        <v>97.5</v>
      </c>
      <c r="O174" s="88">
        <v>1.3</v>
      </c>
      <c r="P174" s="52"/>
    </row>
    <row r="175" spans="1:16" ht="26.1" customHeight="1" thickBot="1" x14ac:dyDescent="0.25">
      <c r="A175" s="1" t="s">
        <v>60</v>
      </c>
      <c r="B175" s="55"/>
      <c r="C175" s="95"/>
      <c r="D175" s="95"/>
      <c r="E175" s="95"/>
      <c r="F175" s="95"/>
      <c r="G175" s="95"/>
      <c r="H175" s="95"/>
      <c r="I175" s="95"/>
      <c r="J175" s="95"/>
      <c r="K175" s="93"/>
      <c r="L175" s="93"/>
      <c r="M175" s="112"/>
      <c r="N175" s="89"/>
      <c r="O175" s="89"/>
      <c r="P175" s="53"/>
    </row>
    <row r="176" spans="1:16" ht="13.5" thickTop="1" x14ac:dyDescent="0.2"/>
    <row r="177" spans="1:16" ht="13.5" customHeight="1" thickBot="1" x14ac:dyDescent="0.25"/>
    <row r="178" spans="1:16" s="7" customFormat="1" ht="16.5" thickTop="1" x14ac:dyDescent="0.2">
      <c r="A178" s="2" t="s">
        <v>0</v>
      </c>
      <c r="B178" s="3" t="s">
        <v>1</v>
      </c>
      <c r="C178" s="3">
        <v>2005</v>
      </c>
      <c r="D178" s="3">
        <v>2006</v>
      </c>
      <c r="E178" s="3">
        <v>2007</v>
      </c>
      <c r="F178" s="3">
        <v>2008</v>
      </c>
      <c r="G178" s="3">
        <v>2009</v>
      </c>
      <c r="H178" s="3">
        <v>2010</v>
      </c>
      <c r="I178" s="3">
        <v>2011</v>
      </c>
      <c r="J178" s="3">
        <v>2012</v>
      </c>
      <c r="K178" s="13">
        <v>2013</v>
      </c>
      <c r="L178" s="13">
        <v>2014</v>
      </c>
      <c r="M178" s="4">
        <v>2015</v>
      </c>
      <c r="N178" s="4">
        <v>2016</v>
      </c>
      <c r="O178" s="4">
        <v>2017</v>
      </c>
      <c r="P178" s="51"/>
    </row>
    <row r="179" spans="1:16" ht="34.5" customHeight="1" x14ac:dyDescent="0.2">
      <c r="A179" s="5" t="s">
        <v>56</v>
      </c>
      <c r="B179" s="54" t="s">
        <v>2</v>
      </c>
      <c r="C179" s="56">
        <v>78.464604616857329</v>
      </c>
      <c r="D179" s="56">
        <v>94.668541768134318</v>
      </c>
      <c r="E179" s="56">
        <v>131.14691761696687</v>
      </c>
      <c r="F179" s="56">
        <v>44.658901923872051</v>
      </c>
      <c r="G179" s="56">
        <v>-51.379814422982825</v>
      </c>
      <c r="H179" s="56">
        <v>-185.40412742992984</v>
      </c>
      <c r="I179" s="56">
        <v>-246.5588553020585</v>
      </c>
      <c r="J179" s="56">
        <v>37.064721911874756</v>
      </c>
      <c r="K179" s="72">
        <f>139300000/1611822</f>
        <v>86.423935149166596</v>
      </c>
      <c r="L179" s="72">
        <f>(22.1646146600003*1000000)/1602386</f>
        <v>13.83225680953297</v>
      </c>
      <c r="M179" s="68">
        <v>62.451320559282792</v>
      </c>
      <c r="N179" s="86">
        <v>60.6</v>
      </c>
      <c r="O179" s="86">
        <v>0.8</v>
      </c>
      <c r="P179" s="52"/>
    </row>
    <row r="180" spans="1:16" ht="26.1" customHeight="1" thickBot="1" x14ac:dyDescent="0.25">
      <c r="A180" s="1" t="s">
        <v>61</v>
      </c>
      <c r="B180" s="55"/>
      <c r="C180" s="57"/>
      <c r="D180" s="57"/>
      <c r="E180" s="57"/>
      <c r="F180" s="57"/>
      <c r="G180" s="57"/>
      <c r="H180" s="57"/>
      <c r="I180" s="57"/>
      <c r="J180" s="57"/>
      <c r="K180" s="73"/>
      <c r="L180" s="73"/>
      <c r="M180" s="69"/>
      <c r="N180" s="87"/>
      <c r="O180" s="87"/>
      <c r="P180" s="53"/>
    </row>
    <row r="181" spans="1:16" ht="13.5" thickTop="1" x14ac:dyDescent="0.2"/>
    <row r="182" spans="1:16" ht="13.5" customHeight="1" thickBot="1" x14ac:dyDescent="0.25"/>
    <row r="183" spans="1:16" s="7" customFormat="1" ht="16.5" thickTop="1" x14ac:dyDescent="0.2">
      <c r="A183" s="2" t="s">
        <v>0</v>
      </c>
      <c r="B183" s="3" t="s">
        <v>1</v>
      </c>
      <c r="C183" s="3">
        <v>2005</v>
      </c>
      <c r="D183" s="3">
        <v>2006</v>
      </c>
      <c r="E183" s="3">
        <v>2007</v>
      </c>
      <c r="F183" s="3">
        <v>2008</v>
      </c>
      <c r="G183" s="3">
        <v>2009</v>
      </c>
      <c r="H183" s="3">
        <v>2010</v>
      </c>
      <c r="I183" s="3">
        <v>2011</v>
      </c>
      <c r="J183" s="3">
        <v>2012</v>
      </c>
      <c r="K183" s="13">
        <v>2013</v>
      </c>
      <c r="L183" s="13">
        <v>2014</v>
      </c>
      <c r="M183" s="4">
        <v>2015</v>
      </c>
      <c r="N183" s="4">
        <v>2016</v>
      </c>
      <c r="O183" s="4">
        <v>2017</v>
      </c>
      <c r="P183" s="51"/>
    </row>
    <row r="184" spans="1:16" ht="34.5" customHeight="1" x14ac:dyDescent="0.2">
      <c r="A184" s="5" t="s">
        <v>57</v>
      </c>
      <c r="B184" s="54" t="s">
        <v>4</v>
      </c>
      <c r="C184" s="70">
        <v>6.6524747205960619E-2</v>
      </c>
      <c r="D184" s="70">
        <v>7.3323685479980708E-2</v>
      </c>
      <c r="E184" s="70">
        <v>9.1081386839110254E-2</v>
      </c>
      <c r="F184" s="70">
        <v>3.12107791963659E-2</v>
      </c>
      <c r="G184" s="70">
        <v>-3.2966181111596653E-2</v>
      </c>
      <c r="H184" s="70">
        <v>-0.13547270721532728</v>
      </c>
      <c r="I184" s="70">
        <v>-0.19948362607260575</v>
      </c>
      <c r="J184" s="70">
        <v>2.6571295440962948E-2</v>
      </c>
      <c r="K184" s="100">
        <f>139300000/2384900000</f>
        <v>5.8409157616671557E-2</v>
      </c>
      <c r="L184" s="100">
        <v>8.6210806939374801E-3</v>
      </c>
      <c r="M184" s="66">
        <v>3.868979871042471E-2</v>
      </c>
      <c r="N184" s="74">
        <v>3.7999999999999999E-2</v>
      </c>
      <c r="O184" s="74">
        <v>5.0000000000000001E-4</v>
      </c>
      <c r="P184" s="52"/>
    </row>
    <row r="185" spans="1:16" ht="26.1" customHeight="1" thickBot="1" x14ac:dyDescent="0.25">
      <c r="A185" s="9" t="s">
        <v>62</v>
      </c>
      <c r="B185" s="55"/>
      <c r="C185" s="71"/>
      <c r="D185" s="71"/>
      <c r="E185" s="71"/>
      <c r="F185" s="71"/>
      <c r="G185" s="71"/>
      <c r="H185" s="71"/>
      <c r="I185" s="71"/>
      <c r="J185" s="71"/>
      <c r="K185" s="101"/>
      <c r="L185" s="101"/>
      <c r="M185" s="67"/>
      <c r="N185" s="75"/>
      <c r="O185" s="75"/>
      <c r="P185" s="53"/>
    </row>
    <row r="186" spans="1:16" ht="13.5" thickTop="1" x14ac:dyDescent="0.2"/>
    <row r="187" spans="1:16" ht="18.75" x14ac:dyDescent="0.3">
      <c r="A187" s="8" t="s">
        <v>71</v>
      </c>
    </row>
    <row r="188" spans="1:16" ht="13.5" customHeight="1" thickBot="1" x14ac:dyDescent="0.25"/>
    <row r="189" spans="1:16" s="7" customFormat="1" ht="16.5" thickTop="1" x14ac:dyDescent="0.2">
      <c r="A189" s="2" t="s">
        <v>0</v>
      </c>
      <c r="B189" s="3" t="s">
        <v>1</v>
      </c>
      <c r="C189" s="3">
        <v>2005</v>
      </c>
      <c r="D189" s="3">
        <v>2006</v>
      </c>
      <c r="E189" s="3">
        <v>2007</v>
      </c>
      <c r="F189" s="3">
        <v>2008</v>
      </c>
      <c r="G189" s="3">
        <v>2009</v>
      </c>
      <c r="H189" s="3">
        <v>2010</v>
      </c>
      <c r="I189" s="3">
        <v>2011</v>
      </c>
      <c r="J189" s="3">
        <v>2012</v>
      </c>
      <c r="K189" s="13">
        <v>2013</v>
      </c>
      <c r="L189" s="13">
        <v>2014</v>
      </c>
      <c r="M189" s="4">
        <v>2015</v>
      </c>
      <c r="N189" s="4">
        <v>2016</v>
      </c>
      <c r="O189" s="4">
        <v>2017</v>
      </c>
      <c r="P189" s="51"/>
    </row>
    <row r="190" spans="1:16" ht="34.5" customHeight="1" x14ac:dyDescent="0.2">
      <c r="A190" s="5" t="s">
        <v>6</v>
      </c>
      <c r="B190" s="54" t="s">
        <v>11</v>
      </c>
      <c r="C190" s="56">
        <v>69.429665371438986</v>
      </c>
      <c r="D190" s="56">
        <v>64.556653102067784</v>
      </c>
      <c r="E190" s="56">
        <v>60.180895029246244</v>
      </c>
      <c r="F190" s="56">
        <v>71.424514743423046</v>
      </c>
      <c r="G190" s="56">
        <v>69.702376013393803</v>
      </c>
      <c r="H190" s="56">
        <v>59.943246947530959</v>
      </c>
      <c r="I190" s="56">
        <v>47.757784776788363</v>
      </c>
      <c r="J190" s="56">
        <v>59.011741366467959</v>
      </c>
      <c r="K190" s="68">
        <f>387280701.04*365/2285271901.89</f>
        <v>61.855858711032347</v>
      </c>
      <c r="L190" s="68">
        <f>+((531439770.01)*(365))/2646991423.5</f>
        <v>73.281505308832749</v>
      </c>
      <c r="M190" s="68">
        <v>60.54764843641459</v>
      </c>
      <c r="N190" s="86">
        <v>80</v>
      </c>
      <c r="O190" s="86">
        <v>77.709999999999994</v>
      </c>
      <c r="P190" s="52"/>
    </row>
    <row r="191" spans="1:16" ht="26.1" customHeight="1" thickBot="1" x14ac:dyDescent="0.25">
      <c r="A191" s="9" t="s">
        <v>9</v>
      </c>
      <c r="B191" s="55"/>
      <c r="C191" s="57"/>
      <c r="D191" s="57"/>
      <c r="E191" s="57"/>
      <c r="F191" s="57"/>
      <c r="G191" s="57"/>
      <c r="H191" s="57"/>
      <c r="I191" s="57"/>
      <c r="J191" s="57"/>
      <c r="K191" s="69"/>
      <c r="L191" s="69"/>
      <c r="M191" s="69"/>
      <c r="N191" s="87"/>
      <c r="O191" s="87"/>
      <c r="P191" s="53"/>
    </row>
    <row r="192" spans="1:16" ht="13.5" thickTop="1" x14ac:dyDescent="0.2"/>
    <row r="193" spans="1:16" ht="13.5" customHeight="1" thickBot="1" x14ac:dyDescent="0.25"/>
    <row r="194" spans="1:16" s="7" customFormat="1" ht="16.5" thickTop="1" x14ac:dyDescent="0.2">
      <c r="A194" s="2" t="s">
        <v>0</v>
      </c>
      <c r="B194" s="3" t="s">
        <v>1</v>
      </c>
      <c r="C194" s="3">
        <v>2005</v>
      </c>
      <c r="D194" s="3">
        <v>2006</v>
      </c>
      <c r="E194" s="3">
        <v>2007</v>
      </c>
      <c r="F194" s="3">
        <v>2008</v>
      </c>
      <c r="G194" s="3">
        <v>2009</v>
      </c>
      <c r="H194" s="3">
        <v>2010</v>
      </c>
      <c r="I194" s="3">
        <v>2011</v>
      </c>
      <c r="J194" s="3">
        <v>2012</v>
      </c>
      <c r="K194" s="13">
        <v>2013</v>
      </c>
      <c r="L194" s="13">
        <v>2014</v>
      </c>
      <c r="M194" s="4">
        <v>2015</v>
      </c>
      <c r="N194" s="4">
        <v>2016</v>
      </c>
      <c r="O194" s="4">
        <v>2017</v>
      </c>
      <c r="P194" s="51"/>
    </row>
    <row r="195" spans="1:16" ht="34.5" customHeight="1" x14ac:dyDescent="0.2">
      <c r="A195" s="5" t="s">
        <v>7</v>
      </c>
      <c r="B195" s="54" t="s">
        <v>11</v>
      </c>
      <c r="C195" s="110" t="s">
        <v>5</v>
      </c>
      <c r="D195" s="110" t="s">
        <v>5</v>
      </c>
      <c r="E195" s="110" t="s">
        <v>5</v>
      </c>
      <c r="F195" s="110" t="s">
        <v>5</v>
      </c>
      <c r="G195" s="110" t="s">
        <v>5</v>
      </c>
      <c r="H195" s="56">
        <v>54.31</v>
      </c>
      <c r="I195" s="56">
        <v>38.659999999999997</v>
      </c>
      <c r="J195" s="56">
        <v>32.299999999999997</v>
      </c>
      <c r="K195" s="72">
        <v>29.2</v>
      </c>
      <c r="L195" s="72">
        <v>27.4</v>
      </c>
      <c r="M195" s="72">
        <v>30</v>
      </c>
      <c r="N195" s="90">
        <v>29.8</v>
      </c>
      <c r="O195" s="90">
        <v>28.5</v>
      </c>
      <c r="P195" s="52"/>
    </row>
    <row r="196" spans="1:16" ht="26.1" customHeight="1" thickBot="1" x14ac:dyDescent="0.25">
      <c r="A196" s="1" t="s">
        <v>10</v>
      </c>
      <c r="B196" s="55"/>
      <c r="C196" s="57"/>
      <c r="D196" s="57"/>
      <c r="E196" s="57"/>
      <c r="F196" s="57"/>
      <c r="G196" s="57"/>
      <c r="H196" s="57"/>
      <c r="I196" s="57"/>
      <c r="J196" s="57"/>
      <c r="K196" s="73"/>
      <c r="L196" s="73"/>
      <c r="M196" s="73"/>
      <c r="N196" s="91"/>
      <c r="O196" s="91"/>
      <c r="P196" s="53"/>
    </row>
    <row r="197" spans="1:16" ht="13.5" thickTop="1" x14ac:dyDescent="0.2"/>
    <row r="198" spans="1:16" ht="13.5" customHeight="1" thickBot="1" x14ac:dyDescent="0.25"/>
    <row r="199" spans="1:16" s="7" customFormat="1" ht="16.5" thickTop="1" x14ac:dyDescent="0.2">
      <c r="A199" s="2" t="s">
        <v>0</v>
      </c>
      <c r="B199" s="3" t="s">
        <v>1</v>
      </c>
      <c r="C199" s="3">
        <v>2005</v>
      </c>
      <c r="D199" s="3">
        <v>2006</v>
      </c>
      <c r="E199" s="3">
        <v>2007</v>
      </c>
      <c r="F199" s="3">
        <v>2008</v>
      </c>
      <c r="G199" s="3">
        <v>2009</v>
      </c>
      <c r="H199" s="3">
        <v>2010</v>
      </c>
      <c r="I199" s="3">
        <v>2011</v>
      </c>
      <c r="J199" s="3">
        <v>2012</v>
      </c>
      <c r="K199" s="13">
        <v>2013</v>
      </c>
      <c r="L199" s="13">
        <v>2014</v>
      </c>
      <c r="M199" s="4">
        <v>2015</v>
      </c>
      <c r="N199" s="4">
        <v>2016</v>
      </c>
      <c r="O199" s="4">
        <v>2017</v>
      </c>
      <c r="P199" s="51"/>
    </row>
    <row r="200" spans="1:16" ht="34.5" customHeight="1" x14ac:dyDescent="0.2">
      <c r="A200" s="5" t="s">
        <v>8</v>
      </c>
      <c r="B200" s="54" t="s">
        <v>11</v>
      </c>
      <c r="C200" s="56">
        <v>54.556325517024348</v>
      </c>
      <c r="D200" s="56">
        <v>54.136945311498714</v>
      </c>
      <c r="E200" s="56">
        <v>47.278594130483626</v>
      </c>
      <c r="F200" s="56">
        <v>49.876638278403782</v>
      </c>
      <c r="G200" s="56">
        <v>48.415822362335177</v>
      </c>
      <c r="H200" s="56">
        <v>48.649385822225987</v>
      </c>
      <c r="I200" s="56">
        <v>45.944387515727385</v>
      </c>
      <c r="J200" s="56">
        <v>49.139286962735504</v>
      </c>
      <c r="K200" s="72">
        <f>(56793115.41+4795304.22+88918551.18)*365/(921060823.47+55993612.93+323570821.1)</f>
        <v>42.237411605586942</v>
      </c>
      <c r="L200" s="72">
        <f>+((59005501.91+2187903.81+83821616.02)*365)/1341812433.18</f>
        <v>39.447005875223951</v>
      </c>
      <c r="M200" s="68">
        <v>34.158223626930145</v>
      </c>
      <c r="N200" s="86">
        <v>33.1</v>
      </c>
      <c r="O200" s="86">
        <v>26.92</v>
      </c>
      <c r="P200" s="52"/>
    </row>
    <row r="201" spans="1:16" ht="26.1" customHeight="1" thickBot="1" x14ac:dyDescent="0.25">
      <c r="A201" s="9" t="s">
        <v>79</v>
      </c>
      <c r="B201" s="55"/>
      <c r="C201" s="57"/>
      <c r="D201" s="57"/>
      <c r="E201" s="57"/>
      <c r="F201" s="57"/>
      <c r="G201" s="57"/>
      <c r="H201" s="57"/>
      <c r="I201" s="57"/>
      <c r="J201" s="57"/>
      <c r="K201" s="73"/>
      <c r="L201" s="73"/>
      <c r="M201" s="69"/>
      <c r="N201" s="87"/>
      <c r="O201" s="87"/>
      <c r="P201" s="53"/>
    </row>
    <row r="202" spans="1:16" ht="13.5" thickTop="1" x14ac:dyDescent="0.2"/>
    <row r="207" spans="1:16" x14ac:dyDescent="0.2">
      <c r="L207" s="15"/>
      <c r="M207" s="15"/>
      <c r="N207" s="15"/>
      <c r="O207" s="15"/>
    </row>
    <row r="209" spans="12:15" x14ac:dyDescent="0.2">
      <c r="L209" s="15"/>
      <c r="M209" s="15"/>
      <c r="N209" s="15"/>
      <c r="O209" s="15"/>
    </row>
  </sheetData>
  <mergeCells count="547">
    <mergeCell ref="N200:N201"/>
    <mergeCell ref="N153:N154"/>
    <mergeCell ref="N158:N159"/>
    <mergeCell ref="N164:N165"/>
    <mergeCell ref="N169:N170"/>
    <mergeCell ref="N174:N175"/>
    <mergeCell ref="N179:N180"/>
    <mergeCell ref="N184:N185"/>
    <mergeCell ref="N190:N191"/>
    <mergeCell ref="N195:N196"/>
    <mergeCell ref="N106:N107"/>
    <mergeCell ref="N112:N113"/>
    <mergeCell ref="N117:N118"/>
    <mergeCell ref="N122:N123"/>
    <mergeCell ref="N127:N128"/>
    <mergeCell ref="N132:N133"/>
    <mergeCell ref="N137:N138"/>
    <mergeCell ref="N142:N143"/>
    <mergeCell ref="N147:N148"/>
    <mergeCell ref="N52:N53"/>
    <mergeCell ref="N57:N58"/>
    <mergeCell ref="N62:N63"/>
    <mergeCell ref="N67:N68"/>
    <mergeCell ref="N72:N73"/>
    <mergeCell ref="N77:N78"/>
    <mergeCell ref="N82:N83"/>
    <mergeCell ref="N87:N88"/>
    <mergeCell ref="N92:N93"/>
    <mergeCell ref="N6:N7"/>
    <mergeCell ref="N11:N12"/>
    <mergeCell ref="N16:N17"/>
    <mergeCell ref="N21:N22"/>
    <mergeCell ref="N26:N27"/>
    <mergeCell ref="N31:N32"/>
    <mergeCell ref="N37:N38"/>
    <mergeCell ref="N42:N43"/>
    <mergeCell ref="N47:N48"/>
    <mergeCell ref="P46:P48"/>
    <mergeCell ref="P41:P43"/>
    <mergeCell ref="P36:P38"/>
    <mergeCell ref="P30:P32"/>
    <mergeCell ref="P25:P27"/>
    <mergeCell ref="P20:P22"/>
    <mergeCell ref="P5:P7"/>
    <mergeCell ref="P10:P12"/>
    <mergeCell ref="P15:P17"/>
    <mergeCell ref="L200:L201"/>
    <mergeCell ref="K200:K201"/>
    <mergeCell ref="P81:P83"/>
    <mergeCell ref="P76:P78"/>
    <mergeCell ref="P71:P73"/>
    <mergeCell ref="P66:P68"/>
    <mergeCell ref="P61:P63"/>
    <mergeCell ref="P56:P58"/>
    <mergeCell ref="P51:P53"/>
    <mergeCell ref="L179:L180"/>
    <mergeCell ref="K179:K180"/>
    <mergeCell ref="K184:K185"/>
    <mergeCell ref="K190:K191"/>
    <mergeCell ref="L164:L165"/>
    <mergeCell ref="L169:L170"/>
    <mergeCell ref="L174:L175"/>
    <mergeCell ref="L67:L68"/>
    <mergeCell ref="L147:L148"/>
    <mergeCell ref="L153:L154"/>
    <mergeCell ref="L158:L159"/>
    <mergeCell ref="M164:M165"/>
    <mergeCell ref="M169:M170"/>
    <mergeCell ref="M174:M175"/>
    <mergeCell ref="M179:M180"/>
    <mergeCell ref="I200:I201"/>
    <mergeCell ref="J200:J201"/>
    <mergeCell ref="B200:B201"/>
    <mergeCell ref="C200:C201"/>
    <mergeCell ref="D200:D201"/>
    <mergeCell ref="E200:E201"/>
    <mergeCell ref="F200:F201"/>
    <mergeCell ref="G200:G201"/>
    <mergeCell ref="H200:H201"/>
    <mergeCell ref="B195:B196"/>
    <mergeCell ref="C195:C196"/>
    <mergeCell ref="D195:D196"/>
    <mergeCell ref="E195:E196"/>
    <mergeCell ref="F195:F196"/>
    <mergeCell ref="F190:F191"/>
    <mergeCell ref="G190:G191"/>
    <mergeCell ref="H190:H191"/>
    <mergeCell ref="B190:B191"/>
    <mergeCell ref="C190:C191"/>
    <mergeCell ref="D190:D191"/>
    <mergeCell ref="E190:E191"/>
    <mergeCell ref="G195:G196"/>
    <mergeCell ref="H195:H196"/>
    <mergeCell ref="I195:I196"/>
    <mergeCell ref="J195:J196"/>
    <mergeCell ref="G184:G185"/>
    <mergeCell ref="H184:H185"/>
    <mergeCell ref="I184:I185"/>
    <mergeCell ref="J184:J185"/>
    <mergeCell ref="L184:L185"/>
    <mergeCell ref="L190:L191"/>
    <mergeCell ref="L195:L196"/>
    <mergeCell ref="K195:K196"/>
    <mergeCell ref="J174:J175"/>
    <mergeCell ref="B184:B185"/>
    <mergeCell ref="C184:C185"/>
    <mergeCell ref="D184:D185"/>
    <mergeCell ref="E184:E185"/>
    <mergeCell ref="F184:F185"/>
    <mergeCell ref="I190:I191"/>
    <mergeCell ref="J190:J191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B147:B148"/>
    <mergeCell ref="C147:C148"/>
    <mergeCell ref="J164:J165"/>
    <mergeCell ref="G158:G159"/>
    <mergeCell ref="H158:H159"/>
    <mergeCell ref="I158:I159"/>
    <mergeCell ref="J158:J159"/>
    <mergeCell ref="J169:J170"/>
    <mergeCell ref="B174:B175"/>
    <mergeCell ref="C174:C175"/>
    <mergeCell ref="D174:D175"/>
    <mergeCell ref="E174:E175"/>
    <mergeCell ref="F174:F175"/>
    <mergeCell ref="G174:G175"/>
    <mergeCell ref="H174:H175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I174:I175"/>
    <mergeCell ref="B164:B165"/>
    <mergeCell ref="C164:C165"/>
    <mergeCell ref="D164:D165"/>
    <mergeCell ref="E164:E165"/>
    <mergeCell ref="B158:B159"/>
    <mergeCell ref="C158:C159"/>
    <mergeCell ref="D158:D159"/>
    <mergeCell ref="E158:E159"/>
    <mergeCell ref="I153:I154"/>
    <mergeCell ref="F158:F159"/>
    <mergeCell ref="F164:F165"/>
    <mergeCell ref="G164:G165"/>
    <mergeCell ref="H164:H165"/>
    <mergeCell ref="I164:I165"/>
    <mergeCell ref="B153:B154"/>
    <mergeCell ref="C153:C154"/>
    <mergeCell ref="D153:D154"/>
    <mergeCell ref="E153:E154"/>
    <mergeCell ref="F153:F154"/>
    <mergeCell ref="G153:G154"/>
    <mergeCell ref="H153:H154"/>
    <mergeCell ref="D147:D148"/>
    <mergeCell ref="E147:E148"/>
    <mergeCell ref="F147:F148"/>
    <mergeCell ref="G147:G148"/>
    <mergeCell ref="H147:H148"/>
    <mergeCell ref="L132:L133"/>
    <mergeCell ref="L137:L138"/>
    <mergeCell ref="L142:L143"/>
    <mergeCell ref="K142:K143"/>
    <mergeCell ref="I137:I138"/>
    <mergeCell ref="J137:J138"/>
    <mergeCell ref="I147:I148"/>
    <mergeCell ref="B142:B143"/>
    <mergeCell ref="C142:C143"/>
    <mergeCell ref="D142:D143"/>
    <mergeCell ref="E142:E143"/>
    <mergeCell ref="F142:F143"/>
    <mergeCell ref="F137:F138"/>
    <mergeCell ref="G137:G138"/>
    <mergeCell ref="H137:H138"/>
    <mergeCell ref="B137:B138"/>
    <mergeCell ref="C137:C138"/>
    <mergeCell ref="D137:D138"/>
    <mergeCell ref="E137:E138"/>
    <mergeCell ref="G142:G143"/>
    <mergeCell ref="H142:H143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42:I143"/>
    <mergeCell ref="J142:J143"/>
    <mergeCell ref="G132:G133"/>
    <mergeCell ref="H132:H133"/>
    <mergeCell ref="I132:I133"/>
    <mergeCell ref="J132:J133"/>
    <mergeCell ref="I117:I118"/>
    <mergeCell ref="I122:I123"/>
    <mergeCell ref="J122:J123"/>
    <mergeCell ref="L117:L118"/>
    <mergeCell ref="L122:L123"/>
    <mergeCell ref="B132:B133"/>
    <mergeCell ref="C132:C133"/>
    <mergeCell ref="D132:D133"/>
    <mergeCell ref="E132:E133"/>
    <mergeCell ref="F132:F133"/>
    <mergeCell ref="L127:L128"/>
    <mergeCell ref="K132:K133"/>
    <mergeCell ref="B122:B123"/>
    <mergeCell ref="C122:C123"/>
    <mergeCell ref="D122:D123"/>
    <mergeCell ref="E122:E123"/>
    <mergeCell ref="F122:F123"/>
    <mergeCell ref="G122:G123"/>
    <mergeCell ref="H122:H123"/>
    <mergeCell ref="B117:B118"/>
    <mergeCell ref="F117:F118"/>
    <mergeCell ref="G117:G118"/>
    <mergeCell ref="H117:H118"/>
    <mergeCell ref="B127:B128"/>
    <mergeCell ref="B112:B113"/>
    <mergeCell ref="C112:C113"/>
    <mergeCell ref="D112:D113"/>
    <mergeCell ref="E112:E113"/>
    <mergeCell ref="F112:F113"/>
    <mergeCell ref="F92:F93"/>
    <mergeCell ref="G92:G93"/>
    <mergeCell ref="H92:H93"/>
    <mergeCell ref="B92:B93"/>
    <mergeCell ref="C92:C93"/>
    <mergeCell ref="D92:D93"/>
    <mergeCell ref="E92:E93"/>
    <mergeCell ref="G112:G113"/>
    <mergeCell ref="H112:H113"/>
    <mergeCell ref="G87:G88"/>
    <mergeCell ref="H87:H88"/>
    <mergeCell ref="I87:I88"/>
    <mergeCell ref="J87:J88"/>
    <mergeCell ref="L87:L88"/>
    <mergeCell ref="L92:L93"/>
    <mergeCell ref="L112:L113"/>
    <mergeCell ref="I92:I93"/>
    <mergeCell ref="J92:J9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I72:I73"/>
    <mergeCell ref="I77:I78"/>
    <mergeCell ref="J77:J78"/>
    <mergeCell ref="L72:L73"/>
    <mergeCell ref="L77:L78"/>
    <mergeCell ref="B87:B88"/>
    <mergeCell ref="C87:C88"/>
    <mergeCell ref="D87:D88"/>
    <mergeCell ref="E87:E88"/>
    <mergeCell ref="F87:F88"/>
    <mergeCell ref="L82:L83"/>
    <mergeCell ref="B77:B78"/>
    <mergeCell ref="C77:C78"/>
    <mergeCell ref="D77:D78"/>
    <mergeCell ref="E77:E78"/>
    <mergeCell ref="F77:F78"/>
    <mergeCell ref="G77:G78"/>
    <mergeCell ref="H77:H78"/>
    <mergeCell ref="B72:B73"/>
    <mergeCell ref="C72:C73"/>
    <mergeCell ref="D72:D73"/>
    <mergeCell ref="E72:E73"/>
    <mergeCell ref="F72:F73"/>
    <mergeCell ref="G72:G73"/>
    <mergeCell ref="H72:H73"/>
    <mergeCell ref="B62:B63"/>
    <mergeCell ref="C62:C63"/>
    <mergeCell ref="D62:D63"/>
    <mergeCell ref="E62:E63"/>
    <mergeCell ref="F62:F63"/>
    <mergeCell ref="B67:B68"/>
    <mergeCell ref="C67:C68"/>
    <mergeCell ref="D67:D68"/>
    <mergeCell ref="E67:E68"/>
    <mergeCell ref="F67:F68"/>
    <mergeCell ref="G67:G68"/>
    <mergeCell ref="H67:H68"/>
    <mergeCell ref="L52:L53"/>
    <mergeCell ref="L57:L58"/>
    <mergeCell ref="L62:L63"/>
    <mergeCell ref="K62:K63"/>
    <mergeCell ref="F57:F58"/>
    <mergeCell ref="G57:G58"/>
    <mergeCell ref="H57:H58"/>
    <mergeCell ref="B57:B58"/>
    <mergeCell ref="C57:C58"/>
    <mergeCell ref="D57:D58"/>
    <mergeCell ref="E57:E58"/>
    <mergeCell ref="G62:G63"/>
    <mergeCell ref="H62:H63"/>
    <mergeCell ref="K52:K53"/>
    <mergeCell ref="K57:K58"/>
    <mergeCell ref="I62:I63"/>
    <mergeCell ref="J62:J63"/>
    <mergeCell ref="G52:G53"/>
    <mergeCell ref="H52:H53"/>
    <mergeCell ref="I52:I53"/>
    <mergeCell ref="J52:J53"/>
    <mergeCell ref="B52:B53"/>
    <mergeCell ref="I57:I58"/>
    <mergeCell ref="J57:J58"/>
    <mergeCell ref="B47:B48"/>
    <mergeCell ref="C47:C48"/>
    <mergeCell ref="D47:D48"/>
    <mergeCell ref="E47:E48"/>
    <mergeCell ref="F47:F48"/>
    <mergeCell ref="G47:G48"/>
    <mergeCell ref="H47:H48"/>
    <mergeCell ref="I47:I48"/>
    <mergeCell ref="C52:C53"/>
    <mergeCell ref="D52:D53"/>
    <mergeCell ref="E52:E53"/>
    <mergeCell ref="F52:F53"/>
    <mergeCell ref="E31:E32"/>
    <mergeCell ref="F31:F32"/>
    <mergeCell ref="G31:G32"/>
    <mergeCell ref="H31:H32"/>
    <mergeCell ref="I31:I32"/>
    <mergeCell ref="J31:J32"/>
    <mergeCell ref="J47:J48"/>
    <mergeCell ref="B42:B43"/>
    <mergeCell ref="C42:C43"/>
    <mergeCell ref="D42:D43"/>
    <mergeCell ref="E42:E43"/>
    <mergeCell ref="F42:F43"/>
    <mergeCell ref="G42:G43"/>
    <mergeCell ref="H42:H43"/>
    <mergeCell ref="B37:B38"/>
    <mergeCell ref="C37:C38"/>
    <mergeCell ref="D37:D38"/>
    <mergeCell ref="E37:E38"/>
    <mergeCell ref="F37:F38"/>
    <mergeCell ref="G37:G38"/>
    <mergeCell ref="H37:H38"/>
    <mergeCell ref="J37:J38"/>
    <mergeCell ref="I37:I38"/>
    <mergeCell ref="B31:B32"/>
    <mergeCell ref="L37:L38"/>
    <mergeCell ref="L31:L32"/>
    <mergeCell ref="K26:K27"/>
    <mergeCell ref="K31:K32"/>
    <mergeCell ref="M21:M22"/>
    <mergeCell ref="M26:M27"/>
    <mergeCell ref="M31:M32"/>
    <mergeCell ref="F26:F27"/>
    <mergeCell ref="G26:G27"/>
    <mergeCell ref="H26:H27"/>
    <mergeCell ref="E26:E27"/>
    <mergeCell ref="M16:M17"/>
    <mergeCell ref="G21:G22"/>
    <mergeCell ref="H21:H22"/>
    <mergeCell ref="I21:I22"/>
    <mergeCell ref="J21:J22"/>
    <mergeCell ref="I26:I27"/>
    <mergeCell ref="J26:J27"/>
    <mergeCell ref="L26:L27"/>
    <mergeCell ref="C31:C32"/>
    <mergeCell ref="D31:D32"/>
    <mergeCell ref="L11:L12"/>
    <mergeCell ref="L16:L17"/>
    <mergeCell ref="L21:L22"/>
    <mergeCell ref="K16:K17"/>
    <mergeCell ref="K21:K22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B21:B22"/>
    <mergeCell ref="C21:C22"/>
    <mergeCell ref="D21:D22"/>
    <mergeCell ref="E21:E22"/>
    <mergeCell ref="F21:F22"/>
    <mergeCell ref="B26:B27"/>
    <mergeCell ref="C26:C27"/>
    <mergeCell ref="D26:D27"/>
    <mergeCell ref="L6:L7"/>
    <mergeCell ref="J6:J7"/>
    <mergeCell ref="M6:M7"/>
    <mergeCell ref="B11:B12"/>
    <mergeCell ref="C11:C12"/>
    <mergeCell ref="D11:D12"/>
    <mergeCell ref="E11:E12"/>
    <mergeCell ref="F11:F12"/>
    <mergeCell ref="G11:G12"/>
    <mergeCell ref="H11:H12"/>
    <mergeCell ref="K11:K12"/>
    <mergeCell ref="I11:I12"/>
    <mergeCell ref="J11:J12"/>
    <mergeCell ref="M11:M12"/>
    <mergeCell ref="B6:B7"/>
    <mergeCell ref="C6:C7"/>
    <mergeCell ref="D6:D7"/>
    <mergeCell ref="E6:E7"/>
    <mergeCell ref="F6:F7"/>
    <mergeCell ref="G6:G7"/>
    <mergeCell ref="H6:H7"/>
    <mergeCell ref="K6:K7"/>
    <mergeCell ref="I6:I7"/>
    <mergeCell ref="K169:K170"/>
    <mergeCell ref="K174:K175"/>
    <mergeCell ref="K37:K38"/>
    <mergeCell ref="K42:K43"/>
    <mergeCell ref="K47:K48"/>
    <mergeCell ref="K72:K73"/>
    <mergeCell ref="K77:K78"/>
    <mergeCell ref="K82:K83"/>
    <mergeCell ref="K87:K88"/>
    <mergeCell ref="K92:K93"/>
    <mergeCell ref="K112:K113"/>
    <mergeCell ref="K137:K138"/>
    <mergeCell ref="J67:J68"/>
    <mergeCell ref="K67:K68"/>
    <mergeCell ref="K117:K118"/>
    <mergeCell ref="K122:K123"/>
    <mergeCell ref="K127:K128"/>
    <mergeCell ref="K147:K148"/>
    <mergeCell ref="K153:K154"/>
    <mergeCell ref="K158:K159"/>
    <mergeCell ref="J72:J73"/>
    <mergeCell ref="J117:J118"/>
    <mergeCell ref="J153:J154"/>
    <mergeCell ref="J147:J148"/>
    <mergeCell ref="I67:I68"/>
    <mergeCell ref="M132:M133"/>
    <mergeCell ref="M137:M138"/>
    <mergeCell ref="M142:M143"/>
    <mergeCell ref="M147:M148"/>
    <mergeCell ref="M153:M154"/>
    <mergeCell ref="M158:M159"/>
    <mergeCell ref="M37:M38"/>
    <mergeCell ref="M42:M43"/>
    <mergeCell ref="M47:M48"/>
    <mergeCell ref="M52:M53"/>
    <mergeCell ref="M57:M58"/>
    <mergeCell ref="M62:M63"/>
    <mergeCell ref="M67:M68"/>
    <mergeCell ref="M72:M73"/>
    <mergeCell ref="M77:M78"/>
    <mergeCell ref="M82:M83"/>
    <mergeCell ref="M87:M88"/>
    <mergeCell ref="M92:M93"/>
    <mergeCell ref="M112:M113"/>
    <mergeCell ref="I42:I43"/>
    <mergeCell ref="J42:J43"/>
    <mergeCell ref="L42:L43"/>
    <mergeCell ref="L47:L48"/>
    <mergeCell ref="P86:P88"/>
    <mergeCell ref="P91:P93"/>
    <mergeCell ref="P111:P113"/>
    <mergeCell ref="P116:P118"/>
    <mergeCell ref="P121:P123"/>
    <mergeCell ref="P126:P128"/>
    <mergeCell ref="P131:P133"/>
    <mergeCell ref="P136:P138"/>
    <mergeCell ref="P141:P143"/>
    <mergeCell ref="M195:M196"/>
    <mergeCell ref="M200:M201"/>
    <mergeCell ref="M117:M118"/>
    <mergeCell ref="M122:M123"/>
    <mergeCell ref="M127:M128"/>
    <mergeCell ref="P194:P196"/>
    <mergeCell ref="P199:P201"/>
    <mergeCell ref="P146:P148"/>
    <mergeCell ref="P152:P154"/>
    <mergeCell ref="P157:P159"/>
    <mergeCell ref="P163:P165"/>
    <mergeCell ref="P168:P170"/>
    <mergeCell ref="P173:P175"/>
    <mergeCell ref="O158:O159"/>
    <mergeCell ref="O164:O165"/>
    <mergeCell ref="O169:O170"/>
    <mergeCell ref="O174:O175"/>
    <mergeCell ref="O179:O180"/>
    <mergeCell ref="O184:O185"/>
    <mergeCell ref="O190:O191"/>
    <mergeCell ref="O195:O196"/>
    <mergeCell ref="O200:O201"/>
    <mergeCell ref="P178:P180"/>
    <mergeCell ref="P183:P185"/>
    <mergeCell ref="O6:O7"/>
    <mergeCell ref="O11:O12"/>
    <mergeCell ref="O16:O17"/>
    <mergeCell ref="O21:O22"/>
    <mergeCell ref="O26:O27"/>
    <mergeCell ref="O31:O32"/>
    <mergeCell ref="O37:O38"/>
    <mergeCell ref="O42:O43"/>
    <mergeCell ref="O47:O48"/>
    <mergeCell ref="O52:O53"/>
    <mergeCell ref="O57:O58"/>
    <mergeCell ref="O62:O63"/>
    <mergeCell ref="O67:O68"/>
    <mergeCell ref="O72:O73"/>
    <mergeCell ref="O77:O78"/>
    <mergeCell ref="O82:O83"/>
    <mergeCell ref="O87:O88"/>
    <mergeCell ref="O92:O93"/>
    <mergeCell ref="P189:P191"/>
    <mergeCell ref="B106:B107"/>
    <mergeCell ref="K106:K107"/>
    <mergeCell ref="L106:L107"/>
    <mergeCell ref="M106:M107"/>
    <mergeCell ref="O106:O107"/>
    <mergeCell ref="P106:P107"/>
    <mergeCell ref="O112:O113"/>
    <mergeCell ref="O117:O118"/>
    <mergeCell ref="O122:O123"/>
    <mergeCell ref="O127:O128"/>
    <mergeCell ref="O132:O133"/>
    <mergeCell ref="O137:O138"/>
    <mergeCell ref="O142:O143"/>
    <mergeCell ref="O147:O148"/>
    <mergeCell ref="O153:O154"/>
    <mergeCell ref="M184:M185"/>
    <mergeCell ref="M190:M191"/>
    <mergeCell ref="I112:I113"/>
    <mergeCell ref="J112:J113"/>
    <mergeCell ref="C117:C118"/>
    <mergeCell ref="D117:D118"/>
    <mergeCell ref="E117:E118"/>
    <mergeCell ref="K164:K165"/>
  </mergeCells>
  <pageMargins left="0.47" right="0.19685039370078741" top="0.55118110236220474" bottom="0.31496062992125984" header="0.23622047244094491" footer="0.15748031496062992"/>
  <pageSetup paperSize="9" scale="61" orientation="landscape" r:id="rId1"/>
  <headerFooter>
    <oddHeader>&amp;C&amp;"Candara,Negreta"&amp;18&amp;E&amp;K03+000INDICADORS DE TRANSPARÈNCIA ECONÒMICA I FINANCERA</oddHeader>
    <oddFooter>&amp;R&amp;"Arial,Negreta"&amp;K00-049&amp;P&amp;"Arial,Normal"/&amp;N</oddFooter>
  </headerFooter>
  <rowBreaks count="6" manualBreakCount="6">
    <brk id="33" max="15" man="1"/>
    <brk id="68" max="15" man="1"/>
    <brk id="108" max="15" man="1"/>
    <brk id="149" max="15" man="1"/>
    <brk id="160" max="15" man="1"/>
    <brk id="186" max="15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CAT!C200:O200</xm:f>
              <xm:sqref>P199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CAT!C195:O195</xm:f>
              <xm:sqref>P194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CAT!C190:O190</xm:f>
              <xm:sqref>P189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CAT!C184:O184</xm:f>
              <xm:sqref>P183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CAT!C179:O179</xm:f>
              <xm:sqref>P178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CAT!C169:O169</xm:f>
              <xm:sqref>P168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CAT!C174:O174</xm:f>
              <xm:sqref>P173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CAT!C164:O164</xm:f>
              <xm:sqref>P163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CAT!C158:O158</xm:f>
              <xm:sqref>P157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CAT!C153:O153</xm:f>
              <xm:sqref>P152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CAT!C147:O147</xm:f>
              <xm:sqref>P146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CAT!C142:O142</xm:f>
              <xm:sqref>P141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CAT!C137:O137</xm:f>
              <xm:sqref>P136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CAT!C132:O132</xm:f>
              <xm:sqref>P131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CAT!C127:O127</xm:f>
              <xm:sqref>P126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CAT!C122:O122</xm:f>
              <xm:sqref>P121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CAT!C117:O117</xm:f>
              <xm:sqref>P116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CAT!C112:O112</xm:f>
              <xm:sqref>P111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CAT!C92:O92</xm:f>
              <xm:sqref>P91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CAT!C87:O87</xm:f>
              <xm:sqref>P86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CAT!C82:O82</xm:f>
              <xm:sqref>P81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CAT!C77:O77</xm:f>
              <xm:sqref>P76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CAT!C72:O72</xm:f>
              <xm:sqref>P71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CAT!C67:O67</xm:f>
              <xm:sqref>P66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CAT!C62:O62</xm:f>
              <xm:sqref>P61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CAT!C57:O57</xm:f>
              <xm:sqref>P56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CAT!C52:O52</xm:f>
              <xm:sqref>P51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CAT!C47:O47</xm:f>
              <xm:sqref>P46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CAT!C42:O42</xm:f>
              <xm:sqref>P41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CAT!C37:O37</xm:f>
              <xm:sqref>P36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CAT!C31:O31</xm:f>
              <xm:sqref>P30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CAT!C26:O26</xm:f>
              <xm:sqref>P25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CAT!C16:O16</xm:f>
              <xm:sqref>P15</xm:sqref>
            </x14:sparkline>
            <x14:sparkline>
              <xm:f>CAT!C11:O11</xm:f>
              <xm:sqref>P10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CAT!C21:O21</xm:f>
              <xm:sqref>P20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CAT!C6:O6</xm:f>
              <xm:sqref>P5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CAT!K106:O106</xm:f>
              <xm:sqref>P106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CAT</vt:lpstr>
      <vt:lpstr>CAT!Àrea_d'impressió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2018-04-03T11:06:12Z</cp:lastPrinted>
  <dcterms:created xsi:type="dcterms:W3CDTF">2013-08-01T12:17:55Z</dcterms:created>
  <dcterms:modified xsi:type="dcterms:W3CDTF">2018-05-04T09:56:30Z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Indicadors trannsparència eco-fin fins 2012.xlsx</vt:lpwstr>
  </property>
</Properties>
</file>