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5" yWindow="-15" windowWidth="17400" windowHeight="6015" tabRatio="931"/>
  </bookViews>
  <sheets>
    <sheet name="Indicadors" sheetId="14" r:id="rId1"/>
    <sheet name="ICap " sheetId="15" r:id="rId2"/>
    <sheet name="IDetallCorrent" sheetId="43" r:id="rId3"/>
    <sheet name="IDetallCapital" sheetId="44" r:id="rId4"/>
    <sheet name="DCap" sheetId="1" r:id="rId5"/>
    <sheet name="DDetallCorrent" sheetId="45" r:id="rId6"/>
    <sheet name="DProg" sheetId="16" r:id="rId7"/>
    <sheet name="DOrg" sheetId="13" r:id="rId8"/>
    <sheet name="DCap 01" sheetId="20" r:id="rId9"/>
    <sheet name="DCap 02" sheetId="24" r:id="rId10"/>
    <sheet name="DCap 04" sheetId="26" r:id="rId11"/>
    <sheet name="DCap 0501" sheetId="27" r:id="rId12"/>
    <sheet name="DCap 0502" sheetId="25" r:id="rId13"/>
    <sheet name="DCap 0503" sheetId="46" r:id="rId14"/>
    <sheet name="DCap 0504" sheetId="47" r:id="rId15"/>
    <sheet name="DCap 07" sheetId="21" r:id="rId16"/>
    <sheet name="DCap 0703" sheetId="23" r:id="rId17"/>
    <sheet name="DCap 08" sheetId="22" r:id="rId18"/>
    <sheet name="DCap 06" sheetId="28" r:id="rId19"/>
    <sheet name="Full de control" sheetId="42" r:id="rId20"/>
  </sheets>
  <definedNames>
    <definedName name="__FPMExcelClient_CellBasedFunctionStatus" localSheetId="4" hidden="1">"2_2_2_2_2"</definedName>
    <definedName name="__FPMExcelClient_CellBasedFunctionStatus" localSheetId="8" hidden="1">"2_2_2_2_2"</definedName>
    <definedName name="__FPMExcelClient_CellBasedFunctionStatus" localSheetId="9" hidden="1">"2_2_2_2_2"</definedName>
    <definedName name="__FPMExcelClient_CellBasedFunctionStatus" localSheetId="10" hidden="1">"2_2_2_2_2"</definedName>
    <definedName name="__FPMExcelClient_CellBasedFunctionStatus" localSheetId="11" hidden="1">"2_2_2_2_2"</definedName>
    <definedName name="__FPMExcelClient_CellBasedFunctionStatus" localSheetId="12" hidden="1">"2_2_2_2_2"</definedName>
    <definedName name="__FPMExcelClient_CellBasedFunctionStatus" localSheetId="13" hidden="1">"2_2_2_2_2"</definedName>
    <definedName name="__FPMExcelClient_CellBasedFunctionStatus" localSheetId="14" hidden="1">"2_2_2_2_2"</definedName>
    <definedName name="__FPMExcelClient_CellBasedFunctionStatus" localSheetId="18" hidden="1">"2_2_2_2_2"</definedName>
    <definedName name="__FPMExcelClient_CellBasedFunctionStatus" localSheetId="15" hidden="1">"2_2_2_2_2"</definedName>
    <definedName name="__FPMExcelClient_CellBasedFunctionStatus" localSheetId="16" hidden="1">"2_2_2_2_2"</definedName>
    <definedName name="__FPMExcelClient_CellBasedFunctionStatus" localSheetId="17" hidden="1">"2_2_2_2_2"</definedName>
    <definedName name="__FPMExcelClient_CellBasedFunctionStatus" localSheetId="5" hidden="1">"2_2_2_2_2"</definedName>
    <definedName name="__FPMExcelClient_CellBasedFunctionStatus" localSheetId="7" hidden="1">"2_2_2_2_2"</definedName>
    <definedName name="__FPMExcelClient_CellBasedFunctionStatus" localSheetId="6" hidden="1">"2_2_2_2_2"</definedName>
    <definedName name="__FPMExcelClient_CellBasedFunctionStatus" localSheetId="19" hidden="1">"2_2_2_2_2"</definedName>
    <definedName name="__FPMExcelClient_CellBasedFunctionStatus" localSheetId="1" hidden="1">"2_2_2_2_2"</definedName>
    <definedName name="__FPMExcelClient_CellBasedFunctionStatus" localSheetId="3" hidden="1">"2_2_2_2_2"</definedName>
    <definedName name="__FPMExcelClient_CellBasedFunctionStatus" localSheetId="2" hidden="1">"2_2_2_2_2"</definedName>
    <definedName name="__FPMExcelClient_CellBasedFunctionStatus" localSheetId="0" hidden="1">"2_2_2_2_2"</definedName>
    <definedName name="_xlnm.Print_Area" localSheetId="5">DDetallCorrent!$A$1:$M$129</definedName>
    <definedName name="_xlnm.Print_Area" localSheetId="7">DOrg!$A$1:$M$56</definedName>
    <definedName name="_xlnm.Print_Area" localSheetId="6">DProg!$A$1:$M$155</definedName>
    <definedName name="_xlnm.Print_Area" localSheetId="3">IDetallCapital!$A$1:$K$32</definedName>
    <definedName name="_xlnm.Print_Area" localSheetId="2">IDetallCorrent!$A$1:$K$67</definedName>
    <definedName name="_xlnm.Print_Area" localSheetId="0">Indicadors!$A$1:$J$37</definedName>
    <definedName name="DATA1" localSheetId="14">#REF!</definedName>
    <definedName name="DATA1" localSheetId="5">#REF!</definedName>
    <definedName name="DATA1" localSheetId="3">#REF!</definedName>
    <definedName name="DATA1" localSheetId="2">#REF!</definedName>
    <definedName name="DATA1">#REF!</definedName>
    <definedName name="DATA10" localSheetId="14">#REF!</definedName>
    <definedName name="DATA10" localSheetId="5">#REF!</definedName>
    <definedName name="DATA10" localSheetId="3">#REF!</definedName>
    <definedName name="DATA10" localSheetId="2">#REF!</definedName>
    <definedName name="DATA10">#REF!</definedName>
    <definedName name="DATA11" localSheetId="14">#REF!</definedName>
    <definedName name="DATA11" localSheetId="5">#REF!</definedName>
    <definedName name="DATA11" localSheetId="3">#REF!</definedName>
    <definedName name="DATA11" localSheetId="2">#REF!</definedName>
    <definedName name="DATA11">#REF!</definedName>
    <definedName name="DATA12" localSheetId="14">#REF!</definedName>
    <definedName name="DATA12" localSheetId="5">#REF!</definedName>
    <definedName name="DATA12" localSheetId="3">#REF!</definedName>
    <definedName name="DATA12" localSheetId="2">#REF!</definedName>
    <definedName name="DATA12">#REF!</definedName>
    <definedName name="DATA13" localSheetId="14">#REF!</definedName>
    <definedName name="DATA13" localSheetId="5">#REF!</definedName>
    <definedName name="DATA13" localSheetId="3">#REF!</definedName>
    <definedName name="DATA13" localSheetId="2">#REF!</definedName>
    <definedName name="DATA13">#REF!</definedName>
    <definedName name="DATA14" localSheetId="14">#REF!</definedName>
    <definedName name="DATA14" localSheetId="5">#REF!</definedName>
    <definedName name="DATA14" localSheetId="3">#REF!</definedName>
    <definedName name="DATA14" localSheetId="2">#REF!</definedName>
    <definedName name="DATA14">#REF!</definedName>
    <definedName name="DATA2" localSheetId="14">#REF!</definedName>
    <definedName name="DATA2" localSheetId="5">#REF!</definedName>
    <definedName name="DATA2" localSheetId="3">#REF!</definedName>
    <definedName name="DATA2" localSheetId="2">#REF!</definedName>
    <definedName name="DATA2">#REF!</definedName>
    <definedName name="DATA3" localSheetId="14">#REF!</definedName>
    <definedName name="DATA3" localSheetId="5">#REF!</definedName>
    <definedName name="DATA3" localSheetId="3">#REF!</definedName>
    <definedName name="DATA3" localSheetId="2">#REF!</definedName>
    <definedName name="DATA3">#REF!</definedName>
    <definedName name="DATA4" localSheetId="14">#REF!</definedName>
    <definedName name="DATA4" localSheetId="5">#REF!</definedName>
    <definedName name="DATA4" localSheetId="3">#REF!</definedName>
    <definedName name="DATA4" localSheetId="2">#REF!</definedName>
    <definedName name="DATA4">#REF!</definedName>
    <definedName name="DATA5" localSheetId="14">#REF!</definedName>
    <definedName name="DATA5" localSheetId="5">#REF!</definedName>
    <definedName name="DATA5" localSheetId="3">#REF!</definedName>
    <definedName name="DATA5" localSheetId="2">#REF!</definedName>
    <definedName name="DATA5">#REF!</definedName>
    <definedName name="DATA6" localSheetId="14">#REF!</definedName>
    <definedName name="DATA6" localSheetId="5">#REF!</definedName>
    <definedName name="DATA6" localSheetId="3">#REF!</definedName>
    <definedName name="DATA6" localSheetId="2">#REF!</definedName>
    <definedName name="DATA6">#REF!</definedName>
    <definedName name="DATA7" localSheetId="14">#REF!</definedName>
    <definedName name="DATA7" localSheetId="5">#REF!</definedName>
    <definedName name="DATA7" localSheetId="3">#REF!</definedName>
    <definedName name="DATA7" localSheetId="2">#REF!</definedName>
    <definedName name="DATA7">#REF!</definedName>
    <definedName name="DATA8" localSheetId="14">#REF!</definedName>
    <definedName name="DATA8" localSheetId="5">#REF!</definedName>
    <definedName name="DATA8" localSheetId="3">#REF!</definedName>
    <definedName name="DATA8" localSheetId="2">#REF!</definedName>
    <definedName name="DATA8">#REF!</definedName>
    <definedName name="DATA9" localSheetId="14">#REF!</definedName>
    <definedName name="DATA9" localSheetId="5">#REF!</definedName>
    <definedName name="DATA9" localSheetId="3">#REF!</definedName>
    <definedName name="DATA9" localSheetId="2">#REF!</definedName>
    <definedName name="DATA9">#REF!</definedName>
    <definedName name="Print_Area" localSheetId="4">DCap!$A$1:$P$34</definedName>
    <definedName name="Print_Area" localSheetId="13">'DCap 0503'!$A$1:$M$16</definedName>
    <definedName name="Print_Area" localSheetId="14">'DCap 0504'!$A$1:$M$16</definedName>
    <definedName name="Print_Area" localSheetId="5">DDetallCorrent!$A$1:$M$129</definedName>
    <definedName name="Print_Area" localSheetId="6">DProg!$A$1:$M$154</definedName>
    <definedName name="Print_Area" localSheetId="1">'ICap '!$A$1:$N$19</definedName>
    <definedName name="Print_Area" localSheetId="3">IDetallCapital!$A$1:$K$32</definedName>
    <definedName name="Print_Area" localSheetId="2">IDetallCorrent!$A$1:$K$67</definedName>
    <definedName name="Print_Area" localSheetId="0">Indicadors!$A$1:$J$36</definedName>
    <definedName name="TEST0" localSheetId="14">#REF!</definedName>
    <definedName name="TEST0" localSheetId="5">#REF!</definedName>
    <definedName name="TEST0" localSheetId="3">#REF!</definedName>
    <definedName name="TEST0" localSheetId="2">#REF!</definedName>
    <definedName name="TEST0">#REF!</definedName>
    <definedName name="TESTHKEY" localSheetId="14">#REF!</definedName>
    <definedName name="TESTHKEY" localSheetId="5">#REF!</definedName>
    <definedName name="TESTHKEY" localSheetId="3">#REF!</definedName>
    <definedName name="TESTHKEY" localSheetId="2">#REF!</definedName>
    <definedName name="TESTHKEY">#REF!</definedName>
    <definedName name="TESTKEYS" localSheetId="14">#REF!</definedName>
    <definedName name="TESTKEYS" localSheetId="5">#REF!</definedName>
    <definedName name="TESTKEYS" localSheetId="3">#REF!</definedName>
    <definedName name="TESTKEYS" localSheetId="2">#REF!</definedName>
    <definedName name="TESTKEYS">#REF!</definedName>
    <definedName name="TESTVKEY" localSheetId="14">#REF!</definedName>
    <definedName name="TESTVKEY" localSheetId="5">#REF!</definedName>
    <definedName name="TESTVKEY" localSheetId="3">#REF!</definedName>
    <definedName name="TESTVKEY" localSheetId="2">#REF!</definedName>
    <definedName name="TESTVKEY">#REF!</definedName>
  </definedNames>
  <calcPr calcId="145621"/>
</workbook>
</file>

<file path=xl/calcChain.xml><?xml version="1.0" encoding="utf-8"?>
<calcChain xmlns="http://schemas.openxmlformats.org/spreadsheetml/2006/main">
  <c r="L93" i="16" l="1"/>
  <c r="L16" i="16"/>
  <c r="K16" i="16"/>
  <c r="K93" i="16"/>
  <c r="M68" i="16"/>
  <c r="M65" i="16"/>
  <c r="M59" i="16"/>
  <c r="J51" i="16"/>
  <c r="J48" i="16"/>
  <c r="J40" i="16"/>
  <c r="J41" i="16"/>
  <c r="J42" i="16"/>
  <c r="L38" i="16"/>
  <c r="K38" i="16"/>
  <c r="K30" i="16"/>
  <c r="L30" i="16"/>
  <c r="G51" i="43" l="1"/>
  <c r="E51" i="43"/>
  <c r="D51" i="43"/>
  <c r="H8" i="16" l="1"/>
  <c r="C57" i="45" l="1"/>
  <c r="O53" i="45" s="1"/>
  <c r="J111" i="45"/>
  <c r="J113" i="45"/>
  <c r="J120" i="45"/>
  <c r="J122" i="45"/>
  <c r="H111" i="45"/>
  <c r="H113" i="45"/>
  <c r="H115" i="45"/>
  <c r="H116" i="45"/>
  <c r="H117" i="45"/>
  <c r="H118" i="45"/>
  <c r="H119" i="45"/>
  <c r="H120" i="45"/>
  <c r="H122" i="45"/>
  <c r="F39" i="45"/>
  <c r="H31" i="43"/>
  <c r="H32" i="43"/>
  <c r="H33" i="43"/>
  <c r="H24" i="43"/>
  <c r="H25" i="43"/>
  <c r="H22" i="43"/>
  <c r="H23" i="43"/>
  <c r="H20" i="43"/>
  <c r="H19" i="43"/>
  <c r="H6" i="43"/>
  <c r="H7" i="43"/>
  <c r="H8" i="43"/>
  <c r="H10" i="43"/>
  <c r="H11" i="43"/>
  <c r="H5" i="43"/>
  <c r="C51" i="43" l="1"/>
  <c r="M111" i="45" l="1"/>
  <c r="I37" i="43" l="1"/>
  <c r="I60" i="43"/>
  <c r="I51" i="43"/>
  <c r="C9" i="25" l="1"/>
  <c r="I9" i="20"/>
  <c r="G9" i="46"/>
  <c r="G10" i="24"/>
  <c r="E10" i="24"/>
  <c r="D10" i="24"/>
  <c r="C10" i="24"/>
  <c r="C83" i="16"/>
  <c r="D83" i="16"/>
  <c r="E83" i="16"/>
  <c r="M142" i="16" l="1"/>
  <c r="M46" i="16"/>
  <c r="M92" i="16" l="1"/>
  <c r="M42" i="16"/>
  <c r="M35" i="16"/>
  <c r="M17" i="16"/>
  <c r="M15" i="16"/>
  <c r="M12" i="16"/>
  <c r="E15" i="13"/>
  <c r="G13" i="1"/>
  <c r="G10" i="1"/>
  <c r="F116" i="16"/>
  <c r="H116" i="16"/>
  <c r="C130" i="16"/>
  <c r="D130" i="16"/>
  <c r="E130" i="16"/>
  <c r="F125" i="16"/>
  <c r="H125" i="16"/>
  <c r="J125" i="16"/>
  <c r="M119" i="16"/>
  <c r="M112" i="16"/>
  <c r="J119" i="16"/>
  <c r="H119" i="16"/>
  <c r="F119" i="16"/>
  <c r="J112" i="16"/>
  <c r="H112" i="16"/>
  <c r="F112" i="16"/>
  <c r="D104" i="16"/>
  <c r="C104" i="16"/>
  <c r="F92" i="16"/>
  <c r="H92" i="16"/>
  <c r="J92" i="16"/>
  <c r="E104" i="16"/>
  <c r="C152" i="16"/>
  <c r="D111" i="16"/>
  <c r="C111" i="16"/>
  <c r="K104" i="16"/>
  <c r="I104" i="16"/>
  <c r="G104" i="16"/>
  <c r="E75" i="16"/>
  <c r="E61" i="16"/>
  <c r="E53" i="16"/>
  <c r="E34" i="16"/>
  <c r="E27" i="16"/>
  <c r="E6" i="16"/>
  <c r="K75" i="16"/>
  <c r="I75" i="16"/>
  <c r="G75" i="16"/>
  <c r="D75" i="16"/>
  <c r="D61" i="16"/>
  <c r="K53" i="16"/>
  <c r="I53" i="16"/>
  <c r="G53" i="16"/>
  <c r="D53" i="16"/>
  <c r="I34" i="16"/>
  <c r="G34" i="16"/>
  <c r="D34" i="16"/>
  <c r="I27" i="16"/>
  <c r="G27" i="16"/>
  <c r="D27" i="16"/>
  <c r="C34" i="16"/>
  <c r="C53" i="16"/>
  <c r="C61" i="16"/>
  <c r="C75" i="16"/>
  <c r="C27" i="16"/>
  <c r="J17" i="16"/>
  <c r="H17" i="16"/>
  <c r="F17" i="16"/>
  <c r="F51" i="16"/>
  <c r="F48" i="16"/>
  <c r="H51" i="16"/>
  <c r="H48" i="16"/>
  <c r="H40" i="16"/>
  <c r="H41" i="16"/>
  <c r="H42" i="16"/>
  <c r="F40" i="16"/>
  <c r="F41" i="16"/>
  <c r="F42" i="16"/>
  <c r="M74" i="16"/>
  <c r="J74" i="16"/>
  <c r="H74" i="16"/>
  <c r="F74" i="16"/>
  <c r="F117" i="16"/>
  <c r="H117" i="16"/>
  <c r="F118" i="16"/>
  <c r="H118" i="16"/>
  <c r="J89" i="16"/>
  <c r="M89" i="16"/>
  <c r="J87" i="16"/>
  <c r="H89" i="16"/>
  <c r="H87" i="16"/>
  <c r="F89" i="16"/>
  <c r="F87" i="16"/>
  <c r="J102" i="16"/>
  <c r="H102" i="16"/>
  <c r="F102" i="16"/>
  <c r="F94" i="16"/>
  <c r="H94" i="16"/>
  <c r="M94" i="16"/>
  <c r="E76" i="16" l="1"/>
  <c r="J35" i="16"/>
  <c r="H35" i="16"/>
  <c r="F35" i="16"/>
  <c r="F25" i="16"/>
  <c r="J25" i="16"/>
  <c r="H25" i="16"/>
  <c r="J15" i="16"/>
  <c r="H15" i="16"/>
  <c r="F15" i="16"/>
  <c r="J10" i="16"/>
  <c r="J11" i="16"/>
  <c r="J12" i="16"/>
  <c r="F12" i="16"/>
  <c r="F10" i="16"/>
  <c r="H12" i="16"/>
  <c r="H10" i="16"/>
  <c r="F57" i="16" l="1"/>
  <c r="H57" i="16"/>
  <c r="J57" i="16"/>
  <c r="M57" i="16"/>
  <c r="F46" i="16"/>
  <c r="H46" i="16"/>
  <c r="J46" i="16"/>
  <c r="F39" i="16"/>
  <c r="H39" i="16"/>
  <c r="J39" i="16"/>
  <c r="F43" i="16"/>
  <c r="H43" i="16"/>
  <c r="J43" i="16"/>
  <c r="M43" i="16"/>
  <c r="F37" i="16"/>
  <c r="H37" i="16"/>
  <c r="J37" i="16"/>
  <c r="M37" i="16"/>
  <c r="H53" i="16" l="1"/>
  <c r="J53" i="16"/>
  <c r="F53" i="16"/>
  <c r="M53" i="16"/>
  <c r="F111" i="45" l="1"/>
  <c r="D27" i="1" l="1"/>
  <c r="C27" i="1"/>
  <c r="H12" i="43" l="1"/>
  <c r="G7" i="14" l="1"/>
  <c r="G10" i="14" s="1"/>
  <c r="G13" i="14" s="1"/>
  <c r="F7" i="14"/>
  <c r="F10" i="14" s="1"/>
  <c r="F13" i="14" s="1"/>
  <c r="E7" i="14"/>
  <c r="E10" i="14" s="1"/>
  <c r="E13" i="14" s="1"/>
  <c r="D7" i="14"/>
  <c r="D10" i="14" s="1"/>
  <c r="D13" i="14" s="1"/>
  <c r="C7" i="14"/>
  <c r="C10" i="14" s="1"/>
  <c r="C13" i="14" s="1"/>
  <c r="J96" i="45" l="1"/>
  <c r="H96" i="45"/>
  <c r="F96" i="45"/>
  <c r="E10" i="15" l="1"/>
  <c r="E13" i="15"/>
  <c r="G9" i="20" l="1"/>
  <c r="P22" i="1" l="1"/>
  <c r="P23" i="1"/>
  <c r="P24" i="1"/>
  <c r="P25" i="1"/>
  <c r="P26" i="1"/>
  <c r="M5" i="47" l="1"/>
  <c r="M40" i="13"/>
  <c r="M11" i="13"/>
  <c r="M120" i="16"/>
  <c r="M121" i="16"/>
  <c r="M123" i="16"/>
  <c r="M126" i="16"/>
  <c r="M127" i="16"/>
  <c r="M44" i="16"/>
  <c r="M49" i="16"/>
  <c r="M50" i="16"/>
  <c r="M19" i="16"/>
  <c r="M20" i="16"/>
  <c r="M22" i="16"/>
  <c r="M24" i="16"/>
  <c r="M26" i="16"/>
  <c r="M116" i="45"/>
  <c r="F17" i="43" l="1"/>
  <c r="K56" i="43"/>
  <c r="K9" i="43"/>
  <c r="H58" i="43" l="1"/>
  <c r="H51" i="43"/>
  <c r="M113" i="45" l="1"/>
  <c r="J99" i="45"/>
  <c r="J105" i="45"/>
  <c r="J106" i="45"/>
  <c r="J108" i="45"/>
  <c r="J109" i="45"/>
  <c r="F8" i="47" l="1"/>
  <c r="J8" i="47"/>
  <c r="I27" i="1" l="1"/>
  <c r="E27" i="1"/>
  <c r="G27" i="1"/>
  <c r="J5" i="20" l="1"/>
  <c r="J6" i="20"/>
  <c r="J8" i="20"/>
  <c r="M10" i="28" l="1"/>
  <c r="M11" i="22"/>
  <c r="J10" i="21"/>
  <c r="H10" i="21"/>
  <c r="F10" i="21"/>
  <c r="H39" i="45"/>
  <c r="H47" i="45"/>
  <c r="F47" i="45"/>
  <c r="M71" i="45" l="1"/>
  <c r="M52" i="45"/>
  <c r="M41" i="45"/>
  <c r="M32" i="45"/>
  <c r="M33" i="45"/>
  <c r="M27" i="45"/>
  <c r="M28" i="45"/>
  <c r="M23" i="45"/>
  <c r="M21" i="45"/>
  <c r="M121" i="45"/>
  <c r="P12" i="1"/>
  <c r="K15" i="28" l="1"/>
  <c r="K12" i="28"/>
  <c r="K9" i="28"/>
  <c r="K15" i="22"/>
  <c r="K12" i="22"/>
  <c r="K9" i="22"/>
  <c r="K16" i="23"/>
  <c r="K13" i="23"/>
  <c r="K10" i="23"/>
  <c r="K15" i="21"/>
  <c r="K12" i="21"/>
  <c r="K9" i="21"/>
  <c r="K15" i="46"/>
  <c r="K12" i="46"/>
  <c r="K9" i="46"/>
  <c r="K15" i="25"/>
  <c r="K12" i="25"/>
  <c r="K9" i="25"/>
  <c r="K15" i="27"/>
  <c r="K12" i="27"/>
  <c r="K9" i="27"/>
  <c r="K15" i="26"/>
  <c r="K12" i="26"/>
  <c r="K9" i="26"/>
  <c r="K16" i="24"/>
  <c r="K13" i="24"/>
  <c r="K10" i="24"/>
  <c r="K9" i="20"/>
  <c r="K127" i="45"/>
  <c r="K61" i="45"/>
  <c r="K57" i="45"/>
  <c r="K11" i="45"/>
  <c r="K16" i="21" l="1"/>
  <c r="K16" i="28"/>
  <c r="K16" i="22"/>
  <c r="K16" i="25"/>
  <c r="K16" i="26"/>
  <c r="K17" i="24"/>
  <c r="K16" i="20"/>
  <c r="K128" i="45"/>
  <c r="K129" i="45" s="1"/>
  <c r="K17" i="23"/>
  <c r="K16" i="46"/>
  <c r="K16" i="27"/>
  <c r="M131" i="16"/>
  <c r="M54" i="16"/>
  <c r="M32" i="16"/>
  <c r="M39" i="13" l="1"/>
  <c r="M10" i="13"/>
  <c r="H8" i="1" l="1"/>
  <c r="M5" i="46" l="1"/>
  <c r="M137" i="16"/>
  <c r="K6" i="16"/>
  <c r="K34" i="16"/>
  <c r="K61" i="16"/>
  <c r="K27" i="16"/>
  <c r="K76" i="16" s="1"/>
  <c r="N16" i="1"/>
  <c r="I12" i="14" s="1"/>
  <c r="N13" i="1"/>
  <c r="I9" i="14" s="1"/>
  <c r="N10" i="1"/>
  <c r="I6" i="14" s="1"/>
  <c r="I31" i="44"/>
  <c r="I16" i="44"/>
  <c r="I8" i="44"/>
  <c r="I66" i="43"/>
  <c r="I59" i="43"/>
  <c r="I14" i="43"/>
  <c r="I11" i="43"/>
  <c r="I67" i="43" l="1"/>
  <c r="N17" i="1"/>
  <c r="I17" i="44"/>
  <c r="J9" i="23"/>
  <c r="H9" i="23"/>
  <c r="F9" i="23"/>
  <c r="G10" i="23"/>
  <c r="I10" i="23"/>
  <c r="D10" i="23"/>
  <c r="E10" i="23"/>
  <c r="C10" i="23"/>
  <c r="I10" i="24"/>
  <c r="E10" i="1"/>
  <c r="C44" i="13"/>
  <c r="C55" i="13"/>
  <c r="H136" i="16"/>
  <c r="J136" i="16"/>
  <c r="F136" i="16"/>
  <c r="M109" i="16"/>
  <c r="F126" i="45"/>
  <c r="E127" i="45"/>
  <c r="D127" i="45"/>
  <c r="C127" i="45"/>
  <c r="I127" i="45"/>
  <c r="G127" i="45"/>
  <c r="C10" i="1"/>
  <c r="J33" i="16"/>
  <c r="C56" i="13" l="1"/>
  <c r="M9" i="1" l="1"/>
  <c r="I10" i="1"/>
  <c r="I6" i="15" l="1"/>
  <c r="I7" i="15"/>
  <c r="I8" i="15"/>
  <c r="I9" i="15"/>
  <c r="I5" i="15"/>
  <c r="K6" i="15"/>
  <c r="K7" i="15"/>
  <c r="K8" i="15"/>
  <c r="K9" i="15"/>
  <c r="K5" i="15"/>
  <c r="C16" i="15" l="1"/>
  <c r="C13" i="15"/>
  <c r="C10" i="15"/>
  <c r="K15" i="13"/>
  <c r="M14" i="13" s="1"/>
  <c r="C18" i="15" l="1"/>
  <c r="D12" i="15" l="1"/>
  <c r="D14" i="15"/>
  <c r="D16" i="15"/>
  <c r="D6" i="15"/>
  <c r="D8" i="15"/>
  <c r="D5" i="15"/>
  <c r="D11" i="15"/>
  <c r="D13" i="15"/>
  <c r="D15" i="15"/>
  <c r="D7" i="15"/>
  <c r="D9" i="15"/>
  <c r="D10" i="15"/>
  <c r="M147" i="16" l="1"/>
  <c r="M60" i="16" l="1"/>
  <c r="F5" i="27" l="1"/>
  <c r="P5" i="1" l="1"/>
  <c r="F73" i="45" l="1"/>
  <c r="F74" i="45"/>
  <c r="F16" i="45"/>
  <c r="G16" i="1"/>
  <c r="G30" i="1"/>
  <c r="G33" i="1"/>
  <c r="G34" i="1" l="1"/>
  <c r="G31" i="44"/>
  <c r="E31" i="44"/>
  <c r="F5" i="43" l="1"/>
  <c r="D11" i="43"/>
  <c r="D14" i="43"/>
  <c r="P31" i="1" l="1"/>
  <c r="P32" i="1"/>
  <c r="J8" i="46" l="1"/>
  <c r="H8" i="46"/>
  <c r="F8" i="46"/>
  <c r="J59" i="16"/>
  <c r="H59" i="16"/>
  <c r="F59" i="16"/>
  <c r="P14" i="1"/>
  <c r="M13" i="16" l="1"/>
  <c r="M5" i="25" l="1"/>
  <c r="M14" i="23" l="1"/>
  <c r="M8" i="25"/>
  <c r="K5" i="43"/>
  <c r="J92" i="45" l="1"/>
  <c r="D98" i="45"/>
  <c r="D66" i="43"/>
  <c r="E66" i="43"/>
  <c r="E14" i="43"/>
  <c r="E37" i="43"/>
  <c r="E11" i="43"/>
  <c r="D128" i="45" l="1"/>
  <c r="H99" i="45"/>
  <c r="F99" i="45"/>
  <c r="D59" i="43"/>
  <c r="J5" i="47" l="1"/>
  <c r="H5" i="47"/>
  <c r="F5" i="47"/>
  <c r="J6" i="46"/>
  <c r="H6" i="46"/>
  <c r="F6" i="46"/>
  <c r="J10" i="47" l="1"/>
  <c r="H10" i="47"/>
  <c r="F10" i="47"/>
  <c r="J6" i="47"/>
  <c r="H6" i="47"/>
  <c r="F6" i="47"/>
  <c r="J40" i="13"/>
  <c r="H40" i="13"/>
  <c r="F40" i="13"/>
  <c r="J11" i="13"/>
  <c r="H11" i="13"/>
  <c r="F11" i="13"/>
  <c r="K15" i="47" l="1"/>
  <c r="I15" i="47"/>
  <c r="G15" i="47"/>
  <c r="E15" i="47"/>
  <c r="D15" i="47"/>
  <c r="C15" i="47"/>
  <c r="K12" i="47"/>
  <c r="I12" i="47"/>
  <c r="G12" i="47"/>
  <c r="E12" i="47"/>
  <c r="D12" i="47"/>
  <c r="C12" i="47"/>
  <c r="K9" i="47"/>
  <c r="I9" i="47"/>
  <c r="G9" i="47"/>
  <c r="E9" i="47"/>
  <c r="D9" i="47"/>
  <c r="C9" i="47"/>
  <c r="F12" i="47" l="1"/>
  <c r="J12" i="47"/>
  <c r="H12" i="47"/>
  <c r="K16" i="47"/>
  <c r="G16" i="47"/>
  <c r="E16" i="47"/>
  <c r="I16" i="47"/>
  <c r="C16" i="47"/>
  <c r="J9" i="47"/>
  <c r="D16" i="47"/>
  <c r="F9" i="47"/>
  <c r="H9" i="47"/>
  <c r="H36" i="13"/>
  <c r="F16" i="47" l="1"/>
  <c r="J16" i="47"/>
  <c r="H16" i="47"/>
  <c r="M78" i="45" l="1"/>
  <c r="H35" i="13" l="1"/>
  <c r="H32" i="45" l="1"/>
  <c r="I12" i="15" l="1"/>
  <c r="L33" i="1" l="1"/>
  <c r="L30" i="1"/>
  <c r="L27" i="1"/>
  <c r="L34" i="1" l="1"/>
  <c r="G83" i="16" l="1"/>
  <c r="G6" i="16"/>
  <c r="M72" i="45" l="1"/>
  <c r="H8" i="28" l="1"/>
  <c r="M97" i="16" l="1"/>
  <c r="M15" i="23" l="1"/>
  <c r="M6" i="21"/>
  <c r="M6" i="24"/>
  <c r="M38" i="13"/>
  <c r="M9" i="13"/>
  <c r="K24" i="43"/>
  <c r="J11" i="24" l="1"/>
  <c r="J11" i="27"/>
  <c r="H11" i="27"/>
  <c r="F11" i="27"/>
  <c r="H11" i="24" l="1"/>
  <c r="F11" i="24"/>
  <c r="P15" i="1" l="1"/>
  <c r="M96" i="16" l="1"/>
  <c r="M99" i="16"/>
  <c r="M101" i="16"/>
  <c r="M103" i="16"/>
  <c r="J39" i="13" l="1"/>
  <c r="H39" i="13"/>
  <c r="F39" i="13"/>
  <c r="M8" i="13"/>
  <c r="M12" i="13"/>
  <c r="M13" i="13"/>
  <c r="M7" i="13"/>
  <c r="J10" i="13"/>
  <c r="H10" i="13"/>
  <c r="F10" i="13"/>
  <c r="I15" i="46"/>
  <c r="G15" i="46"/>
  <c r="E15" i="46"/>
  <c r="D15" i="46"/>
  <c r="C15" i="46"/>
  <c r="I12" i="46"/>
  <c r="G12" i="46"/>
  <c r="E12" i="46"/>
  <c r="D12" i="46"/>
  <c r="C12" i="46"/>
  <c r="I9" i="46"/>
  <c r="M9" i="46" s="1"/>
  <c r="E9" i="46"/>
  <c r="D9" i="46"/>
  <c r="C9" i="46"/>
  <c r="J5" i="46"/>
  <c r="H5" i="46"/>
  <c r="F5" i="46"/>
  <c r="C16" i="46" l="1"/>
  <c r="D16" i="46"/>
  <c r="H9" i="46"/>
  <c r="F9" i="46"/>
  <c r="E16" i="46"/>
  <c r="G16" i="46"/>
  <c r="I16" i="46"/>
  <c r="M16" i="46" s="1"/>
  <c r="J9" i="46"/>
  <c r="H16" i="46" l="1"/>
  <c r="F16" i="46"/>
  <c r="J16" i="46"/>
  <c r="K10" i="43" l="1"/>
  <c r="K8" i="43"/>
  <c r="K152" i="16" l="1"/>
  <c r="I152" i="16"/>
  <c r="G152" i="16"/>
  <c r="E152" i="16"/>
  <c r="D152" i="16"/>
  <c r="M151" i="16"/>
  <c r="J151" i="16"/>
  <c r="H151" i="16"/>
  <c r="F151" i="16"/>
  <c r="M150" i="16"/>
  <c r="J150" i="16"/>
  <c r="H150" i="16"/>
  <c r="F150" i="16"/>
  <c r="M149" i="16"/>
  <c r="J149" i="16"/>
  <c r="H149" i="16"/>
  <c r="F149" i="16"/>
  <c r="M148" i="16"/>
  <c r="J148" i="16"/>
  <c r="H148" i="16"/>
  <c r="F148" i="16"/>
  <c r="J147" i="16"/>
  <c r="H147" i="16"/>
  <c r="F147" i="16"/>
  <c r="J146" i="16"/>
  <c r="H146" i="16"/>
  <c r="F146" i="16"/>
  <c r="M145" i="16"/>
  <c r="J145" i="16"/>
  <c r="H145" i="16"/>
  <c r="F145" i="16"/>
  <c r="M144" i="16"/>
  <c r="J144" i="16"/>
  <c r="H144" i="16"/>
  <c r="F144" i="16"/>
  <c r="M143" i="16"/>
  <c r="J143" i="16"/>
  <c r="H143" i="16"/>
  <c r="F143" i="16"/>
  <c r="J142" i="16"/>
  <c r="H142" i="16"/>
  <c r="F142" i="16"/>
  <c r="M141" i="16"/>
  <c r="J141" i="16"/>
  <c r="H141" i="16"/>
  <c r="F141" i="16"/>
  <c r="M140" i="16"/>
  <c r="J140" i="16"/>
  <c r="H140" i="16"/>
  <c r="F140" i="16"/>
  <c r="M139" i="16"/>
  <c r="J139" i="16"/>
  <c r="H139" i="16"/>
  <c r="F139" i="16"/>
  <c r="K138" i="16"/>
  <c r="I138" i="16"/>
  <c r="G138" i="16"/>
  <c r="E138" i="16"/>
  <c r="D138" i="16"/>
  <c r="J137" i="16"/>
  <c r="H137" i="16"/>
  <c r="F137" i="16"/>
  <c r="M135" i="16"/>
  <c r="J135" i="16"/>
  <c r="H135" i="16"/>
  <c r="F135" i="16"/>
  <c r="M134" i="16"/>
  <c r="J134" i="16"/>
  <c r="H134" i="16"/>
  <c r="F134" i="16"/>
  <c r="M133" i="16"/>
  <c r="J133" i="16"/>
  <c r="H133" i="16"/>
  <c r="F133" i="16"/>
  <c r="M132" i="16"/>
  <c r="J132" i="16"/>
  <c r="H132" i="16"/>
  <c r="F132" i="16"/>
  <c r="J131" i="16"/>
  <c r="H131" i="16"/>
  <c r="F131" i="16"/>
  <c r="C138" i="16"/>
  <c r="K130" i="16"/>
  <c r="I130" i="16"/>
  <c r="G130" i="16"/>
  <c r="H129" i="16"/>
  <c r="F129" i="16"/>
  <c r="H128" i="16"/>
  <c r="F128" i="16"/>
  <c r="J127" i="16"/>
  <c r="H127" i="16"/>
  <c r="F127" i="16"/>
  <c r="J126" i="16"/>
  <c r="H126" i="16"/>
  <c r="F126" i="16"/>
  <c r="H124" i="16"/>
  <c r="F124" i="16"/>
  <c r="J123" i="16"/>
  <c r="H123" i="16"/>
  <c r="F123" i="16"/>
  <c r="J122" i="16"/>
  <c r="H122" i="16"/>
  <c r="F122" i="16"/>
  <c r="H121" i="16"/>
  <c r="F121" i="16"/>
  <c r="J120" i="16"/>
  <c r="H120" i="16"/>
  <c r="F120" i="16"/>
  <c r="J115" i="16"/>
  <c r="H115" i="16"/>
  <c r="F115" i="16"/>
  <c r="M114" i="16"/>
  <c r="H114" i="16"/>
  <c r="F114" i="16"/>
  <c r="H113" i="16"/>
  <c r="F113" i="16"/>
  <c r="K111" i="16"/>
  <c r="I111" i="16"/>
  <c r="G111" i="16"/>
  <c r="E111" i="16"/>
  <c r="H109" i="16"/>
  <c r="F109" i="16"/>
  <c r="M108" i="16"/>
  <c r="J108" i="16"/>
  <c r="H108" i="16"/>
  <c r="F108" i="16"/>
  <c r="M107" i="16"/>
  <c r="J107" i="16"/>
  <c r="H107" i="16"/>
  <c r="F107" i="16"/>
  <c r="M106" i="16"/>
  <c r="J106" i="16"/>
  <c r="H106" i="16"/>
  <c r="F106" i="16"/>
  <c r="M105" i="16"/>
  <c r="J105" i="16"/>
  <c r="H105" i="16"/>
  <c r="F105" i="16"/>
  <c r="J103" i="16"/>
  <c r="H103" i="16"/>
  <c r="F103" i="16"/>
  <c r="H101" i="16"/>
  <c r="F101" i="16"/>
  <c r="H100" i="16"/>
  <c r="F100" i="16"/>
  <c r="J99" i="16"/>
  <c r="H99" i="16"/>
  <c r="F99" i="16"/>
  <c r="J97" i="16"/>
  <c r="H97" i="16"/>
  <c r="F97" i="16"/>
  <c r="J96" i="16"/>
  <c r="H96" i="16"/>
  <c r="F96" i="16"/>
  <c r="M93" i="16"/>
  <c r="J93" i="16"/>
  <c r="H93" i="16"/>
  <c r="F93" i="16"/>
  <c r="M91" i="16"/>
  <c r="J91" i="16"/>
  <c r="H91" i="16"/>
  <c r="F91" i="16"/>
  <c r="M90" i="16"/>
  <c r="J90" i="16"/>
  <c r="H90" i="16"/>
  <c r="F90" i="16"/>
  <c r="J88" i="16"/>
  <c r="H88" i="16"/>
  <c r="F88" i="16"/>
  <c r="M86" i="16"/>
  <c r="J86" i="16"/>
  <c r="M85" i="16"/>
  <c r="J85" i="16"/>
  <c r="H85" i="16"/>
  <c r="F85" i="16"/>
  <c r="M84" i="16"/>
  <c r="J84" i="16"/>
  <c r="H84" i="16"/>
  <c r="F84" i="16"/>
  <c r="K83" i="16"/>
  <c r="I83" i="16"/>
  <c r="M82" i="16"/>
  <c r="J82" i="16"/>
  <c r="H82" i="16"/>
  <c r="F82" i="16"/>
  <c r="I61" i="16"/>
  <c r="G61" i="16"/>
  <c r="G76" i="16" s="1"/>
  <c r="J54" i="16"/>
  <c r="H54" i="16"/>
  <c r="F54" i="16"/>
  <c r="J52" i="16"/>
  <c r="H52" i="16"/>
  <c r="F52" i="16"/>
  <c r="J47" i="16"/>
  <c r="H47" i="16"/>
  <c r="F47" i="16"/>
  <c r="J38" i="16"/>
  <c r="H38" i="16"/>
  <c r="F38" i="16"/>
  <c r="J32" i="16"/>
  <c r="H32" i="16"/>
  <c r="F32" i="16"/>
  <c r="K153" i="16" l="1"/>
  <c r="J83" i="16"/>
  <c r="F111" i="16"/>
  <c r="G153" i="16"/>
  <c r="I153" i="16"/>
  <c r="F34" i="16"/>
  <c r="J111" i="16"/>
  <c r="H111" i="16"/>
  <c r="H34" i="16"/>
  <c r="J34" i="16"/>
  <c r="F83" i="16"/>
  <c r="M152" i="16"/>
  <c r="M138" i="16"/>
  <c r="M130" i="16"/>
  <c r="F104" i="16"/>
  <c r="M104" i="16"/>
  <c r="M111" i="16"/>
  <c r="J152" i="16"/>
  <c r="J138" i="16"/>
  <c r="J130" i="16"/>
  <c r="H104" i="16"/>
  <c r="M83" i="16"/>
  <c r="D153" i="16"/>
  <c r="H83" i="16"/>
  <c r="E153" i="16"/>
  <c r="F130" i="16"/>
  <c r="H130" i="16"/>
  <c r="F138" i="16"/>
  <c r="H138" i="16"/>
  <c r="F152" i="16"/>
  <c r="H152" i="16"/>
  <c r="J104" i="16"/>
  <c r="C153" i="16" l="1"/>
  <c r="J5" i="16"/>
  <c r="J7" i="16"/>
  <c r="J8" i="16"/>
  <c r="J9" i="16"/>
  <c r="J13" i="16"/>
  <c r="J14" i="16"/>
  <c r="J16" i="16"/>
  <c r="J18" i="16"/>
  <c r="J19" i="16"/>
  <c r="J20" i="16"/>
  <c r="J49" i="16" l="1"/>
  <c r="H49" i="16"/>
  <c r="F49" i="16"/>
  <c r="L10" i="15"/>
  <c r="I5" i="14" s="1"/>
  <c r="I7" i="14" s="1"/>
  <c r="L13" i="15"/>
  <c r="I8" i="14" s="1"/>
  <c r="L16" i="15"/>
  <c r="I11" i="14" s="1"/>
  <c r="I10" i="14" l="1"/>
  <c r="I13" i="14" s="1"/>
  <c r="L18" i="15"/>
  <c r="F5" i="45" l="1"/>
  <c r="H5" i="45"/>
  <c r="J5" i="45"/>
  <c r="F6" i="45"/>
  <c r="H6" i="45"/>
  <c r="J6" i="45"/>
  <c r="F7" i="45"/>
  <c r="H7" i="45"/>
  <c r="J7" i="45"/>
  <c r="F8" i="45"/>
  <c r="H8" i="45"/>
  <c r="J8" i="45"/>
  <c r="F10" i="45"/>
  <c r="H10" i="45"/>
  <c r="J10" i="45"/>
  <c r="F9" i="45"/>
  <c r="H9" i="45"/>
  <c r="J9" i="45"/>
  <c r="C31" i="44" l="1"/>
  <c r="D31" i="44"/>
  <c r="F31" i="44" l="1"/>
  <c r="M106" i="45"/>
  <c r="J10" i="26" l="1"/>
  <c r="H10" i="26"/>
  <c r="F10" i="26"/>
  <c r="F60" i="45" l="1"/>
  <c r="M67" i="45" l="1"/>
  <c r="K47" i="43" l="1"/>
  <c r="K30" i="43"/>
  <c r="H26" i="43" l="1"/>
  <c r="C14" i="43"/>
  <c r="E15" i="21" l="1"/>
  <c r="F51" i="43" l="1"/>
  <c r="M109" i="45" l="1"/>
  <c r="M33" i="1" l="1"/>
  <c r="K33" i="1"/>
  <c r="M30" i="1"/>
  <c r="M27" i="1"/>
  <c r="K27" i="1"/>
  <c r="M34" i="1" l="1"/>
  <c r="M8" i="28" l="1"/>
  <c r="M6" i="28"/>
  <c r="M5" i="28"/>
  <c r="I15" i="28" l="1"/>
  <c r="G15" i="28"/>
  <c r="E15" i="28"/>
  <c r="D15" i="28"/>
  <c r="C15" i="28"/>
  <c r="I12" i="28"/>
  <c r="M12" i="28" s="1"/>
  <c r="G12" i="28"/>
  <c r="E12" i="28"/>
  <c r="D12" i="28"/>
  <c r="C12" i="28"/>
  <c r="J10" i="28"/>
  <c r="H10" i="28"/>
  <c r="F10" i="28"/>
  <c r="I9" i="28"/>
  <c r="G9" i="28"/>
  <c r="E9" i="28"/>
  <c r="D9" i="28"/>
  <c r="C9" i="28"/>
  <c r="J8" i="28"/>
  <c r="F8" i="28"/>
  <c r="J6" i="28"/>
  <c r="H6" i="28"/>
  <c r="F6" i="28"/>
  <c r="J5" i="28"/>
  <c r="H5" i="28"/>
  <c r="F5" i="28"/>
  <c r="I16" i="23"/>
  <c r="G16" i="23"/>
  <c r="E16" i="23"/>
  <c r="D16" i="23"/>
  <c r="C16" i="23"/>
  <c r="G16" i="28" l="1"/>
  <c r="D16" i="28"/>
  <c r="M16" i="23"/>
  <c r="F9" i="28"/>
  <c r="M9" i="28"/>
  <c r="J12" i="28"/>
  <c r="I16" i="28"/>
  <c r="F12" i="28"/>
  <c r="H12" i="28"/>
  <c r="C16" i="28"/>
  <c r="H9" i="28"/>
  <c r="J9" i="28"/>
  <c r="J16" i="23"/>
  <c r="H16" i="23"/>
  <c r="F16" i="23"/>
  <c r="J15" i="23"/>
  <c r="H15" i="23"/>
  <c r="F15" i="23"/>
  <c r="J14" i="23"/>
  <c r="H14" i="23"/>
  <c r="F14" i="23"/>
  <c r="I13" i="23"/>
  <c r="G13" i="23"/>
  <c r="E13" i="23"/>
  <c r="D13" i="23"/>
  <c r="C13" i="23"/>
  <c r="H16" i="28" l="1"/>
  <c r="J16" i="28"/>
  <c r="H13" i="23"/>
  <c r="M16" i="28"/>
  <c r="J13" i="23"/>
  <c r="F13" i="23"/>
  <c r="J12" i="23"/>
  <c r="H12" i="23"/>
  <c r="F12" i="23"/>
  <c r="J11" i="23"/>
  <c r="H11" i="23"/>
  <c r="F11" i="23"/>
  <c r="I17" i="23"/>
  <c r="G17" i="23"/>
  <c r="E17" i="23"/>
  <c r="D17" i="23"/>
  <c r="M8" i="23"/>
  <c r="J8" i="23"/>
  <c r="H8" i="23"/>
  <c r="F8" i="23"/>
  <c r="M7" i="23"/>
  <c r="J7" i="23"/>
  <c r="H7" i="23"/>
  <c r="F7" i="23"/>
  <c r="J6" i="23"/>
  <c r="H6" i="23"/>
  <c r="F6" i="23"/>
  <c r="M5" i="23"/>
  <c r="J5" i="23"/>
  <c r="H5" i="23"/>
  <c r="F5" i="23"/>
  <c r="I15" i="22"/>
  <c r="G15" i="22"/>
  <c r="E15" i="22"/>
  <c r="D15" i="22"/>
  <c r="C15" i="22"/>
  <c r="I12" i="22"/>
  <c r="M12" i="22" s="1"/>
  <c r="G12" i="22"/>
  <c r="E12" i="22"/>
  <c r="D12" i="22"/>
  <c r="C12" i="22"/>
  <c r="J11" i="22"/>
  <c r="H11" i="22"/>
  <c r="F11" i="22"/>
  <c r="I9" i="22"/>
  <c r="G9" i="22"/>
  <c r="E9" i="22"/>
  <c r="D9" i="22"/>
  <c r="C9" i="22"/>
  <c r="M8" i="22"/>
  <c r="J8" i="22"/>
  <c r="H8" i="22"/>
  <c r="F8" i="22"/>
  <c r="M5" i="22"/>
  <c r="J5" i="22"/>
  <c r="H5" i="22"/>
  <c r="F5" i="22"/>
  <c r="I15" i="21"/>
  <c r="G15" i="21"/>
  <c r="D15" i="21"/>
  <c r="C15" i="21"/>
  <c r="I12" i="21"/>
  <c r="G12" i="21"/>
  <c r="E12" i="21"/>
  <c r="D12" i="21"/>
  <c r="C12" i="21"/>
  <c r="I9" i="21"/>
  <c r="G9" i="21"/>
  <c r="E9" i="21"/>
  <c r="D9" i="21"/>
  <c r="C9" i="21"/>
  <c r="M8" i="21"/>
  <c r="J8" i="21"/>
  <c r="H8" i="21"/>
  <c r="F8" i="21"/>
  <c r="J6" i="21"/>
  <c r="H6" i="21"/>
  <c r="F6" i="21"/>
  <c r="M5" i="21"/>
  <c r="J5" i="21"/>
  <c r="H5" i="21"/>
  <c r="F5" i="21"/>
  <c r="I15" i="27"/>
  <c r="G15" i="27"/>
  <c r="E15" i="27"/>
  <c r="D15" i="27"/>
  <c r="C15" i="27"/>
  <c r="I12" i="27"/>
  <c r="G12" i="27"/>
  <c r="E12" i="27"/>
  <c r="D12" i="27"/>
  <c r="C12" i="27"/>
  <c r="J10" i="27"/>
  <c r="H10" i="27"/>
  <c r="F10" i="27"/>
  <c r="I9" i="27"/>
  <c r="G9" i="27"/>
  <c r="E9" i="27"/>
  <c r="D9" i="27"/>
  <c r="C9" i="27"/>
  <c r="J8" i="27"/>
  <c r="H8" i="27"/>
  <c r="F8" i="27"/>
  <c r="M6" i="27"/>
  <c r="J6" i="27"/>
  <c r="H6" i="27"/>
  <c r="F6" i="27"/>
  <c r="M5" i="27"/>
  <c r="J5" i="27"/>
  <c r="H5" i="27"/>
  <c r="I15" i="26"/>
  <c r="G15" i="26"/>
  <c r="E15" i="26"/>
  <c r="D15" i="26"/>
  <c r="C15" i="26"/>
  <c r="I12" i="26"/>
  <c r="M12" i="26" s="1"/>
  <c r="G12" i="26"/>
  <c r="E12" i="26"/>
  <c r="D12" i="26"/>
  <c r="C12" i="26"/>
  <c r="I9" i="26"/>
  <c r="G9" i="26"/>
  <c r="E9" i="26"/>
  <c r="D9" i="26"/>
  <c r="C9" i="26"/>
  <c r="J8" i="26"/>
  <c r="H8" i="26"/>
  <c r="F8" i="26"/>
  <c r="M6" i="26"/>
  <c r="J6" i="26"/>
  <c r="H6" i="26"/>
  <c r="F6" i="26"/>
  <c r="M5" i="26"/>
  <c r="J5" i="26"/>
  <c r="H5" i="26"/>
  <c r="F5" i="26"/>
  <c r="I15" i="25"/>
  <c r="G15" i="25"/>
  <c r="E15" i="25"/>
  <c r="D15" i="25"/>
  <c r="C15" i="25"/>
  <c r="I12" i="25"/>
  <c r="G12" i="25"/>
  <c r="E12" i="25"/>
  <c r="D12" i="25"/>
  <c r="C12" i="25"/>
  <c r="J10" i="25"/>
  <c r="H10" i="25"/>
  <c r="F10" i="25"/>
  <c r="I9" i="25"/>
  <c r="G9" i="25"/>
  <c r="E9" i="25"/>
  <c r="D9" i="25"/>
  <c r="J8" i="25"/>
  <c r="H8" i="25"/>
  <c r="F8" i="25"/>
  <c r="J6" i="25"/>
  <c r="H6" i="25"/>
  <c r="F6" i="25"/>
  <c r="J5" i="25"/>
  <c r="H5" i="25"/>
  <c r="F5" i="25"/>
  <c r="I16" i="24"/>
  <c r="G16" i="24"/>
  <c r="E16" i="24"/>
  <c r="D16" i="24"/>
  <c r="C16" i="24"/>
  <c r="I13" i="24"/>
  <c r="G13" i="24"/>
  <c r="E13" i="24"/>
  <c r="D13" i="24"/>
  <c r="C13" i="24"/>
  <c r="M8" i="24"/>
  <c r="J8" i="24"/>
  <c r="H8" i="24"/>
  <c r="F8" i="24"/>
  <c r="J6" i="24"/>
  <c r="H6" i="24"/>
  <c r="F6" i="24"/>
  <c r="M5" i="24"/>
  <c r="J5" i="24"/>
  <c r="H5" i="24"/>
  <c r="F5" i="24"/>
  <c r="I15" i="20"/>
  <c r="G15" i="20"/>
  <c r="E15" i="20"/>
  <c r="D15" i="20"/>
  <c r="C15" i="20"/>
  <c r="I12" i="20"/>
  <c r="G12" i="20"/>
  <c r="E12" i="20"/>
  <c r="D12" i="20"/>
  <c r="C12" i="20"/>
  <c r="E9" i="20"/>
  <c r="D9" i="20"/>
  <c r="C9" i="20"/>
  <c r="M8" i="20"/>
  <c r="H8" i="20"/>
  <c r="F8" i="20"/>
  <c r="M6" i="20"/>
  <c r="H6" i="20"/>
  <c r="F6" i="20"/>
  <c r="M5" i="20"/>
  <c r="H5" i="20"/>
  <c r="F5" i="20"/>
  <c r="K55" i="13"/>
  <c r="I55" i="13"/>
  <c r="G55" i="13"/>
  <c r="E55" i="13"/>
  <c r="D55" i="13"/>
  <c r="F12" i="21" l="1"/>
  <c r="J12" i="21"/>
  <c r="H12" i="21"/>
  <c r="D16" i="20"/>
  <c r="E16" i="22"/>
  <c r="D13" i="42" s="1"/>
  <c r="E16" i="27"/>
  <c r="D11" i="42" s="1"/>
  <c r="F13" i="24"/>
  <c r="I16" i="20"/>
  <c r="G16" i="20"/>
  <c r="E16" i="20"/>
  <c r="F16" i="20" s="1"/>
  <c r="J13" i="24"/>
  <c r="H13" i="24"/>
  <c r="M9" i="25"/>
  <c r="J12" i="25"/>
  <c r="F12" i="26"/>
  <c r="H12" i="26"/>
  <c r="J12" i="26"/>
  <c r="F9" i="21"/>
  <c r="E16" i="26"/>
  <c r="D16" i="26"/>
  <c r="F55" i="13"/>
  <c r="M55" i="13"/>
  <c r="F12" i="20"/>
  <c r="I16" i="26"/>
  <c r="J16" i="26" s="1"/>
  <c r="F12" i="25"/>
  <c r="J12" i="22"/>
  <c r="D16" i="21"/>
  <c r="C12" i="42" s="1"/>
  <c r="H12" i="20"/>
  <c r="J12" i="20"/>
  <c r="M17" i="23"/>
  <c r="M10" i="23"/>
  <c r="D14" i="42"/>
  <c r="F17" i="23"/>
  <c r="C17" i="23"/>
  <c r="B14" i="42" s="1"/>
  <c r="C14" i="42"/>
  <c r="J17" i="23"/>
  <c r="H17" i="23"/>
  <c r="F10" i="23"/>
  <c r="H10" i="23"/>
  <c r="J10" i="23"/>
  <c r="M9" i="22"/>
  <c r="J9" i="22"/>
  <c r="F12" i="22"/>
  <c r="H12" i="22"/>
  <c r="D16" i="22"/>
  <c r="F9" i="22"/>
  <c r="H9" i="22"/>
  <c r="M9" i="21"/>
  <c r="C16" i="21"/>
  <c r="E16" i="21"/>
  <c r="H9" i="21"/>
  <c r="J9" i="21"/>
  <c r="M9" i="27"/>
  <c r="J12" i="27"/>
  <c r="J9" i="27"/>
  <c r="F12" i="27"/>
  <c r="H12" i="27"/>
  <c r="D16" i="27"/>
  <c r="F9" i="27"/>
  <c r="H9" i="27"/>
  <c r="M9" i="26"/>
  <c r="C16" i="26"/>
  <c r="D10" i="42"/>
  <c r="J9" i="26"/>
  <c r="F9" i="26"/>
  <c r="H9" i="26"/>
  <c r="J9" i="25"/>
  <c r="H12" i="25"/>
  <c r="F9" i="25"/>
  <c r="H9" i="25"/>
  <c r="M10" i="24"/>
  <c r="J10" i="24"/>
  <c r="F10" i="24"/>
  <c r="H10" i="24"/>
  <c r="H7" i="42"/>
  <c r="J9" i="20"/>
  <c r="M9" i="20"/>
  <c r="F9" i="20"/>
  <c r="H9" i="20"/>
  <c r="J55" i="13"/>
  <c r="H55" i="13"/>
  <c r="M54" i="13"/>
  <c r="J54" i="13"/>
  <c r="H54" i="13"/>
  <c r="F54" i="13"/>
  <c r="M53" i="13"/>
  <c r="J53" i="13"/>
  <c r="H53" i="13"/>
  <c r="F53" i="13"/>
  <c r="M52" i="13"/>
  <c r="J52" i="13"/>
  <c r="H52" i="13"/>
  <c r="F52" i="13"/>
  <c r="M51" i="13"/>
  <c r="J51" i="13"/>
  <c r="H51" i="13"/>
  <c r="F51" i="13"/>
  <c r="M50" i="13"/>
  <c r="J50" i="13"/>
  <c r="H50" i="13"/>
  <c r="F50" i="13"/>
  <c r="M49" i="13"/>
  <c r="J49" i="13"/>
  <c r="H49" i="13"/>
  <c r="F49" i="13"/>
  <c r="M48" i="13"/>
  <c r="J48" i="13"/>
  <c r="H48" i="13"/>
  <c r="F48" i="13"/>
  <c r="M47" i="13"/>
  <c r="J47" i="13"/>
  <c r="H47" i="13"/>
  <c r="F47" i="13"/>
  <c r="M46" i="13"/>
  <c r="J46" i="13"/>
  <c r="H46" i="13"/>
  <c r="F46" i="13"/>
  <c r="M45" i="13"/>
  <c r="J45" i="13"/>
  <c r="H45" i="13"/>
  <c r="F45" i="13"/>
  <c r="I44" i="13"/>
  <c r="I56" i="13" s="1"/>
  <c r="G44" i="13"/>
  <c r="G56" i="13" s="1"/>
  <c r="E44" i="13"/>
  <c r="D44" i="13"/>
  <c r="D56" i="13" s="1"/>
  <c r="M42" i="13"/>
  <c r="J42" i="13"/>
  <c r="H42" i="13"/>
  <c r="F42" i="13"/>
  <c r="J43" i="13"/>
  <c r="H43" i="13"/>
  <c r="F43" i="13"/>
  <c r="M41" i="13"/>
  <c r="J41" i="13"/>
  <c r="H41" i="13"/>
  <c r="F41" i="13"/>
  <c r="M37" i="13"/>
  <c r="J37" i="13"/>
  <c r="H37" i="13"/>
  <c r="F37" i="13"/>
  <c r="M36" i="13"/>
  <c r="J36" i="13"/>
  <c r="F36" i="13"/>
  <c r="J38" i="13"/>
  <c r="H38" i="13"/>
  <c r="F38" i="13"/>
  <c r="M35" i="13"/>
  <c r="J35" i="13"/>
  <c r="F35" i="13"/>
  <c r="M34" i="13"/>
  <c r="J34" i="13"/>
  <c r="H34" i="13"/>
  <c r="F34" i="13"/>
  <c r="K26" i="13"/>
  <c r="I26" i="13"/>
  <c r="G26" i="13"/>
  <c r="F15" i="42" s="1"/>
  <c r="E26" i="13"/>
  <c r="D26" i="13"/>
  <c r="C15" i="42" s="1"/>
  <c r="C26" i="13"/>
  <c r="M25" i="13"/>
  <c r="J25" i="13"/>
  <c r="H25" i="13"/>
  <c r="F25" i="13"/>
  <c r="M24" i="13"/>
  <c r="J24" i="13"/>
  <c r="H24" i="13"/>
  <c r="F24" i="13"/>
  <c r="M23" i="13"/>
  <c r="J23" i="13"/>
  <c r="H23" i="13"/>
  <c r="F23" i="13"/>
  <c r="M22" i="13"/>
  <c r="J22" i="13"/>
  <c r="H22" i="13"/>
  <c r="F22" i="13"/>
  <c r="M21" i="13"/>
  <c r="J21" i="13"/>
  <c r="H21" i="13"/>
  <c r="F21" i="13"/>
  <c r="M20" i="13"/>
  <c r="J20" i="13"/>
  <c r="H20" i="13"/>
  <c r="F20" i="13"/>
  <c r="M19" i="13"/>
  <c r="J19" i="13"/>
  <c r="H19" i="13"/>
  <c r="F19" i="13"/>
  <c r="M18" i="13"/>
  <c r="J18" i="13"/>
  <c r="H18" i="13"/>
  <c r="F18" i="13"/>
  <c r="M17" i="13"/>
  <c r="J17" i="13"/>
  <c r="H17" i="13"/>
  <c r="F17" i="13"/>
  <c r="M16" i="13"/>
  <c r="J16" i="13"/>
  <c r="H16" i="13"/>
  <c r="F16" i="13"/>
  <c r="K27" i="13"/>
  <c r="I15" i="13"/>
  <c r="G15" i="13"/>
  <c r="E27" i="13"/>
  <c r="D15" i="13"/>
  <c r="C15" i="13"/>
  <c r="J13" i="13"/>
  <c r="H13" i="13"/>
  <c r="F13" i="13"/>
  <c r="J14" i="13"/>
  <c r="H14" i="13"/>
  <c r="F14" i="13"/>
  <c r="J12" i="13"/>
  <c r="H12" i="13"/>
  <c r="F12" i="13"/>
  <c r="J8" i="13"/>
  <c r="H8" i="13"/>
  <c r="F8" i="13"/>
  <c r="J7" i="13"/>
  <c r="H7" i="13"/>
  <c r="F7" i="13"/>
  <c r="J9" i="13"/>
  <c r="H9" i="13"/>
  <c r="F9" i="13"/>
  <c r="M6" i="13"/>
  <c r="J6" i="13"/>
  <c r="H6" i="13"/>
  <c r="F6" i="13"/>
  <c r="M5" i="13"/>
  <c r="J5" i="13"/>
  <c r="H5" i="13"/>
  <c r="F5" i="13"/>
  <c r="C10" i="42" l="1"/>
  <c r="H10" i="42"/>
  <c r="D7" i="42"/>
  <c r="F7" i="42"/>
  <c r="M16" i="20"/>
  <c r="F16" i="26"/>
  <c r="F44" i="13"/>
  <c r="M16" i="26"/>
  <c r="B10" i="42"/>
  <c r="B12" i="42"/>
  <c r="I27" i="13"/>
  <c r="B15" i="42"/>
  <c r="H14" i="42" s="1"/>
  <c r="F14" i="42" s="1"/>
  <c r="C16" i="22"/>
  <c r="B13" i="42" s="1"/>
  <c r="C13" i="42"/>
  <c r="F16" i="22"/>
  <c r="D12" i="42"/>
  <c r="F16" i="21"/>
  <c r="C16" i="27"/>
  <c r="B11" i="42" s="1"/>
  <c r="C11" i="42"/>
  <c r="F16" i="27"/>
  <c r="C16" i="20"/>
  <c r="B7" i="42" s="1"/>
  <c r="J16" i="20"/>
  <c r="H16" i="20"/>
  <c r="C7" i="42"/>
  <c r="J15" i="13"/>
  <c r="M15" i="13"/>
  <c r="G27" i="13"/>
  <c r="J56" i="13"/>
  <c r="H56" i="13"/>
  <c r="H44" i="13"/>
  <c r="J44" i="13"/>
  <c r="F26" i="13"/>
  <c r="H26" i="13"/>
  <c r="J26" i="13"/>
  <c r="D27" i="13"/>
  <c r="F15" i="13"/>
  <c r="H15" i="13"/>
  <c r="M27" i="13" l="1"/>
  <c r="K44" i="13"/>
  <c r="C27" i="13"/>
  <c r="J27" i="13"/>
  <c r="H27" i="13"/>
  <c r="F27" i="13"/>
  <c r="M73" i="16"/>
  <c r="J73" i="16"/>
  <c r="H73" i="16"/>
  <c r="F73" i="16"/>
  <c r="M72" i="16"/>
  <c r="J72" i="16"/>
  <c r="H72" i="16"/>
  <c r="F72" i="16"/>
  <c r="M71" i="16"/>
  <c r="J71" i="16"/>
  <c r="H71" i="16"/>
  <c r="F71" i="16"/>
  <c r="M70" i="16"/>
  <c r="J70" i="16"/>
  <c r="H70" i="16"/>
  <c r="F70" i="16"/>
  <c r="J69" i="16"/>
  <c r="H69" i="16"/>
  <c r="F69" i="16"/>
  <c r="J68" i="16"/>
  <c r="H68" i="16"/>
  <c r="F68" i="16"/>
  <c r="M67" i="16"/>
  <c r="J67" i="16"/>
  <c r="H67" i="16"/>
  <c r="F67" i="16"/>
  <c r="M66" i="16"/>
  <c r="J66" i="16"/>
  <c r="H66" i="16"/>
  <c r="F66" i="16"/>
  <c r="J65" i="16"/>
  <c r="H65" i="16"/>
  <c r="F65" i="16"/>
  <c r="M64" i="16"/>
  <c r="J64" i="16"/>
  <c r="H64" i="16"/>
  <c r="F64" i="16"/>
  <c r="M63" i="16"/>
  <c r="J63" i="16"/>
  <c r="H63" i="16"/>
  <c r="F63" i="16"/>
  <c r="M62" i="16"/>
  <c r="J62" i="16"/>
  <c r="H62" i="16"/>
  <c r="F62" i="16"/>
  <c r="J60" i="16"/>
  <c r="H60" i="16"/>
  <c r="F60" i="16"/>
  <c r="M58" i="16"/>
  <c r="J58" i="16"/>
  <c r="H58" i="16"/>
  <c r="F58" i="16"/>
  <c r="M56" i="16"/>
  <c r="J56" i="16"/>
  <c r="H56" i="16"/>
  <c r="F56" i="16"/>
  <c r="M55" i="16"/>
  <c r="J55" i="16"/>
  <c r="H55" i="16"/>
  <c r="F55" i="16"/>
  <c r="J50" i="16"/>
  <c r="H50" i="16"/>
  <c r="F50" i="16"/>
  <c r="J45" i="16"/>
  <c r="H45" i="16"/>
  <c r="F45" i="16"/>
  <c r="J44" i="16"/>
  <c r="H44" i="16"/>
  <c r="F44" i="16"/>
  <c r="J36" i="16"/>
  <c r="H36" i="16"/>
  <c r="F36" i="16"/>
  <c r="M31" i="16"/>
  <c r="J31" i="16"/>
  <c r="H31" i="16"/>
  <c r="F31" i="16"/>
  <c r="M30" i="16"/>
  <c r="J30" i="16"/>
  <c r="H30" i="16"/>
  <c r="F30" i="16"/>
  <c r="M29" i="16"/>
  <c r="J29" i="16"/>
  <c r="H29" i="16"/>
  <c r="F29" i="16"/>
  <c r="M28" i="16"/>
  <c r="J28" i="16"/>
  <c r="H28" i="16"/>
  <c r="F28" i="16"/>
  <c r="J26" i="16"/>
  <c r="H26" i="16"/>
  <c r="F26" i="16"/>
  <c r="J24" i="16"/>
  <c r="H24" i="16"/>
  <c r="F24" i="16"/>
  <c r="J23" i="16"/>
  <c r="H23" i="16"/>
  <c r="F23" i="16"/>
  <c r="J22" i="16"/>
  <c r="H22" i="16"/>
  <c r="F22" i="16"/>
  <c r="J21" i="16"/>
  <c r="H20" i="16"/>
  <c r="F20" i="16"/>
  <c r="H19" i="16"/>
  <c r="F19" i="16"/>
  <c r="M16" i="16"/>
  <c r="H16" i="16"/>
  <c r="F16" i="16"/>
  <c r="M14" i="16"/>
  <c r="H14" i="16"/>
  <c r="F14" i="16"/>
  <c r="H13" i="16"/>
  <c r="F13" i="16"/>
  <c r="H11" i="16"/>
  <c r="F11" i="16"/>
  <c r="M9" i="16"/>
  <c r="M8" i="16"/>
  <c r="F8" i="16"/>
  <c r="M7" i="16"/>
  <c r="H7" i="16"/>
  <c r="F7" i="16"/>
  <c r="I6" i="16"/>
  <c r="I76" i="16" s="1"/>
  <c r="D6" i="16"/>
  <c r="D76" i="16" s="1"/>
  <c r="C6" i="16"/>
  <c r="C76" i="16" s="1"/>
  <c r="M5" i="16"/>
  <c r="H5" i="16"/>
  <c r="F5" i="16"/>
  <c r="K56" i="13" l="1"/>
  <c r="M56" i="13" s="1"/>
  <c r="M43" i="13"/>
  <c r="J6" i="16"/>
  <c r="F75" i="16"/>
  <c r="M26" i="13"/>
  <c r="M44" i="13"/>
  <c r="F27" i="16"/>
  <c r="F6" i="16"/>
  <c r="M6" i="16"/>
  <c r="M27" i="16"/>
  <c r="M153" i="16"/>
  <c r="J75" i="16"/>
  <c r="J61" i="16"/>
  <c r="M61" i="16"/>
  <c r="M34" i="16"/>
  <c r="J27" i="16"/>
  <c r="H75" i="16"/>
  <c r="F61" i="16"/>
  <c r="H61" i="16"/>
  <c r="H27" i="16"/>
  <c r="H6" i="16"/>
  <c r="J125" i="45"/>
  <c r="H125" i="45"/>
  <c r="F125" i="45"/>
  <c r="M124" i="45"/>
  <c r="J124" i="45"/>
  <c r="H124" i="45"/>
  <c r="F124" i="45"/>
  <c r="M122" i="45"/>
  <c r="F122" i="45"/>
  <c r="F116" i="45"/>
  <c r="F118" i="45"/>
  <c r="F117" i="45"/>
  <c r="F115" i="45"/>
  <c r="F113" i="45"/>
  <c r="M120" i="45"/>
  <c r="F120" i="45"/>
  <c r="F119" i="45"/>
  <c r="H109" i="45"/>
  <c r="F109" i="45"/>
  <c r="M108" i="45"/>
  <c r="H108" i="45"/>
  <c r="F108" i="45"/>
  <c r="H106" i="45"/>
  <c r="F106" i="45"/>
  <c r="H105" i="45"/>
  <c r="F105" i="45"/>
  <c r="F76" i="16" l="1"/>
  <c r="J76" i="16"/>
  <c r="H76" i="16"/>
  <c r="F127" i="45"/>
  <c r="M75" i="16"/>
  <c r="M127" i="45"/>
  <c r="J127" i="45"/>
  <c r="H127" i="45"/>
  <c r="I98" i="45" l="1"/>
  <c r="G98" i="45"/>
  <c r="G128" i="45" s="1"/>
  <c r="E98" i="45"/>
  <c r="E128" i="45" s="1"/>
  <c r="C98" i="45"/>
  <c r="C128" i="45" s="1"/>
  <c r="J93" i="45"/>
  <c r="J87" i="45"/>
  <c r="H87" i="45"/>
  <c r="F87" i="45"/>
  <c r="H84" i="45"/>
  <c r="F84" i="45"/>
  <c r="H83" i="45"/>
  <c r="F83" i="45"/>
  <c r="H82" i="45"/>
  <c r="F82" i="45"/>
  <c r="M81" i="45"/>
  <c r="J81" i="45"/>
  <c r="H81" i="45"/>
  <c r="F81" i="45"/>
  <c r="M80" i="45"/>
  <c r="J80" i="45"/>
  <c r="H80" i="45"/>
  <c r="F80" i="45"/>
  <c r="H79" i="45"/>
  <c r="F79" i="45"/>
  <c r="F128" i="45" l="1"/>
  <c r="I128" i="45"/>
  <c r="M98" i="45"/>
  <c r="H128" i="45"/>
  <c r="F98" i="45"/>
  <c r="H98" i="45"/>
  <c r="J98" i="45"/>
  <c r="J78" i="45"/>
  <c r="H78" i="45"/>
  <c r="F78" i="45"/>
  <c r="H77" i="45"/>
  <c r="F77" i="45"/>
  <c r="M76" i="45"/>
  <c r="J76" i="45"/>
  <c r="H76" i="45"/>
  <c r="F76" i="45"/>
  <c r="M75" i="45"/>
  <c r="H75" i="45"/>
  <c r="F75" i="45"/>
  <c r="M74" i="45"/>
  <c r="J74" i="45"/>
  <c r="H74" i="45"/>
  <c r="H73" i="45"/>
  <c r="J71" i="45"/>
  <c r="H71" i="45"/>
  <c r="F71" i="45"/>
  <c r="M70" i="45"/>
  <c r="J70" i="45"/>
  <c r="H70" i="45"/>
  <c r="F70" i="45"/>
  <c r="M69" i="45"/>
  <c r="J69" i="45"/>
  <c r="H69" i="45"/>
  <c r="F69" i="45"/>
  <c r="H68" i="45"/>
  <c r="F68" i="45"/>
  <c r="J67" i="45"/>
  <c r="H67" i="45"/>
  <c r="F67" i="45"/>
  <c r="M128" i="45" l="1"/>
  <c r="J128" i="45"/>
  <c r="I61" i="45"/>
  <c r="M61" i="45" s="1"/>
  <c r="G61" i="45"/>
  <c r="E61" i="45"/>
  <c r="D61" i="45"/>
  <c r="C61" i="45"/>
  <c r="J60" i="45"/>
  <c r="H60" i="45"/>
  <c r="F61" i="45" l="1"/>
  <c r="J61" i="45"/>
  <c r="H61" i="45"/>
  <c r="J59" i="45"/>
  <c r="H59" i="45"/>
  <c r="F59" i="45"/>
  <c r="M58" i="45"/>
  <c r="J58" i="45"/>
  <c r="H58" i="45"/>
  <c r="F58" i="45"/>
  <c r="I57" i="45"/>
  <c r="G57" i="45"/>
  <c r="E57" i="45"/>
  <c r="D57" i="45"/>
  <c r="F55" i="45"/>
  <c r="M54" i="45"/>
  <c r="J54" i="45"/>
  <c r="H54" i="45"/>
  <c r="F54" i="45"/>
  <c r="M53" i="45"/>
  <c r="J53" i="45"/>
  <c r="H53" i="45"/>
  <c r="F53" i="45"/>
  <c r="H52" i="45"/>
  <c r="F52" i="45"/>
  <c r="H50" i="45"/>
  <c r="F50" i="45"/>
  <c r="H51" i="45"/>
  <c r="F51" i="45"/>
  <c r="J41" i="45"/>
  <c r="H41" i="45"/>
  <c r="F41" i="45"/>
  <c r="H45" i="45"/>
  <c r="F45" i="45"/>
  <c r="F43" i="45"/>
  <c r="H35" i="45"/>
  <c r="F35" i="45"/>
  <c r="J34" i="45"/>
  <c r="H34" i="45"/>
  <c r="F34" i="45"/>
  <c r="H33" i="45"/>
  <c r="F33" i="45"/>
  <c r="F32" i="45"/>
  <c r="H31" i="45"/>
  <c r="F31" i="45"/>
  <c r="M30" i="45"/>
  <c r="J30" i="45"/>
  <c r="H30" i="45"/>
  <c r="F30" i="45"/>
  <c r="M29" i="45"/>
  <c r="J29" i="45"/>
  <c r="H29" i="45"/>
  <c r="F29" i="45"/>
  <c r="J28" i="45"/>
  <c r="H28" i="45"/>
  <c r="F28" i="45"/>
  <c r="J27" i="45"/>
  <c r="H27" i="45"/>
  <c r="F27" i="45"/>
  <c r="M26" i="45"/>
  <c r="J26" i="45"/>
  <c r="H26" i="45"/>
  <c r="F26" i="45"/>
  <c r="J25" i="45"/>
  <c r="H25" i="45"/>
  <c r="F25" i="45"/>
  <c r="H24" i="45"/>
  <c r="F24" i="45"/>
  <c r="F23" i="45"/>
  <c r="H22" i="45"/>
  <c r="F22" i="45"/>
  <c r="J21" i="45"/>
  <c r="H21" i="45"/>
  <c r="F21" i="45"/>
  <c r="M20" i="45"/>
  <c r="H20" i="45"/>
  <c r="F20" i="45"/>
  <c r="H19" i="45"/>
  <c r="F19" i="45"/>
  <c r="H16" i="45"/>
  <c r="H15" i="45"/>
  <c r="F15" i="45"/>
  <c r="M14" i="45"/>
  <c r="J14" i="45"/>
  <c r="H14" i="45"/>
  <c r="F14" i="45"/>
  <c r="M13" i="45"/>
  <c r="J13" i="45"/>
  <c r="H13" i="45"/>
  <c r="F13" i="45"/>
  <c r="M12" i="45"/>
  <c r="J12" i="45"/>
  <c r="H12" i="45"/>
  <c r="F12" i="45"/>
  <c r="I11" i="45"/>
  <c r="G11" i="45"/>
  <c r="E11" i="45"/>
  <c r="D11" i="45"/>
  <c r="C11" i="45"/>
  <c r="M9" i="45"/>
  <c r="M10" i="45"/>
  <c r="M8" i="45"/>
  <c r="M7" i="45"/>
  <c r="M6" i="45"/>
  <c r="M5" i="45"/>
  <c r="I33" i="1"/>
  <c r="E33" i="1"/>
  <c r="D33" i="1"/>
  <c r="C33" i="1"/>
  <c r="I30" i="1"/>
  <c r="E30" i="1"/>
  <c r="D30" i="1"/>
  <c r="C30" i="1"/>
  <c r="K16" i="1"/>
  <c r="H12" i="14" s="1"/>
  <c r="J12" i="14" s="1"/>
  <c r="I16" i="1"/>
  <c r="E16" i="1"/>
  <c r="C16" i="1"/>
  <c r="M15" i="1"/>
  <c r="J15" i="1"/>
  <c r="H15" i="1"/>
  <c r="M14" i="1"/>
  <c r="K13" i="1"/>
  <c r="H9" i="14" s="1"/>
  <c r="I13" i="1"/>
  <c r="E13" i="1"/>
  <c r="C13" i="1"/>
  <c r="M12" i="1"/>
  <c r="J12" i="1"/>
  <c r="H12" i="1"/>
  <c r="P11" i="1"/>
  <c r="M11" i="1"/>
  <c r="J11" i="1"/>
  <c r="H11" i="1"/>
  <c r="K10" i="1"/>
  <c r="H6" i="14" s="1"/>
  <c r="J6" i="14" s="1"/>
  <c r="G17" i="1"/>
  <c r="P8" i="1"/>
  <c r="M8" i="1"/>
  <c r="J8" i="1"/>
  <c r="P7" i="1"/>
  <c r="M7" i="1"/>
  <c r="J7" i="1"/>
  <c r="H7" i="1"/>
  <c r="P6" i="1"/>
  <c r="M6" i="1"/>
  <c r="J6" i="1"/>
  <c r="H6" i="1"/>
  <c r="M5" i="1"/>
  <c r="J5" i="1"/>
  <c r="H5" i="1"/>
  <c r="O27" i="1" l="1"/>
  <c r="C129" i="45"/>
  <c r="O33" i="1"/>
  <c r="P33" i="1" s="1"/>
  <c r="D129" i="45"/>
  <c r="E129" i="45"/>
  <c r="P16" i="1"/>
  <c r="E17" i="1"/>
  <c r="F9" i="1" s="1"/>
  <c r="C17" i="1"/>
  <c r="D9" i="1" s="1"/>
  <c r="H16" i="1"/>
  <c r="H13" i="1"/>
  <c r="G129" i="45"/>
  <c r="K17" i="1"/>
  <c r="F57" i="45"/>
  <c r="I17" i="1"/>
  <c r="F5" i="42" s="1"/>
  <c r="J57" i="45"/>
  <c r="M57" i="45"/>
  <c r="M11" i="45"/>
  <c r="H57" i="45"/>
  <c r="F11" i="45"/>
  <c r="H11" i="45"/>
  <c r="J11" i="45"/>
  <c r="M16" i="1"/>
  <c r="P13" i="1"/>
  <c r="M13" i="1"/>
  <c r="P10" i="1"/>
  <c r="P29" i="1"/>
  <c r="P28" i="1"/>
  <c r="J16" i="1"/>
  <c r="J13" i="1"/>
  <c r="H10" i="1"/>
  <c r="J10" i="1"/>
  <c r="M10" i="1"/>
  <c r="K29" i="44"/>
  <c r="H29" i="44"/>
  <c r="F29" i="44"/>
  <c r="K28" i="44"/>
  <c r="L16" i="1" l="1"/>
  <c r="D5" i="1"/>
  <c r="D7" i="1"/>
  <c r="D6" i="1"/>
  <c r="D8" i="1"/>
  <c r="H129" i="45"/>
  <c r="F129" i="45"/>
  <c r="F10" i="1"/>
  <c r="P27" i="1"/>
  <c r="C6" i="42"/>
  <c r="C5" i="42"/>
  <c r="F16" i="1"/>
  <c r="H17" i="1"/>
  <c r="F13" i="1"/>
  <c r="D6" i="42"/>
  <c r="H6" i="42"/>
  <c r="L7" i="1"/>
  <c r="L5" i="1"/>
  <c r="L15" i="1"/>
  <c r="L13" i="1"/>
  <c r="L11" i="1"/>
  <c r="L8" i="1"/>
  <c r="L6" i="1"/>
  <c r="L10" i="1"/>
  <c r="F14" i="1"/>
  <c r="F12" i="1"/>
  <c r="F7" i="1"/>
  <c r="F5" i="1"/>
  <c r="F15" i="1"/>
  <c r="F11" i="1"/>
  <c r="F8" i="1"/>
  <c r="F6" i="1"/>
  <c r="B5" i="42"/>
  <c r="D14" i="1"/>
  <c r="D12" i="1"/>
  <c r="D15" i="1"/>
  <c r="D11" i="1"/>
  <c r="D13" i="1"/>
  <c r="D16" i="1"/>
  <c r="D10" i="1"/>
  <c r="B6" i="42"/>
  <c r="M17" i="1"/>
  <c r="F6" i="42"/>
  <c r="P17" i="1"/>
  <c r="J17" i="1"/>
  <c r="K31" i="44"/>
  <c r="H31" i="44"/>
  <c r="E16" i="44" l="1"/>
  <c r="D16" i="44"/>
  <c r="C16" i="44"/>
  <c r="E8" i="44"/>
  <c r="D8" i="44"/>
  <c r="C8" i="44"/>
  <c r="D17" i="44" l="1"/>
  <c r="E17" i="44"/>
  <c r="C17" i="44"/>
  <c r="K66" i="43"/>
  <c r="G66" i="43"/>
  <c r="C66" i="43"/>
  <c r="K64" i="43"/>
  <c r="H64" i="43"/>
  <c r="F64" i="43"/>
  <c r="K63" i="43"/>
  <c r="H63" i="43"/>
  <c r="F63" i="43"/>
  <c r="K62" i="43"/>
  <c r="F62" i="43"/>
  <c r="K61" i="43"/>
  <c r="H61" i="43"/>
  <c r="F61" i="43"/>
  <c r="K60" i="43"/>
  <c r="H60" i="43"/>
  <c r="F60" i="43"/>
  <c r="G59" i="43"/>
  <c r="E59" i="43"/>
  <c r="E67" i="43" s="1"/>
  <c r="C59" i="43"/>
  <c r="F58" i="43"/>
  <c r="K55" i="43"/>
  <c r="F55" i="43"/>
  <c r="K59" i="43" l="1"/>
  <c r="H66" i="43"/>
  <c r="F66" i="43"/>
  <c r="F59" i="43"/>
  <c r="H59" i="43"/>
  <c r="H47" i="43"/>
  <c r="F47" i="43"/>
  <c r="F42" i="43" l="1"/>
  <c r="G37" i="43" l="1"/>
  <c r="D37" i="43" l="1"/>
  <c r="C37" i="43"/>
  <c r="K36" i="43"/>
  <c r="H36" i="43"/>
  <c r="F36" i="43"/>
  <c r="K33" i="43"/>
  <c r="F33" i="43"/>
  <c r="K32" i="43"/>
  <c r="F32" i="43"/>
  <c r="K31" i="43"/>
  <c r="F31" i="43"/>
  <c r="H30" i="43"/>
  <c r="F30" i="43"/>
  <c r="K29" i="43"/>
  <c r="F29" i="43"/>
  <c r="K28" i="43"/>
  <c r="F28" i="43"/>
  <c r="F27" i="43"/>
  <c r="K26" i="43"/>
  <c r="F37" i="43" l="1"/>
  <c r="K37" i="43"/>
  <c r="H37" i="43"/>
  <c r="F26" i="43"/>
  <c r="K25" i="43"/>
  <c r="F25" i="43"/>
  <c r="F24" i="43"/>
  <c r="K23" i="43"/>
  <c r="F23" i="43"/>
  <c r="K22" i="43"/>
  <c r="F22" i="43"/>
  <c r="F21" i="43"/>
  <c r="K20" i="43"/>
  <c r="F20" i="43"/>
  <c r="K19" i="43"/>
  <c r="F19" i="43"/>
  <c r="K18" i="43"/>
  <c r="F18" i="43"/>
  <c r="F16" i="43"/>
  <c r="F15" i="43"/>
  <c r="G14" i="43"/>
  <c r="K13" i="43"/>
  <c r="H13" i="43"/>
  <c r="F13" i="43"/>
  <c r="K12" i="43"/>
  <c r="F12" i="43"/>
  <c r="G11" i="43"/>
  <c r="D67" i="43"/>
  <c r="C11" i="43"/>
  <c r="F10" i="43"/>
  <c r="F8" i="43"/>
  <c r="K7" i="43"/>
  <c r="F7" i="43"/>
  <c r="K6" i="43"/>
  <c r="F6" i="43"/>
  <c r="K67" i="43" l="1"/>
  <c r="G67" i="43"/>
  <c r="H67" i="43" s="1"/>
  <c r="C67" i="43"/>
  <c r="K14" i="43"/>
  <c r="F14" i="43"/>
  <c r="H14" i="43"/>
  <c r="F11" i="43"/>
  <c r="K11" i="43"/>
  <c r="F67" i="43"/>
  <c r="J16" i="15"/>
  <c r="G16" i="15"/>
  <c r="H11" i="14" s="1"/>
  <c r="J11" i="14" s="1"/>
  <c r="E16" i="15"/>
  <c r="N15" i="15"/>
  <c r="K15" i="15"/>
  <c r="I15" i="15"/>
  <c r="K16" i="15" l="1"/>
  <c r="I16" i="15"/>
  <c r="J13" i="15"/>
  <c r="G13" i="15"/>
  <c r="H8" i="14" s="1"/>
  <c r="I11" i="15"/>
  <c r="J10" i="15"/>
  <c r="G10" i="15"/>
  <c r="H5" i="14" s="1"/>
  <c r="N9" i="15"/>
  <c r="N8" i="15"/>
  <c r="N7" i="15"/>
  <c r="N6" i="15"/>
  <c r="N5" i="15"/>
  <c r="H7" i="14" l="1"/>
  <c r="J5" i="14"/>
  <c r="J18" i="15"/>
  <c r="I13" i="15"/>
  <c r="G18" i="15"/>
  <c r="E18" i="15"/>
  <c r="F17" i="15" s="1"/>
  <c r="K10" i="15"/>
  <c r="I10" i="15"/>
  <c r="N10" i="15"/>
  <c r="F17" i="14"/>
  <c r="J7" i="14" l="1"/>
  <c r="H10" i="14"/>
  <c r="H10" i="15"/>
  <c r="H6" i="15"/>
  <c r="H8" i="15"/>
  <c r="H5" i="15"/>
  <c r="H7" i="15"/>
  <c r="H9" i="15"/>
  <c r="F15" i="15"/>
  <c r="F7" i="15"/>
  <c r="F9" i="15"/>
  <c r="F14" i="15"/>
  <c r="F6" i="15"/>
  <c r="F8" i="15"/>
  <c r="F5" i="15"/>
  <c r="F10" i="15"/>
  <c r="I18" i="15"/>
  <c r="C4" i="42"/>
  <c r="H13" i="15"/>
  <c r="H12" i="15"/>
  <c r="H15" i="15"/>
  <c r="H16" i="15"/>
  <c r="H11" i="15"/>
  <c r="F16" i="15"/>
  <c r="F13" i="15"/>
  <c r="F11" i="15"/>
  <c r="F12" i="15"/>
  <c r="E17" i="14"/>
  <c r="H17" i="14"/>
  <c r="E18" i="14"/>
  <c r="G18" i="14"/>
  <c r="D17" i="14"/>
  <c r="H13" i="14" l="1"/>
  <c r="J13" i="14" s="1"/>
  <c r="J10" i="14"/>
  <c r="I18" i="14"/>
  <c r="I17" i="14"/>
  <c r="G17" i="14"/>
  <c r="D18" i="14"/>
  <c r="C17" i="14"/>
  <c r="F18" i="14"/>
  <c r="H18" i="14" l="1"/>
  <c r="C18" i="14"/>
  <c r="H15" i="42"/>
  <c r="K18" i="15"/>
  <c r="B4" i="42"/>
  <c r="N16" i="15"/>
  <c r="N18" i="15" l="1"/>
  <c r="D34" i="1"/>
  <c r="E34" i="1"/>
  <c r="C34" i="1"/>
  <c r="I34" i="1"/>
  <c r="I129" i="45" l="1"/>
  <c r="J129" i="45" l="1"/>
  <c r="M129" i="45"/>
  <c r="D5" i="42"/>
  <c r="H5" i="42" l="1"/>
  <c r="M76" i="16" l="1"/>
  <c r="J153" i="16"/>
  <c r="F153" i="16" l="1"/>
  <c r="H153" i="16"/>
  <c r="E56" i="13"/>
  <c r="D17" i="24"/>
  <c r="E17" i="24"/>
  <c r="I17" i="24"/>
  <c r="G17" i="24"/>
  <c r="C8" i="42"/>
  <c r="C17" i="24"/>
  <c r="B8" i="42" s="1"/>
  <c r="F8" i="42" l="1"/>
  <c r="D8" i="42"/>
  <c r="F56" i="13"/>
  <c r="J17" i="24"/>
  <c r="H8" i="42"/>
  <c r="M17" i="24"/>
  <c r="H17" i="24"/>
  <c r="F17" i="24"/>
  <c r="D16" i="25"/>
  <c r="C9" i="42" s="1"/>
  <c r="E16" i="25"/>
  <c r="D9" i="42" s="1"/>
  <c r="I16" i="25"/>
  <c r="M16" i="25" s="1"/>
  <c r="G16" i="25"/>
  <c r="F9" i="42" s="1"/>
  <c r="C16" i="25"/>
  <c r="B9" i="42" s="1"/>
  <c r="J16" i="25" l="1"/>
  <c r="H9" i="42"/>
  <c r="H16" i="25"/>
  <c r="F16" i="25"/>
  <c r="G16" i="26"/>
  <c r="G16" i="27"/>
  <c r="H16" i="27" s="1"/>
  <c r="I16" i="27"/>
  <c r="J16" i="27" l="1"/>
  <c r="H16" i="26"/>
  <c r="H11" i="42"/>
  <c r="F10" i="42"/>
  <c r="F11" i="42"/>
  <c r="M16" i="27"/>
  <c r="G16" i="21"/>
  <c r="H16" i="21" s="1"/>
  <c r="I16" i="21"/>
  <c r="J16" i="21" s="1"/>
  <c r="G16" i="22"/>
  <c r="H16" i="22" s="1"/>
  <c r="I16" i="22"/>
  <c r="J16" i="22" s="1"/>
  <c r="E16" i="28"/>
  <c r="D15" i="42" l="1"/>
  <c r="H13" i="42"/>
  <c r="F13" i="42"/>
  <c r="H12" i="42"/>
  <c r="F16" i="28"/>
  <c r="M16" i="22"/>
  <c r="F12" i="42"/>
  <c r="M16" i="21"/>
  <c r="K30" i="1"/>
  <c r="O30" i="1" s="1"/>
  <c r="P30" i="1" l="1"/>
  <c r="O34" i="1"/>
  <c r="K34" i="1"/>
  <c r="P34" i="1" l="1"/>
</calcChain>
</file>

<file path=xl/comments1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81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</commentList>
</comments>
</file>

<file path=xl/sharedStrings.xml><?xml version="1.0" encoding="utf-8"?>
<sst xmlns="http://schemas.openxmlformats.org/spreadsheetml/2006/main" count="2022" uniqueCount="571">
  <si>
    <t>Despeses de personal</t>
  </si>
  <si>
    <t>Despeses en béns corrents i serveis</t>
  </si>
  <si>
    <t>Despeses financeres</t>
  </si>
  <si>
    <t>Transferències corrents</t>
  </si>
  <si>
    <t>Operacions corrents</t>
  </si>
  <si>
    <t>Inversions reals</t>
  </si>
  <si>
    <t>Transferències de capital</t>
  </si>
  <si>
    <t>Operacions de capital</t>
  </si>
  <si>
    <t>Actius financers</t>
  </si>
  <si>
    <t>Passius financers</t>
  </si>
  <si>
    <t>Operacions financeres</t>
  </si>
  <si>
    <t>Despeses Totals</t>
  </si>
  <si>
    <t>Capítols</t>
  </si>
  <si>
    <t>Crèdit inicial</t>
  </si>
  <si>
    <t>Crèdit Actual</t>
  </si>
  <si>
    <t>Autoritzat</t>
  </si>
  <si>
    <t>Disposat</t>
  </si>
  <si>
    <t>Obligat</t>
  </si>
  <si>
    <t>%</t>
  </si>
  <si>
    <t>Execució de despeses. Ajuntament de Barcelona</t>
  </si>
  <si>
    <t>Resum per capítols</t>
  </si>
  <si>
    <t>Resum per orgànics</t>
  </si>
  <si>
    <t>Orgànics</t>
  </si>
  <si>
    <t>Serveis Urbans i Medi Ambient</t>
  </si>
  <si>
    <t>Prevenció, Seguretat i Mobilitat</t>
  </si>
  <si>
    <t>Urbanisme i Infraestructures</t>
  </si>
  <si>
    <t>Serveis Centrals</t>
  </si>
  <si>
    <t>Total Sectors</t>
  </si>
  <si>
    <t>Ciutat Vella</t>
  </si>
  <si>
    <t>Eixample</t>
  </si>
  <si>
    <t>Sants-Montjuïc</t>
  </si>
  <si>
    <t>Les Corts</t>
  </si>
  <si>
    <t>Sarrià-Sant Gervasi</t>
  </si>
  <si>
    <t>Gràcia</t>
  </si>
  <si>
    <t>Horta-Guinardó</t>
  </si>
  <si>
    <t>Nou Barris</t>
  </si>
  <si>
    <t>Sant Andreu</t>
  </si>
  <si>
    <t>Sant Martí</t>
  </si>
  <si>
    <t>Total Districtes</t>
  </si>
  <si>
    <t>=3/2</t>
  </si>
  <si>
    <t>=4/2</t>
  </si>
  <si>
    <t>=5/2</t>
  </si>
  <si>
    <t>5'</t>
  </si>
  <si>
    <t>=5'/2'</t>
  </si>
  <si>
    <t>Execució d'ingressos. Ajuntament de Barcelona</t>
  </si>
  <si>
    <t>Ingressos patrimonials</t>
  </si>
  <si>
    <t>Venda d'inversions reals</t>
  </si>
  <si>
    <t>Previsió inicial</t>
  </si>
  <si>
    <t>Previsió Actual</t>
  </si>
  <si>
    <t>=4/3</t>
  </si>
  <si>
    <t>3'</t>
  </si>
  <si>
    <t>=3'/2'</t>
  </si>
  <si>
    <t>Impostos directes</t>
  </si>
  <si>
    <t>Impostos indirectes</t>
  </si>
  <si>
    <t>Taxes, preus públics i altres ingressos</t>
  </si>
  <si>
    <t>Ingressos Totals</t>
  </si>
  <si>
    <t>011</t>
  </si>
  <si>
    <t>130</t>
  </si>
  <si>
    <t>132</t>
  </si>
  <si>
    <t>133</t>
  </si>
  <si>
    <t>135</t>
  </si>
  <si>
    <t>150</t>
  </si>
  <si>
    <t>151</t>
  </si>
  <si>
    <t>153</t>
  </si>
  <si>
    <t>161</t>
  </si>
  <si>
    <t>162</t>
  </si>
  <si>
    <t>163</t>
  </si>
  <si>
    <t>164</t>
  </si>
  <si>
    <t>165</t>
  </si>
  <si>
    <t>169</t>
  </si>
  <si>
    <t>171</t>
  </si>
  <si>
    <t>179</t>
  </si>
  <si>
    <t>211</t>
  </si>
  <si>
    <t>230</t>
  </si>
  <si>
    <t>231</t>
  </si>
  <si>
    <t>232</t>
  </si>
  <si>
    <t>312</t>
  </si>
  <si>
    <t>320</t>
  </si>
  <si>
    <t>324</t>
  </si>
  <si>
    <t>332</t>
  </si>
  <si>
    <t>333</t>
  </si>
  <si>
    <t>334</t>
  </si>
  <si>
    <t>341</t>
  </si>
  <si>
    <t>431</t>
  </si>
  <si>
    <t>432</t>
  </si>
  <si>
    <t>433</t>
  </si>
  <si>
    <t>441</t>
  </si>
  <si>
    <t>493</t>
  </si>
  <si>
    <t>912</t>
  </si>
  <si>
    <t>920</t>
  </si>
  <si>
    <t>922</t>
  </si>
  <si>
    <t>923</t>
  </si>
  <si>
    <t>924</t>
  </si>
  <si>
    <t>925</t>
  </si>
  <si>
    <t>926</t>
  </si>
  <si>
    <t>929</t>
  </si>
  <si>
    <t>932</t>
  </si>
  <si>
    <t>933</t>
  </si>
  <si>
    <t>934</t>
  </si>
  <si>
    <t>Deute Públic</t>
  </si>
  <si>
    <t>Urbanisme</t>
  </si>
  <si>
    <t>Vies Públiques</t>
  </si>
  <si>
    <t>Neteja Viària</t>
  </si>
  <si>
    <t>Enllumenat Públic</t>
  </si>
  <si>
    <t>Pensions</t>
  </si>
  <si>
    <t>Promoció Social</t>
  </si>
  <si>
    <t>Promoció Cultural</t>
  </si>
  <si>
    <t>Comerç</t>
  </si>
  <si>
    <t>Desenvolupament Empresarial</t>
  </si>
  <si>
    <t>Participació Ciutadana</t>
  </si>
  <si>
    <t>Seguretat i Ordre Públic</t>
  </si>
  <si>
    <t>Gestió del Sistema Tributari</t>
  </si>
  <si>
    <t>Gestió del Patrimoni</t>
  </si>
  <si>
    <t>Parcs i Jardins</t>
  </si>
  <si>
    <t>Biblioteques i Arxius</t>
  </si>
  <si>
    <t>Informació Bàsica i Estadística</t>
  </si>
  <si>
    <t>Altres Serveis de Benestar Comunitari</t>
  </si>
  <si>
    <t>Òrgans de Govern</t>
  </si>
  <si>
    <t>Serveis Complementaris d'Educació</t>
  </si>
  <si>
    <t>Promoció i Foment de l'Esport</t>
  </si>
  <si>
    <t>Coordinació i Organització institucional</t>
  </si>
  <si>
    <t>Gestió del deute i de la Tresoreria</t>
  </si>
  <si>
    <t>Imprevistos i Funcions no Classificades</t>
  </si>
  <si>
    <t>Transferències a Entitats Locals Territorials</t>
  </si>
  <si>
    <t>Atenció als Ciutadans</t>
  </si>
  <si>
    <t>Recollida, Eliminació i Tractament de Residus</t>
  </si>
  <si>
    <t>Ordenació del Tràfic i de l'Estacionament</t>
  </si>
  <si>
    <t>Actuacions de caràcter econòmic</t>
  </si>
  <si>
    <t>Béns públics de caràcter preferent</t>
  </si>
  <si>
    <t>Actuacions de protecció i promoció social</t>
  </si>
  <si>
    <t>Serveis públics bàsics</t>
  </si>
  <si>
    <t>Execució de despeses. Serveis Urbans i Medi ambient</t>
  </si>
  <si>
    <t>Execució de despeses. Prevenció, Seguretat i Mobilitat</t>
  </si>
  <si>
    <t>Execució de despeses. Serveis Centrals</t>
  </si>
  <si>
    <t>Execució de despeses. Districtes</t>
  </si>
  <si>
    <t>-</t>
  </si>
  <si>
    <t>Despeses Corrents</t>
  </si>
  <si>
    <t>Altres Actuacions relacionades amb el Medi Ambient</t>
  </si>
  <si>
    <t>Hospitals, Serveis Assistencials i Centres de Salut</t>
  </si>
  <si>
    <t>Drets Liquidats</t>
  </si>
  <si>
    <t>Check-list:</t>
  </si>
  <si>
    <t>Ingressos - Despeses</t>
  </si>
  <si>
    <t>Programes:</t>
  </si>
  <si>
    <t>Orgànics:</t>
  </si>
  <si>
    <t>- SSGG</t>
  </si>
  <si>
    <t>- ASC</t>
  </si>
  <si>
    <t>- MA</t>
  </si>
  <si>
    <t>- PSM</t>
  </si>
  <si>
    <t>- U</t>
  </si>
  <si>
    <t>- PE</t>
  </si>
  <si>
    <t>- ECB</t>
  </si>
  <si>
    <t>- SC</t>
  </si>
  <si>
    <t>- Districtes</t>
  </si>
  <si>
    <t>Controls</t>
  </si>
  <si>
    <t xml:space="preserve"> </t>
  </si>
  <si>
    <t>Detall per conceptes</t>
  </si>
  <si>
    <t>Conceptes</t>
  </si>
  <si>
    <t>IBI</t>
  </si>
  <si>
    <t>IIVTNU (Plusvàlua)</t>
  </si>
  <si>
    <t>IVTM (Vehicles)</t>
  </si>
  <si>
    <t>IAE</t>
  </si>
  <si>
    <t>ICIO</t>
  </si>
  <si>
    <t>Impostos locals</t>
  </si>
  <si>
    <t>CTE</t>
  </si>
  <si>
    <t>FCF</t>
  </si>
  <si>
    <t>Participació Tributs de l'Estat</t>
  </si>
  <si>
    <t>Grua i parany</t>
  </si>
  <si>
    <t>Cementiris</t>
  </si>
  <si>
    <t>Clavegueram</t>
  </si>
  <si>
    <t>Codi concepte</t>
  </si>
  <si>
    <t>113-114</t>
  </si>
  <si>
    <t>100-210-220</t>
  </si>
  <si>
    <t>Parquímetres</t>
  </si>
  <si>
    <t>Llicències urbanístiques</t>
  </si>
  <si>
    <t>Guals</t>
  </si>
  <si>
    <t>Participació ingressos bruts</t>
  </si>
  <si>
    <t>332-333-338</t>
  </si>
  <si>
    <t>Taxes ocupació via pública</t>
  </si>
  <si>
    <t>Altres taxes</t>
  </si>
  <si>
    <t>30-32-33 (-) anteriors</t>
  </si>
  <si>
    <t>Recollida comercial residus</t>
  </si>
  <si>
    <t>Serveis especials de neteja</t>
  </si>
  <si>
    <t>Resta preus públics</t>
  </si>
  <si>
    <t>Vendes Recollida selectiva residus</t>
  </si>
  <si>
    <t>Resta de vendes de serveis</t>
  </si>
  <si>
    <t>Reintegraments</t>
  </si>
  <si>
    <t>36 (-) 36500</t>
  </si>
  <si>
    <t>Multes</t>
  </si>
  <si>
    <t>Recàrrecs</t>
  </si>
  <si>
    <t>Interessos de demora</t>
  </si>
  <si>
    <t>Altres ingressos</t>
  </si>
  <si>
    <t>Taxes i altres ingressos</t>
  </si>
  <si>
    <t>42010-42011</t>
  </si>
  <si>
    <t>Aportacions de l'Estat (Excepte FCF)</t>
  </si>
  <si>
    <t>42 (-) 42010-42011</t>
  </si>
  <si>
    <t>Aportacions del Grup Ajuntament</t>
  </si>
  <si>
    <t>GC_Fons Cooperació Local</t>
  </si>
  <si>
    <t>GC_Finalistes per Educació</t>
  </si>
  <si>
    <t>GC_Finalistes per IM Discapacitats</t>
  </si>
  <si>
    <t>GC_Acció Social</t>
  </si>
  <si>
    <t>GC_Llei de Barris (Corrent)</t>
  </si>
  <si>
    <t>GC_Resta aportacions</t>
  </si>
  <si>
    <t>Aportacions de la Diputació</t>
  </si>
  <si>
    <t>Fons Europeus</t>
  </si>
  <si>
    <t>Resta aportacions corrents</t>
  </si>
  <si>
    <t>AMB_TMTR</t>
  </si>
  <si>
    <t>AMB_Cànon dipòsit residus</t>
  </si>
  <si>
    <t>41-44</t>
  </si>
  <si>
    <t>GC_Finalistes ocupació</t>
  </si>
  <si>
    <t>45 (-) resta 45</t>
  </si>
  <si>
    <t>Transferències corrents (exc. FCF)</t>
  </si>
  <si>
    <t>Ingressos corrents</t>
  </si>
  <si>
    <t>Ingressos financers</t>
  </si>
  <si>
    <t>50-52</t>
  </si>
  <si>
    <t>Rendes béns immobles</t>
  </si>
  <si>
    <t>Aparcaments</t>
  </si>
  <si>
    <t>Altres concessions administratives</t>
  </si>
  <si>
    <t>Drets de superfície</t>
  </si>
  <si>
    <t>552-553</t>
  </si>
  <si>
    <t>Dividends, cànons i rendiments empreses</t>
  </si>
  <si>
    <t>53-555</t>
  </si>
  <si>
    <t>Vendes solars</t>
  </si>
  <si>
    <t>Vendes places aparcaments</t>
  </si>
  <si>
    <t>Altres vendes</t>
  </si>
  <si>
    <t>Vendes Inversions reals</t>
  </si>
  <si>
    <t>De l'Estat</t>
  </si>
  <si>
    <t>GC-Escoles Bressol</t>
  </si>
  <si>
    <t>GC-Llei de Barris</t>
  </si>
  <si>
    <t>GC-Altres</t>
  </si>
  <si>
    <t>De la Diputació de Barcelona</t>
  </si>
  <si>
    <t>Altres transferències de capital</t>
  </si>
  <si>
    <t>6 (-) 60-61901</t>
  </si>
  <si>
    <t>75 (-) 75031-75070</t>
  </si>
  <si>
    <t>Resta 7</t>
  </si>
  <si>
    <t>Execució d'ingressos corrents. Ajuntament de Barcelona</t>
  </si>
  <si>
    <t>Execució d'ingressos de capital. Ajuntament de Barcelona</t>
  </si>
  <si>
    <t>Fiances per guals</t>
  </si>
  <si>
    <t>Fiances urbanístiques</t>
  </si>
  <si>
    <t>Execució d'ingressos financers. Ajuntament de Barcelona</t>
  </si>
  <si>
    <t>Execució de despeses corrents. Ajuntament de Barcelona</t>
  </si>
  <si>
    <t>Òrgans de govern i personal directiu</t>
  </si>
  <si>
    <t>Personal eventual</t>
  </si>
  <si>
    <t>Funcionaris</t>
  </si>
  <si>
    <t>Laborals</t>
  </si>
  <si>
    <t>Quotes Socials</t>
  </si>
  <si>
    <t>Incentius al rendiment</t>
  </si>
  <si>
    <t>Béns corrents i serveis</t>
  </si>
  <si>
    <t>Deute</t>
  </si>
  <si>
    <t>Resta 9</t>
  </si>
  <si>
    <t>Arrendaments</t>
  </si>
  <si>
    <t>Manteniment, reparació i conservació</t>
  </si>
  <si>
    <t>Material d'oficina</t>
  </si>
  <si>
    <t>Gas</t>
  </si>
  <si>
    <t>Energia elèctrica-edificis</t>
  </si>
  <si>
    <t>Energia elèctrica-via pública</t>
  </si>
  <si>
    <t>Aigua-edificis</t>
  </si>
  <si>
    <t>Aigua-via pública</t>
  </si>
  <si>
    <t>22102-22122</t>
  </si>
  <si>
    <t>Altres subministraments</t>
  </si>
  <si>
    <t>Resta 221</t>
  </si>
  <si>
    <t>Telèfons</t>
  </si>
  <si>
    <t>Altres comunicacions</t>
  </si>
  <si>
    <t>Resta 222</t>
  </si>
  <si>
    <t>Transports</t>
  </si>
  <si>
    <t>Primes d'assegurances</t>
  </si>
  <si>
    <t>Tributs</t>
  </si>
  <si>
    <t>Publicitat i propaganda</t>
  </si>
  <si>
    <t>Atencions protocolàries</t>
  </si>
  <si>
    <t>Reunions, conferències i cursos</t>
  </si>
  <si>
    <t>Despeses compra de serveis</t>
  </si>
  <si>
    <t>Altres despeses diverses</t>
  </si>
  <si>
    <t>Resta 226</t>
  </si>
  <si>
    <t>Neteja edificis i locals</t>
  </si>
  <si>
    <t>Treballs tècnics</t>
  </si>
  <si>
    <t>Estudis i informes</t>
  </si>
  <si>
    <t>22706-22707</t>
  </si>
  <si>
    <t>Serveis de recaptació</t>
  </si>
  <si>
    <t>Manteniment via pública</t>
  </si>
  <si>
    <t>Manteniment xarxa clavegueram</t>
  </si>
  <si>
    <t>Manteniment xarxa aigua potable</t>
  </si>
  <si>
    <t>Manteniment enllumenat públic</t>
  </si>
  <si>
    <t>Manteniment senyalització</t>
  </si>
  <si>
    <t>Manteniment patromoni artístic</t>
  </si>
  <si>
    <t>Manteniment escales mecàniques</t>
  </si>
  <si>
    <t>Manteniment tunels</t>
  </si>
  <si>
    <t>Sistemes control de trànsit</t>
  </si>
  <si>
    <t>Altres contractes de serveis</t>
  </si>
  <si>
    <t>Neteja i recollida de residus</t>
  </si>
  <si>
    <t>Altres contractes neteja viària</t>
  </si>
  <si>
    <t>Contractes d'acció social</t>
  </si>
  <si>
    <t>Resta treballs realitzats per tercers</t>
  </si>
  <si>
    <t>Resta 227</t>
  </si>
  <si>
    <t>Dietes</t>
  </si>
  <si>
    <t>Locomoció</t>
  </si>
  <si>
    <t>Altres indemnitzacions</t>
  </si>
  <si>
    <t>Despeses imprevistes</t>
  </si>
  <si>
    <t>Detall per conceptes (II)</t>
  </si>
  <si>
    <t>Detall per conceptes (I)</t>
  </si>
  <si>
    <t>Despeses corrents</t>
  </si>
  <si>
    <t>IMH</t>
  </si>
  <si>
    <t>IMU</t>
  </si>
  <si>
    <t>IMEB</t>
  </si>
  <si>
    <t>IMI</t>
  </si>
  <si>
    <t>IMSS</t>
  </si>
  <si>
    <t>IMMB</t>
  </si>
  <si>
    <t>IMPUiQV</t>
  </si>
  <si>
    <t>IBE</t>
  </si>
  <si>
    <t>IMPD</t>
  </si>
  <si>
    <t>ICUB</t>
  </si>
  <si>
    <t>IMPJ</t>
  </si>
  <si>
    <t>PMH</t>
  </si>
  <si>
    <t>FMVDR</t>
  </si>
  <si>
    <t>Barcelona Activa</t>
  </si>
  <si>
    <t>ICB</t>
  </si>
  <si>
    <t>BSM</t>
  </si>
  <si>
    <t>BIMSA</t>
  </si>
  <si>
    <t>FCV</t>
  </si>
  <si>
    <t>ProEixample</t>
  </si>
  <si>
    <t>Pro Nou Barris</t>
  </si>
  <si>
    <t>BAGURSA</t>
  </si>
  <si>
    <t>Agèncial del Carmel</t>
  </si>
  <si>
    <t>22@</t>
  </si>
  <si>
    <t>Cementiris de Barcelona</t>
  </si>
  <si>
    <t>TERSA</t>
  </si>
  <si>
    <t>SIRESA</t>
  </si>
  <si>
    <t>AMB-MMAMB</t>
  </si>
  <si>
    <t>AMB-EMSHTR (TMTR)</t>
  </si>
  <si>
    <t>AMB-EMT (Targeta Rosa)</t>
  </si>
  <si>
    <t>Resta organismes AMB</t>
  </si>
  <si>
    <t>Consell Comarcal Barcelonès-Rondes</t>
  </si>
  <si>
    <t>ATM</t>
  </si>
  <si>
    <t>Consorci d'Educació de Barcelona</t>
  </si>
  <si>
    <t>Consorci de Serveis Socials</t>
  </si>
  <si>
    <t>Consorci de l'Habitatge</t>
  </si>
  <si>
    <t>Resta 464</t>
  </si>
  <si>
    <t>Agència Ecologia Urbana</t>
  </si>
  <si>
    <t>Agència Local Energia de Barcelona</t>
  </si>
  <si>
    <t>Consorci del Besòs</t>
  </si>
  <si>
    <t>CSB-Agència Salut Pública</t>
  </si>
  <si>
    <t>CSB-PAMEM</t>
  </si>
  <si>
    <t>CSB-IMAS</t>
  </si>
  <si>
    <t>CSB</t>
  </si>
  <si>
    <t>Consorci Comunicació Local</t>
  </si>
  <si>
    <t>Consorci de Turisme</t>
  </si>
  <si>
    <t>Consorci Normalització Lingüística</t>
  </si>
  <si>
    <t>Altres consorcis</t>
  </si>
  <si>
    <t>Resta 467</t>
  </si>
  <si>
    <t>A empreses privades</t>
  </si>
  <si>
    <t>A families i institucions sense afany...</t>
  </si>
  <si>
    <t>A l'exterior</t>
  </si>
  <si>
    <t>Subtotal GEIM</t>
  </si>
  <si>
    <t>Subtotal altres transferències</t>
  </si>
  <si>
    <t>Interessos de préstecs</t>
  </si>
  <si>
    <t>Despeses formalització i altres</t>
  </si>
  <si>
    <t>30-310</t>
  </si>
  <si>
    <t>311-359</t>
  </si>
  <si>
    <t>Crèdit actual</t>
  </si>
  <si>
    <t>resta 349+341+343+344</t>
  </si>
  <si>
    <t>Ingressos capital</t>
  </si>
  <si>
    <t>TC altes</t>
  </si>
  <si>
    <t>TC baixes</t>
  </si>
  <si>
    <t>IRC</t>
  </si>
  <si>
    <t>MC total</t>
  </si>
  <si>
    <t>DIRECTES EXTINGITS</t>
  </si>
  <si>
    <t>87000</t>
  </si>
  <si>
    <t>87010</t>
  </si>
  <si>
    <t>=%3/3'</t>
  </si>
  <si>
    <t>Càrregues urbanístiques</t>
  </si>
  <si>
    <t>=%5/5'</t>
  </si>
  <si>
    <t>Altres subvencions a Societats EELL</t>
  </si>
  <si>
    <t>41000</t>
  </si>
  <si>
    <t>41010</t>
  </si>
  <si>
    <t>41020-41021</t>
  </si>
  <si>
    <t>41030-41031</t>
  </si>
  <si>
    <t>41050-41051</t>
  </si>
  <si>
    <t>41060</t>
  </si>
  <si>
    <t>41070</t>
  </si>
  <si>
    <t>41080-41081-41082</t>
  </si>
  <si>
    <t>44310</t>
  </si>
  <si>
    <t>44320</t>
  </si>
  <si>
    <t>44330</t>
  </si>
  <si>
    <t>44410</t>
  </si>
  <si>
    <t>44420</t>
  </si>
  <si>
    <t>44430</t>
  </si>
  <si>
    <t>44431</t>
  </si>
  <si>
    <t>44432</t>
  </si>
  <si>
    <t>44433</t>
  </si>
  <si>
    <t>44434</t>
  </si>
  <si>
    <t>44435</t>
  </si>
  <si>
    <t>44436</t>
  </si>
  <si>
    <t>MERCABARNA</t>
  </si>
  <si>
    <t>44440</t>
  </si>
  <si>
    <t>44450</t>
  </si>
  <si>
    <t>44451</t>
  </si>
  <si>
    <t>44452</t>
  </si>
  <si>
    <t>46715</t>
  </si>
  <si>
    <t>46716</t>
  </si>
  <si>
    <t>46717</t>
  </si>
  <si>
    <t>46714</t>
  </si>
  <si>
    <t>46731</t>
  </si>
  <si>
    <t>46735</t>
  </si>
  <si>
    <t>46722</t>
  </si>
  <si>
    <t>46710</t>
  </si>
  <si>
    <t>46713</t>
  </si>
  <si>
    <t>46747</t>
  </si>
  <si>
    <t>Diputació de Barcelona</t>
  </si>
  <si>
    <t>Indicadors Pressupostaris. Ajuntament de Barcelona</t>
  </si>
  <si>
    <t>Resum</t>
  </si>
  <si>
    <t>Indicadors</t>
  </si>
  <si>
    <t>Estalvi brut</t>
  </si>
  <si>
    <t>Ingressos de capital</t>
  </si>
  <si>
    <t>Despeses de capital</t>
  </si>
  <si>
    <t>Superàvit (Dèficit) no financer</t>
  </si>
  <si>
    <t>Resultat Pressupostari</t>
  </si>
  <si>
    <t>Ratis</t>
  </si>
  <si>
    <t>% Estalvi brut/Ingressos corrents</t>
  </si>
  <si>
    <r>
      <t xml:space="preserve">% Capacitat (Necessitat) finançament
</t>
    </r>
    <r>
      <rPr>
        <sz val="8"/>
        <color theme="1"/>
        <rFont val="Arial"/>
        <family val="2"/>
      </rPr>
      <t>(abans d'ajustos CN)</t>
    </r>
  </si>
  <si>
    <t>Transferències d'Ajuntaments</t>
  </si>
  <si>
    <t>BAIXES PER ANUL.</t>
  </si>
  <si>
    <t xml:space="preserve">Rom.tresoreria per despeses amb F. A. </t>
  </si>
  <si>
    <t>Xarxa Audiovisual Local</t>
  </si>
  <si>
    <t>Recaptació líquida</t>
  </si>
  <si>
    <t>Recaptació Líquida</t>
  </si>
  <si>
    <t>Tr. corrent 22@ FEDER Eix 4  Renovació Urbana</t>
  </si>
  <si>
    <t>Cessió per aprofitament urbanístic (10%)</t>
  </si>
  <si>
    <t>559-550 (-) 55000-551</t>
  </si>
  <si>
    <t xml:space="preserve">Transf.en matèria d'ocupació </t>
  </si>
  <si>
    <t>Aportació AMB pel manteniment de rondes</t>
  </si>
  <si>
    <t>Gerència de recursos</t>
  </si>
  <si>
    <t>Qualitat de vida, igualtat i esports</t>
  </si>
  <si>
    <t>0502</t>
  </si>
  <si>
    <t>0501</t>
  </si>
  <si>
    <t>Habitat Urbà</t>
  </si>
  <si>
    <t>Economia, Empresa i Ocupació</t>
  </si>
  <si>
    <t>0703</t>
  </si>
  <si>
    <t>Cultura, coneixement e innovació</t>
  </si>
  <si>
    <t>Execució de despeses. Gerència de recursos</t>
  </si>
  <si>
    <t>Execució de despeses. Qualitat de vida, igualtat i esports</t>
  </si>
  <si>
    <t>Execució de despeses. Habitat Urbà</t>
  </si>
  <si>
    <t>Execució de despeses. Economia, empresa i ocupació</t>
  </si>
  <si>
    <t>Execució de despeses. Cultura, coneixement i innovació</t>
  </si>
  <si>
    <t>Accions BCN Emprèn</t>
  </si>
  <si>
    <t>SUPL.</t>
  </si>
  <si>
    <t>Grup de programes</t>
  </si>
  <si>
    <t>Ajuntaments</t>
  </si>
  <si>
    <t>45040-41-42-44-45-46-47-48</t>
  </si>
  <si>
    <t>44300+44301+44302</t>
  </si>
  <si>
    <t>Festes populars</t>
  </si>
  <si>
    <t>Ap. a la Gen., SM, EPES I OOAA</t>
  </si>
  <si>
    <t>Romanents de tresoreria</t>
  </si>
  <si>
    <t>2013 L</t>
  </si>
  <si>
    <t>Atenció a les persones discapacitades</t>
  </si>
  <si>
    <t>Altres ensenyaments</t>
  </si>
  <si>
    <t>330</t>
  </si>
  <si>
    <t>Patrimoni artístic i històric de la ciutat</t>
  </si>
  <si>
    <t>Esdeveniments esportius</t>
  </si>
  <si>
    <t>Política econòmica i fiscal</t>
  </si>
  <si>
    <t>Resum per grups de programa*</t>
  </si>
  <si>
    <t>% s/ PI total</t>
  </si>
  <si>
    <t>% s/ PA total</t>
  </si>
  <si>
    <t>% s/ DL totals</t>
  </si>
  <si>
    <t>% s/ CI total</t>
  </si>
  <si>
    <t>% s/ CA total</t>
  </si>
  <si>
    <t>% s/ O total</t>
  </si>
  <si>
    <t>0503</t>
  </si>
  <si>
    <t xml:space="preserve">Urbanisme    </t>
  </si>
  <si>
    <t>Execució de despeses. Urbanisme</t>
  </si>
  <si>
    <t>1*</t>
  </si>
  <si>
    <t>CRED. EXTRA.</t>
  </si>
  <si>
    <t>Actius financers*</t>
  </si>
  <si>
    <t>Ingressos financers*</t>
  </si>
  <si>
    <t>41040-41041</t>
  </si>
  <si>
    <t>Execució de despeses. Infraestructures i coordinació urbana</t>
  </si>
  <si>
    <t>0504</t>
  </si>
  <si>
    <t>Infraestructures i coord.urbana</t>
  </si>
  <si>
    <t>Infraestructures i cooerd.urbana</t>
  </si>
  <si>
    <t>Saldo minitransf.</t>
  </si>
  <si>
    <t>44400-01-02-03-04-05-06</t>
  </si>
  <si>
    <t>467-469-47-48-46405/06/07</t>
  </si>
  <si>
    <t>Bagursa. Ajuts lloguer</t>
  </si>
  <si>
    <t>450-451-453</t>
  </si>
  <si>
    <t>2014 L</t>
  </si>
  <si>
    <t>2013 P</t>
  </si>
  <si>
    <t>2014 P</t>
  </si>
  <si>
    <t>Venda d'accions</t>
  </si>
  <si>
    <t>Devolució dipòsits constituïts a llarg t</t>
  </si>
  <si>
    <t>84010</t>
  </si>
  <si>
    <t>Fons de contingència</t>
  </si>
  <si>
    <t>Manteniment altres infraestructures</t>
  </si>
  <si>
    <t>22717</t>
  </si>
  <si>
    <t>Manteniment galeries de serveis</t>
  </si>
  <si>
    <t>22718</t>
  </si>
  <si>
    <t>22725</t>
  </si>
  <si>
    <t>Execucions subsidiaries</t>
  </si>
  <si>
    <t>Contractes de serveis d'atenció social</t>
  </si>
  <si>
    <t>22726</t>
  </si>
  <si>
    <t>44439</t>
  </si>
  <si>
    <t>Barcelona Cicle de l'Aigua, S.A.</t>
  </si>
  <si>
    <t>Fons de contingència social</t>
  </si>
  <si>
    <t>Resum per orgànics i despesa corrent (capítols 1 a 5)</t>
  </si>
  <si>
    <t>Resum per grups de programa. D.corrent</t>
  </si>
  <si>
    <t>Rom.tresoreria per despeses generals</t>
  </si>
  <si>
    <t>Generació ingressos</t>
  </si>
  <si>
    <t>Administració General d'Educació</t>
  </si>
  <si>
    <t>Administració General de Cultura</t>
  </si>
  <si>
    <t>Administració General</t>
  </si>
  <si>
    <t>Actuacions de caràcter General</t>
  </si>
  <si>
    <t>Administració General de la Seguretat i Mobilitat</t>
  </si>
  <si>
    <t>Administració General d'Habitatge i Urbanisme</t>
  </si>
  <si>
    <t>*No s'inclouen els romanents de tresoreria</t>
  </si>
  <si>
    <t>Gener 2015</t>
  </si>
  <si>
    <t>Gener 2014</t>
  </si>
  <si>
    <t>2015 P</t>
  </si>
  <si>
    <t>Anàlisi modificacions de crèdit per capítols Gener 2015</t>
  </si>
  <si>
    <t>A Gener</t>
  </si>
  <si>
    <t>Mobilitat urbana</t>
  </si>
  <si>
    <t>Servei de prevenció i extinció d'incendi</t>
  </si>
  <si>
    <t>Habitatge</t>
  </si>
  <si>
    <t>Protecció i millora del medi ambient</t>
  </si>
  <si>
    <t>Protecció de la salubritat pública</t>
  </si>
  <si>
    <t>326</t>
  </si>
  <si>
    <t>Funcionament centres docents ensenyaments</t>
  </si>
  <si>
    <t>Protecció civil</t>
  </si>
  <si>
    <t>Urbanisme: planejament, gestió, execució</t>
  </si>
  <si>
    <t>Vies públiques</t>
  </si>
  <si>
    <t>Abastament domiciliàri d'aigua potable</t>
  </si>
  <si>
    <t>Assistència Social Primària</t>
  </si>
  <si>
    <t>Funcionament centres educació infantil-primària</t>
  </si>
  <si>
    <t>Equipaments culturals i museus</t>
  </si>
  <si>
    <t>Protecció i gestió del patrimoni històric</t>
  </si>
  <si>
    <t>Instal·lacions d'ocupació del temps lliure</t>
  </si>
  <si>
    <t>Festes populars i festejos</t>
  </si>
  <si>
    <t>Instal·lacions esportives</t>
  </si>
  <si>
    <t>Administració General de Comerç i Turisme</t>
  </si>
  <si>
    <t>Informació i Promoció Turística</t>
  </si>
  <si>
    <t>Transport de viatgers</t>
  </si>
  <si>
    <t>Protecció de consumidors i usuaris</t>
  </si>
  <si>
    <t>Comunicacions internes</t>
  </si>
  <si>
    <t>160</t>
  </si>
  <si>
    <t>Recollida, gesió i tractament de residu</t>
  </si>
  <si>
    <t>Cementiris i Serveis Funeraris</t>
  </si>
  <si>
    <t>172</t>
  </si>
  <si>
    <t>Protecció i millora del Medi Ambient</t>
  </si>
  <si>
    <t>Administració General de Serveis Socials</t>
  </si>
  <si>
    <t>311</t>
  </si>
  <si>
    <t>Funcionament d'escoles bressol municipals</t>
  </si>
  <si>
    <t>329</t>
  </si>
  <si>
    <t>337</t>
  </si>
  <si>
    <t>Societat de la informació</t>
  </si>
  <si>
    <t>943</t>
  </si>
  <si>
    <t>2013 (2012P)</t>
  </si>
  <si>
    <t>2014P</t>
  </si>
  <si>
    <t>2015 L</t>
  </si>
  <si>
    <t>Var. 15/14</t>
  </si>
  <si>
    <t>V.15/14</t>
  </si>
  <si>
    <t>Contribucions especials</t>
  </si>
  <si>
    <t>*S/ Nova estructura de programes 2015</t>
  </si>
  <si>
    <t>161 AL 2014</t>
  </si>
  <si>
    <t>153 AL 2014</t>
  </si>
  <si>
    <t>135 AL 2014</t>
  </si>
  <si>
    <t>AL 2014 NO</t>
  </si>
  <si>
    <t>231+233 AL 2014</t>
  </si>
  <si>
    <t>313 AL 2014</t>
  </si>
  <si>
    <t>325 AL 2014</t>
  </si>
  <si>
    <t>324 AL 2014</t>
  </si>
  <si>
    <t>NO AL 2014</t>
  </si>
  <si>
    <t>321 AL 2014</t>
  </si>
  <si>
    <t>322+323 AL 2014</t>
  </si>
  <si>
    <t>333+335 AL 2014</t>
  </si>
  <si>
    <t>942 al 2014</t>
  </si>
  <si>
    <t>155+157 AL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</si>
</sst>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0"/>
    <numFmt numFmtId="165" formatCode="0.0%"/>
    <numFmt numFmtId="166" formatCode="_-* #,##0.0\ _€_-;\-* #,##0.0\ _€_-;_-* &quot;-&quot;??\ _€_-;_-@_-"/>
    <numFmt numFmtId="167" formatCode="_-* #,##0\ _€_-;\-* #,##0\ _€_-;_-* &quot;-&quot;??\ _€_-;_-@_-"/>
  </numFmts>
  <fonts count="6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3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3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8"/>
      <color rgb="FF00B050"/>
      <name val="Arial"/>
      <family val="2"/>
    </font>
    <font>
      <sz val="7"/>
      <color theme="1"/>
      <name val="Arial"/>
      <family val="2"/>
    </font>
    <font>
      <sz val="5.7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9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4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/>
      <right/>
      <top/>
      <bottom style="hair">
        <color theme="3"/>
      </bottom>
      <diagonal/>
    </border>
    <border>
      <left/>
      <right style="medium">
        <color theme="3"/>
      </right>
      <top/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medium">
        <color theme="3"/>
      </right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/>
      <diagonal/>
    </border>
    <border>
      <left/>
      <right style="medium">
        <color theme="3"/>
      </right>
      <top style="hair">
        <color theme="3"/>
      </top>
      <bottom/>
      <diagonal/>
    </border>
    <border>
      <left/>
      <right style="medium">
        <color theme="3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 style="hair">
        <color theme="3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theme="3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theme="3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theme="3"/>
      </right>
      <top style="hair">
        <color indexed="64"/>
      </top>
      <bottom style="thin">
        <color indexed="64"/>
      </bottom>
      <diagonal/>
    </border>
    <border>
      <left/>
      <right style="medium">
        <color theme="3"/>
      </right>
      <top style="thin">
        <color indexed="64"/>
      </top>
      <bottom/>
      <diagonal/>
    </border>
    <border>
      <left/>
      <right style="medium">
        <color theme="3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theme="3"/>
      </right>
      <top/>
      <bottom style="hair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hair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0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/>
      <bottom/>
      <diagonal/>
    </border>
    <border>
      <left style="medium">
        <color theme="3"/>
      </left>
      <right style="thin">
        <color theme="3"/>
      </right>
      <top/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/>
      <diagonal/>
    </border>
    <border>
      <left/>
      <right style="medium">
        <color theme="3"/>
      </right>
      <top style="medium">
        <color theme="0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medium">
        <color theme="0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medium">
        <color theme="0"/>
      </top>
      <bottom style="thin">
        <color theme="3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theme="3"/>
      </bottom>
      <diagonal/>
    </border>
    <border>
      <left/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/>
      <top style="hair">
        <color theme="3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/>
      <top style="hair">
        <color theme="3"/>
      </top>
      <bottom/>
      <diagonal/>
    </border>
    <border>
      <left/>
      <right style="medium">
        <color auto="1"/>
      </right>
      <top style="hair">
        <color theme="3"/>
      </top>
      <bottom/>
      <diagonal/>
    </border>
    <border>
      <left style="medium">
        <color auto="1"/>
      </left>
      <right/>
      <top style="medium">
        <color theme="0"/>
      </top>
      <bottom style="medium">
        <color auto="1"/>
      </bottom>
      <diagonal/>
    </border>
    <border>
      <left/>
      <right/>
      <top style="medium">
        <color theme="0"/>
      </top>
      <bottom style="medium">
        <color auto="1"/>
      </bottom>
      <diagonal/>
    </border>
    <border>
      <left/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/>
      <diagonal/>
    </border>
    <border>
      <left style="medium">
        <color auto="1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theme="3"/>
      </left>
      <right style="thin">
        <color theme="3"/>
      </right>
      <top/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hair">
        <color theme="3"/>
      </top>
      <bottom style="thin">
        <color indexed="64"/>
      </bottom>
      <diagonal/>
    </border>
    <border>
      <left/>
      <right style="medium">
        <color auto="1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/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/>
      <diagonal/>
    </border>
    <border>
      <left/>
      <right style="medium">
        <color theme="3"/>
      </right>
      <top/>
      <bottom style="thin">
        <color theme="3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hair">
        <color indexed="64"/>
      </bottom>
      <diagonal/>
    </border>
    <border>
      <left/>
      <right/>
      <top/>
      <bottom style="thin">
        <color theme="3"/>
      </bottom>
      <diagonal/>
    </border>
    <border>
      <left style="medium">
        <color auto="1"/>
      </left>
      <right/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/>
      <bottom style="hair">
        <color theme="3"/>
      </bottom>
      <diagonal/>
    </border>
    <border>
      <left/>
      <right style="thin">
        <color theme="3"/>
      </right>
      <top style="hair">
        <color theme="3"/>
      </top>
      <bottom style="hair">
        <color theme="3"/>
      </bottom>
      <diagonal/>
    </border>
    <border>
      <left/>
      <right style="thin">
        <color theme="3"/>
      </right>
      <top style="hair">
        <color theme="3"/>
      </top>
      <bottom/>
      <diagonal/>
    </border>
    <border>
      <left/>
      <right style="thin">
        <color theme="3"/>
      </right>
      <top style="medium">
        <color theme="0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/>
      <bottom style="medium">
        <color theme="0"/>
      </bottom>
      <diagonal/>
    </border>
    <border>
      <left/>
      <right style="medium">
        <color theme="3"/>
      </right>
      <top style="thin">
        <color indexed="64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hair">
        <color theme="3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auto="1"/>
      </bottom>
      <diagonal/>
    </border>
    <border>
      <left/>
      <right/>
      <top style="hair">
        <color theme="3"/>
      </top>
      <bottom style="hair">
        <color auto="1"/>
      </bottom>
      <diagonal/>
    </border>
    <border>
      <left/>
      <right style="medium">
        <color theme="3"/>
      </right>
      <top style="hair">
        <color theme="3"/>
      </top>
      <bottom style="hair">
        <color auto="1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hair">
        <color auto="1"/>
      </bottom>
      <diagonal/>
    </border>
    <border>
      <left style="medium">
        <color theme="3"/>
      </left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theme="3"/>
      </right>
      <top/>
      <bottom style="medium">
        <color theme="0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medium">
        <color theme="0"/>
      </bottom>
      <diagonal/>
    </border>
    <border>
      <left style="medium">
        <color auto="1"/>
      </left>
      <right/>
      <top style="medium">
        <color theme="0"/>
      </top>
      <bottom style="thin">
        <color auto="1"/>
      </bottom>
      <diagonal/>
    </border>
    <border>
      <left/>
      <right style="medium">
        <color theme="3"/>
      </right>
      <top style="medium">
        <color theme="0"/>
      </top>
      <bottom style="thin">
        <color auto="1"/>
      </bottom>
      <diagonal/>
    </border>
    <border>
      <left/>
      <right/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theme="3"/>
      </bottom>
      <diagonal/>
    </border>
    <border>
      <left/>
      <right style="thin">
        <color indexed="64"/>
      </right>
      <top style="thin">
        <color indexed="64"/>
      </top>
      <bottom style="hair">
        <color theme="3"/>
      </bottom>
      <diagonal/>
    </border>
    <border>
      <left/>
      <right style="medium">
        <color theme="3"/>
      </right>
      <top style="medium">
        <color auto="1"/>
      </top>
      <bottom/>
      <diagonal/>
    </border>
    <border>
      <left style="medium">
        <color theme="3"/>
      </left>
      <right style="medium">
        <color auto="1"/>
      </right>
      <top style="medium">
        <color auto="1"/>
      </top>
      <bottom/>
      <diagonal/>
    </border>
    <border>
      <left style="medium">
        <color theme="3"/>
      </left>
      <right style="medium">
        <color auto="1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theme="3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 style="hair">
        <color theme="3"/>
      </top>
      <bottom style="hair">
        <color auto="1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/>
      <diagonal/>
    </border>
  </borders>
  <cellStyleXfs count="276">
    <xf numFmtId="0" fontId="0" fillId="0" borderId="0"/>
    <xf numFmtId="0" fontId="6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6" fillId="0" borderId="0"/>
    <xf numFmtId="0" fontId="21" fillId="0" borderId="0"/>
    <xf numFmtId="0" fontId="29" fillId="0" borderId="0" applyNumberFormat="0" applyFill="0" applyBorder="0" applyAlignment="0" applyProtection="0"/>
    <xf numFmtId="0" fontId="5" fillId="0" borderId="0"/>
    <xf numFmtId="0" fontId="45" fillId="0" borderId="123" applyNumberFormat="0" applyFill="0" applyAlignment="0" applyProtection="0"/>
    <xf numFmtId="0" fontId="46" fillId="0" borderId="124" applyNumberFormat="0" applyFill="0" applyAlignment="0" applyProtection="0"/>
    <xf numFmtId="0" fontId="6" fillId="0" borderId="125" applyNumberFormat="0" applyFill="0" applyAlignment="0" applyProtection="0"/>
    <xf numFmtId="0" fontId="47" fillId="4" borderId="0" applyNumberFormat="0" applyBorder="0" applyAlignment="0" applyProtection="0"/>
    <xf numFmtId="0" fontId="48" fillId="5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126" applyNumberFormat="0" applyAlignment="0" applyProtection="0"/>
    <xf numFmtId="0" fontId="51" fillId="8" borderId="127" applyNumberFormat="0" applyAlignment="0" applyProtection="0"/>
    <xf numFmtId="0" fontId="52" fillId="8" borderId="126" applyNumberFormat="0" applyAlignment="0" applyProtection="0"/>
    <xf numFmtId="0" fontId="53" fillId="0" borderId="128" applyNumberFormat="0" applyFill="0" applyAlignment="0" applyProtection="0"/>
    <xf numFmtId="0" fontId="7" fillId="9" borderId="129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6" fillId="0" borderId="131" applyNumberFormat="0" applyFill="0" applyAlignment="0" applyProtection="0"/>
    <xf numFmtId="0" fontId="8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8" fillId="34" borderId="0" applyNumberFormat="0" applyBorder="0" applyAlignment="0" applyProtection="0"/>
    <xf numFmtId="0" fontId="21" fillId="0" borderId="0"/>
    <xf numFmtId="0" fontId="15" fillId="10" borderId="130" applyNumberFormat="0" applyFont="0" applyAlignment="0" applyProtection="0"/>
    <xf numFmtId="0" fontId="21" fillId="0" borderId="0"/>
    <xf numFmtId="0" fontId="15" fillId="10" borderId="130" applyNumberFormat="0" applyFont="0" applyAlignment="0" applyProtection="0"/>
    <xf numFmtId="0" fontId="15" fillId="10" borderId="130" applyNumberFormat="0" applyFont="0" applyAlignment="0" applyProtection="0"/>
    <xf numFmtId="0" fontId="15" fillId="10" borderId="130" applyNumberFormat="0" applyFont="0" applyAlignment="0" applyProtection="0"/>
    <xf numFmtId="0" fontId="21" fillId="0" borderId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3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2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130" applyNumberFormat="0" applyFont="0" applyAlignment="0" applyProtection="0"/>
    <xf numFmtId="0" fontId="15" fillId="17" borderId="0" applyNumberFormat="0" applyBorder="0" applyAlignment="0" applyProtection="0"/>
    <xf numFmtId="0" fontId="15" fillId="10" borderId="130" applyNumberFormat="0" applyFont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7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3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2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3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3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3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130" applyNumberFormat="0" applyFont="0" applyAlignment="0" applyProtection="0"/>
    <xf numFmtId="0" fontId="21" fillId="0" borderId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130" applyNumberFormat="0" applyFont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5" fillId="10" borderId="130" applyNumberFormat="0" applyFont="0" applyAlignment="0" applyProtection="0"/>
    <xf numFmtId="0" fontId="30" fillId="0" borderId="123" applyNumberFormat="0" applyFill="0" applyAlignment="0" applyProtection="0"/>
    <xf numFmtId="0" fontId="31" fillId="0" borderId="124" applyNumberFormat="0" applyFill="0" applyAlignment="0" applyProtection="0"/>
    <xf numFmtId="0" fontId="32" fillId="0" borderId="125" applyNumberFormat="0" applyFill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5" borderId="0" applyNumberFormat="0" applyBorder="0" applyAlignment="0" applyProtection="0"/>
    <xf numFmtId="0" fontId="35" fillId="6" borderId="0" applyNumberFormat="0" applyBorder="0" applyAlignment="0" applyProtection="0"/>
    <xf numFmtId="0" fontId="36" fillId="7" borderId="126" applyNumberFormat="0" applyAlignment="0" applyProtection="0"/>
    <xf numFmtId="0" fontId="37" fillId="8" borderId="127" applyNumberFormat="0" applyAlignment="0" applyProtection="0"/>
    <xf numFmtId="0" fontId="38" fillId="8" borderId="126" applyNumberFormat="0" applyAlignment="0" applyProtection="0"/>
    <xf numFmtId="0" fontId="39" fillId="0" borderId="128" applyNumberFormat="0" applyFill="0" applyAlignment="0" applyProtection="0"/>
    <xf numFmtId="0" fontId="40" fillId="9" borderId="12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31" applyNumberFormat="0" applyFill="0" applyAlignment="0" applyProtection="0"/>
    <xf numFmtId="0" fontId="4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4" fillId="34" borderId="0" applyNumberFormat="0" applyBorder="0" applyAlignment="0" applyProtection="0"/>
    <xf numFmtId="0" fontId="4" fillId="0" borderId="0"/>
    <xf numFmtId="0" fontId="21" fillId="0" borderId="0"/>
    <xf numFmtId="0" fontId="4" fillId="10" borderId="130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6" fillId="0" borderId="0"/>
    <xf numFmtId="0" fontId="30" fillId="0" borderId="123" applyNumberFormat="0" applyFill="0" applyAlignment="0" applyProtection="0"/>
    <xf numFmtId="0" fontId="31" fillId="0" borderId="124" applyNumberFormat="0" applyFill="0" applyAlignment="0" applyProtection="0"/>
    <xf numFmtId="0" fontId="32" fillId="0" borderId="125" applyNumberFormat="0" applyFill="0" applyAlignment="0" applyProtection="0"/>
    <xf numFmtId="0" fontId="33" fillId="4" borderId="0" applyNumberFormat="0" applyBorder="0" applyAlignment="0" applyProtection="0"/>
    <xf numFmtId="0" fontId="34" fillId="5" borderId="0" applyNumberFormat="0" applyBorder="0" applyAlignment="0" applyProtection="0"/>
    <xf numFmtId="0" fontId="35" fillId="6" borderId="0" applyNumberFormat="0" applyBorder="0" applyAlignment="0" applyProtection="0"/>
    <xf numFmtId="0" fontId="36" fillId="7" borderId="126" applyNumberFormat="0" applyAlignment="0" applyProtection="0"/>
    <xf numFmtId="0" fontId="37" fillId="8" borderId="127" applyNumberFormat="0" applyAlignment="0" applyProtection="0"/>
    <xf numFmtId="0" fontId="38" fillId="8" borderId="126" applyNumberFormat="0" applyAlignment="0" applyProtection="0"/>
    <xf numFmtId="0" fontId="39" fillId="0" borderId="128" applyNumberFormat="0" applyFill="0" applyAlignment="0" applyProtection="0"/>
    <xf numFmtId="0" fontId="40" fillId="9" borderId="12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31" applyNumberFormat="0" applyFill="0" applyAlignment="0" applyProtection="0"/>
    <xf numFmtId="0" fontId="4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44" fillId="34" borderId="0" applyNumberFormat="0" applyBorder="0" applyAlignment="0" applyProtection="0"/>
    <xf numFmtId="0" fontId="3" fillId="0" borderId="0"/>
    <xf numFmtId="0" fontId="3" fillId="10" borderId="130" applyNumberFormat="0" applyFont="0" applyAlignment="0" applyProtection="0"/>
    <xf numFmtId="0" fontId="59" fillId="0" borderId="0"/>
    <xf numFmtId="0" fontId="21" fillId="0" borderId="0"/>
    <xf numFmtId="43" fontId="15" fillId="0" borderId="0" applyFont="0" applyFill="0" applyBorder="0" applyAlignment="0" applyProtection="0"/>
    <xf numFmtId="0" fontId="61" fillId="0" borderId="0"/>
    <xf numFmtId="0" fontId="2" fillId="10" borderId="130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65" fillId="0" borderId="0"/>
    <xf numFmtId="0" fontId="1" fillId="10" borderId="13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668">
    <xf numFmtId="0" fontId="0" fillId="0" borderId="0" xfId="0"/>
    <xf numFmtId="0" fontId="8" fillId="2" borderId="0" xfId="0" applyFont="1" applyFill="1"/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1"/>
    <xf numFmtId="0" fontId="9" fillId="0" borderId="0" xfId="1" applyFont="1"/>
    <xf numFmtId="0" fontId="8" fillId="2" borderId="0" xfId="0" applyFont="1" applyFill="1" applyAlignment="1">
      <alignment vertical="center"/>
    </xf>
    <xf numFmtId="164" fontId="7" fillId="2" borderId="0" xfId="0" applyNumberFormat="1" applyFont="1" applyFill="1" applyAlignment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quotePrefix="1" applyFont="1" applyAlignment="1">
      <alignment horizontal="center" vertical="center"/>
    </xf>
    <xf numFmtId="0" fontId="11" fillId="0" borderId="5" xfId="0" quotePrefix="1" applyFont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3" fontId="13" fillId="2" borderId="0" xfId="0" applyNumberFormat="1" applyFont="1" applyFill="1" applyAlignment="1">
      <alignment horizontal="right" vertical="center" wrapText="1"/>
    </xf>
    <xf numFmtId="3" fontId="13" fillId="2" borderId="1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vertical="center"/>
    </xf>
    <xf numFmtId="3" fontId="11" fillId="0" borderId="6" xfId="0" applyNumberFormat="1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3" fontId="11" fillId="0" borderId="8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3" fontId="11" fillId="0" borderId="10" xfId="0" applyNumberFormat="1" applyFont="1" applyBorder="1" applyAlignment="1">
      <alignment horizontal="right" vertical="center"/>
    </xf>
    <xf numFmtId="0" fontId="11" fillId="0" borderId="8" xfId="0" quotePrefix="1" applyFont="1" applyBorder="1" applyAlignment="1">
      <alignment horizontal="center" vertical="center"/>
    </xf>
    <xf numFmtId="0" fontId="11" fillId="0" borderId="6" xfId="0" quotePrefix="1" applyFont="1" applyBorder="1" applyAlignment="1">
      <alignment horizontal="center" vertical="center"/>
    </xf>
    <xf numFmtId="0" fontId="11" fillId="0" borderId="10" xfId="0" quotePrefix="1" applyFont="1" applyBorder="1" applyAlignment="1">
      <alignment horizontal="center" vertical="center"/>
    </xf>
    <xf numFmtId="164" fontId="11" fillId="0" borderId="6" xfId="0" quotePrefix="1" applyNumberFormat="1" applyFont="1" applyBorder="1" applyAlignment="1">
      <alignment vertical="center"/>
    </xf>
    <xf numFmtId="3" fontId="11" fillId="0" borderId="6" xfId="0" applyNumberFormat="1" applyFont="1" applyBorder="1" applyAlignment="1">
      <alignment vertical="center"/>
    </xf>
    <xf numFmtId="164" fontId="11" fillId="0" borderId="8" xfId="0" quotePrefix="1" applyNumberFormat="1" applyFont="1" applyBorder="1" applyAlignment="1">
      <alignment vertical="center"/>
    </xf>
    <xf numFmtId="3" fontId="11" fillId="0" borderId="8" xfId="0" applyNumberFormat="1" applyFont="1" applyBorder="1" applyAlignment="1">
      <alignment vertical="center"/>
    </xf>
    <xf numFmtId="164" fontId="11" fillId="0" borderId="10" xfId="0" quotePrefix="1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164" fontId="11" fillId="0" borderId="8" xfId="0" applyNumberFormat="1" applyFont="1" applyBorder="1" applyAlignment="1">
      <alignment vertical="center"/>
    </xf>
    <xf numFmtId="164" fontId="11" fillId="0" borderId="10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165" fontId="13" fillId="2" borderId="5" xfId="2" applyNumberFormat="1" applyFont="1" applyFill="1" applyBorder="1" applyAlignment="1">
      <alignment horizontal="center" vertical="center" wrapText="1"/>
    </xf>
    <xf numFmtId="165" fontId="13" fillId="2" borderId="0" xfId="2" applyNumberFormat="1" applyFont="1" applyFill="1" applyAlignment="1">
      <alignment horizontal="center" vertical="center" wrapText="1"/>
    </xf>
    <xf numFmtId="165" fontId="13" fillId="2" borderId="1" xfId="2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7" fillId="2" borderId="0" xfId="0" applyNumberFormat="1" applyFont="1" applyFill="1" applyAlignment="1">
      <alignment horizontal="center" vertical="center" wrapText="1"/>
    </xf>
    <xf numFmtId="165" fontId="11" fillId="0" borderId="6" xfId="2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8" fillId="0" borderId="8" xfId="0" applyFont="1" applyBorder="1" applyAlignment="1">
      <alignment vertical="center"/>
    </xf>
    <xf numFmtId="0" fontId="16" fillId="0" borderId="0" xfId="0" applyFont="1"/>
    <xf numFmtId="165" fontId="11" fillId="0" borderId="7" xfId="2" applyNumberFormat="1" applyFont="1" applyBorder="1" applyAlignment="1">
      <alignment horizontal="center" vertical="center"/>
    </xf>
    <xf numFmtId="165" fontId="11" fillId="0" borderId="9" xfId="2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3" fontId="19" fillId="0" borderId="8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11" fillId="0" borderId="0" xfId="0" applyNumberFormat="1" applyFont="1" applyBorder="1" applyAlignment="1">
      <alignment horizontal="right" vertical="center"/>
    </xf>
    <xf numFmtId="165" fontId="11" fillId="0" borderId="5" xfId="2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1" fillId="0" borderId="0" xfId="0" quotePrefix="1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13" xfId="0" applyBorder="1" applyAlignment="1">
      <alignment vertical="center"/>
    </xf>
    <xf numFmtId="3" fontId="11" fillId="0" borderId="13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3" fontId="11" fillId="0" borderId="17" xfId="0" applyNumberFormat="1" applyFont="1" applyBorder="1" applyAlignment="1">
      <alignment horizontal="right" vertical="center"/>
    </xf>
    <xf numFmtId="165" fontId="11" fillId="0" borderId="16" xfId="2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3" fontId="11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3" fontId="11" fillId="0" borderId="20" xfId="0" applyNumberFormat="1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3" fontId="11" fillId="0" borderId="22" xfId="0" applyNumberFormat="1" applyFont="1" applyBorder="1" applyAlignment="1">
      <alignment horizontal="right" vertical="center"/>
    </xf>
    <xf numFmtId="165" fontId="11" fillId="0" borderId="19" xfId="2" applyNumberFormat="1" applyFont="1" applyBorder="1" applyAlignment="1">
      <alignment horizontal="center" vertical="center"/>
    </xf>
    <xf numFmtId="165" fontId="11" fillId="0" borderId="21" xfId="2" applyNumberFormat="1" applyFont="1" applyBorder="1" applyAlignment="1">
      <alignment horizontal="center" vertical="center"/>
    </xf>
    <xf numFmtId="165" fontId="11" fillId="0" borderId="23" xfId="2" applyNumberFormat="1" applyFont="1" applyBorder="1" applyAlignment="1">
      <alignment horizontal="center" vertical="center"/>
    </xf>
    <xf numFmtId="0" fontId="20" fillId="0" borderId="20" xfId="3" applyBorder="1" applyAlignment="1" applyProtection="1">
      <alignment vertical="center"/>
    </xf>
    <xf numFmtId="0" fontId="21" fillId="3" borderId="15" xfId="0" applyFont="1" applyFill="1" applyBorder="1" applyAlignment="1">
      <alignment vertical="center"/>
    </xf>
    <xf numFmtId="0" fontId="22" fillId="3" borderId="15" xfId="0" applyFont="1" applyFill="1" applyBorder="1" applyAlignment="1">
      <alignment vertical="center"/>
    </xf>
    <xf numFmtId="3" fontId="23" fillId="3" borderId="15" xfId="0" applyNumberFormat="1" applyFont="1" applyFill="1" applyBorder="1" applyAlignment="1">
      <alignment horizontal="right" vertical="center" wrapText="1"/>
    </xf>
    <xf numFmtId="165" fontId="11" fillId="0" borderId="0" xfId="2" applyNumberFormat="1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3" fontId="11" fillId="0" borderId="26" xfId="0" applyNumberFormat="1" applyFont="1" applyBorder="1" applyAlignment="1">
      <alignment horizontal="right" vertical="center"/>
    </xf>
    <xf numFmtId="0" fontId="0" fillId="0" borderId="27" xfId="0" applyBorder="1" applyAlignment="1">
      <alignment vertical="center"/>
    </xf>
    <xf numFmtId="3" fontId="11" fillId="0" borderId="27" xfId="0" applyNumberFormat="1" applyFont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3" fontId="13" fillId="2" borderId="0" xfId="0" applyNumberFormat="1" applyFont="1" applyFill="1" applyBorder="1" applyAlignment="1">
      <alignment horizontal="right" vertical="center" wrapText="1"/>
    </xf>
    <xf numFmtId="165" fontId="13" fillId="2" borderId="0" xfId="2" applyNumberFormat="1" applyFont="1" applyFill="1" applyBorder="1" applyAlignment="1">
      <alignment horizontal="right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quotePrefix="1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165" fontId="13" fillId="2" borderId="0" xfId="2" applyNumberFormat="1" applyFont="1" applyFill="1" applyBorder="1" applyAlignment="1">
      <alignment horizontal="center" vertical="center" wrapText="1"/>
    </xf>
    <xf numFmtId="0" fontId="21" fillId="0" borderId="0" xfId="0" applyFont="1" applyFill="1"/>
    <xf numFmtId="0" fontId="11" fillId="0" borderId="30" xfId="0" quotePrefix="1" applyFont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 wrapText="1"/>
    </xf>
    <xf numFmtId="165" fontId="11" fillId="0" borderId="31" xfId="2" quotePrefix="1" applyNumberFormat="1" applyFont="1" applyBorder="1" applyAlignment="1">
      <alignment horizontal="center" vertical="center"/>
    </xf>
    <xf numFmtId="165" fontId="13" fillId="2" borderId="32" xfId="2" applyNumberFormat="1" applyFont="1" applyFill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65" fontId="11" fillId="0" borderId="33" xfId="2" applyNumberFormat="1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3" fontId="13" fillId="2" borderId="34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165" fontId="11" fillId="0" borderId="5" xfId="0" quotePrefix="1" applyNumberFormat="1" applyFont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 wrapText="1"/>
    </xf>
    <xf numFmtId="165" fontId="11" fillId="0" borderId="7" xfId="0" applyNumberFormat="1" applyFont="1" applyBorder="1" applyAlignment="1">
      <alignment horizontal="center" vertical="center"/>
    </xf>
    <xf numFmtId="165" fontId="11" fillId="0" borderId="11" xfId="0" applyNumberFormat="1" applyFont="1" applyBorder="1" applyAlignment="1">
      <alignment horizontal="center" vertical="center"/>
    </xf>
    <xf numFmtId="165" fontId="13" fillId="2" borderId="5" xfId="0" applyNumberFormat="1" applyFont="1" applyFill="1" applyBorder="1" applyAlignment="1">
      <alignment horizontal="center" vertical="center" wrapText="1"/>
    </xf>
    <xf numFmtId="165" fontId="11" fillId="0" borderId="28" xfId="2" applyNumberFormat="1" applyFont="1" applyBorder="1" applyAlignment="1">
      <alignment horizontal="center" vertical="center"/>
    </xf>
    <xf numFmtId="0" fontId="12" fillId="0" borderId="4" xfId="0" applyFont="1" applyBorder="1" applyAlignment="1"/>
    <xf numFmtId="0" fontId="11" fillId="0" borderId="5" xfId="0" applyFont="1" applyBorder="1" applyAlignment="1">
      <alignment horizontal="center" vertical="center" wrapText="1"/>
    </xf>
    <xf numFmtId="3" fontId="10" fillId="0" borderId="0" xfId="0" applyNumberFormat="1" applyFont="1" applyAlignment="1">
      <alignment vertical="center"/>
    </xf>
    <xf numFmtId="3" fontId="10" fillId="0" borderId="4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4" fillId="2" borderId="0" xfId="0" applyNumberFormat="1" applyFont="1" applyFill="1" applyAlignment="1">
      <alignment horizontal="right" vertical="center" wrapText="1"/>
    </xf>
    <xf numFmtId="3" fontId="14" fillId="2" borderId="4" xfId="0" applyNumberFormat="1" applyFont="1" applyFill="1" applyBorder="1" applyAlignment="1">
      <alignment horizontal="right" vertical="center" wrapText="1"/>
    </xf>
    <xf numFmtId="3" fontId="14" fillId="2" borderId="0" xfId="0" applyNumberFormat="1" applyFont="1" applyFill="1" applyBorder="1" applyAlignment="1">
      <alignment horizontal="right" vertical="center" wrapText="1"/>
    </xf>
    <xf numFmtId="3" fontId="14" fillId="2" borderId="1" xfId="0" applyNumberFormat="1" applyFont="1" applyFill="1" applyBorder="1" applyAlignment="1">
      <alignment horizontal="right" vertical="center" wrapText="1"/>
    </xf>
    <xf numFmtId="3" fontId="14" fillId="2" borderId="36" xfId="0" applyNumberFormat="1" applyFont="1" applyFill="1" applyBorder="1" applyAlignment="1">
      <alignment horizontal="right" vertical="center" wrapText="1"/>
    </xf>
    <xf numFmtId="3" fontId="14" fillId="2" borderId="37" xfId="0" applyNumberFormat="1" applyFont="1" applyFill="1" applyBorder="1" applyAlignment="1">
      <alignment horizontal="right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165" fontId="10" fillId="0" borderId="0" xfId="2" applyNumberFormat="1" applyFont="1" applyAlignment="1">
      <alignment horizontal="center"/>
    </xf>
    <xf numFmtId="165" fontId="10" fillId="0" borderId="41" xfId="2" applyNumberFormat="1" applyFont="1" applyBorder="1" applyAlignment="1">
      <alignment horizontal="center"/>
    </xf>
    <xf numFmtId="165" fontId="10" fillId="0" borderId="42" xfId="2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165" fontId="10" fillId="0" borderId="0" xfId="2" applyNumberFormat="1" applyFont="1" applyAlignment="1">
      <alignment horizontal="center" vertical="center"/>
    </xf>
    <xf numFmtId="165" fontId="10" fillId="0" borderId="43" xfId="2" applyNumberFormat="1" applyFont="1" applyBorder="1" applyAlignment="1">
      <alignment horizontal="center" vertical="center"/>
    </xf>
    <xf numFmtId="165" fontId="10" fillId="0" borderId="44" xfId="2" applyNumberFormat="1" applyFont="1" applyBorder="1" applyAlignment="1">
      <alignment horizontal="center" vertical="center"/>
    </xf>
    <xf numFmtId="0" fontId="0" fillId="2" borderId="0" xfId="0" applyFill="1"/>
    <xf numFmtId="0" fontId="11" fillId="0" borderId="0" xfId="0" applyFont="1" applyFill="1" applyAlignment="1">
      <alignment horizontal="center"/>
    </xf>
    <xf numFmtId="0" fontId="0" fillId="0" borderId="26" xfId="0" applyFill="1" applyBorder="1" applyAlignment="1">
      <alignment vertical="center"/>
    </xf>
    <xf numFmtId="3" fontId="13" fillId="2" borderId="0" xfId="2" applyNumberFormat="1" applyFont="1" applyFill="1" applyBorder="1" applyAlignment="1">
      <alignment horizontal="center" vertical="center" wrapText="1"/>
    </xf>
    <xf numFmtId="3" fontId="13" fillId="2" borderId="1" xfId="2" applyNumberFormat="1" applyFont="1" applyFill="1" applyBorder="1" applyAlignment="1">
      <alignment horizontal="center" vertical="center" wrapText="1"/>
    </xf>
    <xf numFmtId="3" fontId="17" fillId="0" borderId="6" xfId="0" applyNumberFormat="1" applyFont="1" applyFill="1" applyBorder="1" applyAlignment="1">
      <alignment horizontal="right" vertical="center"/>
    </xf>
    <xf numFmtId="0" fontId="21" fillId="3" borderId="0" xfId="0" applyFont="1" applyFill="1" applyBorder="1" applyAlignment="1">
      <alignment vertical="center"/>
    </xf>
    <xf numFmtId="0" fontId="22" fillId="3" borderId="0" xfId="0" applyFont="1" applyFill="1" applyBorder="1" applyAlignment="1">
      <alignment vertical="center"/>
    </xf>
    <xf numFmtId="3" fontId="23" fillId="3" borderId="0" xfId="0" applyNumberFormat="1" applyFont="1" applyFill="1" applyBorder="1" applyAlignment="1">
      <alignment horizontal="right" vertical="center" wrapText="1"/>
    </xf>
    <xf numFmtId="165" fontId="23" fillId="3" borderId="5" xfId="2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2" fillId="0" borderId="0" xfId="0" applyFont="1" applyFill="1" applyBorder="1" applyAlignment="1"/>
    <xf numFmtId="165" fontId="11" fillId="0" borderId="20" xfId="2" applyNumberFormat="1" applyFont="1" applyBorder="1" applyAlignment="1">
      <alignment horizontal="center" vertical="center"/>
    </xf>
    <xf numFmtId="164" fontId="11" fillId="0" borderId="8" xfId="0" quotePrefix="1" applyNumberFormat="1" applyFont="1" applyBorder="1" applyAlignment="1">
      <alignment horizontal="right" vertical="center"/>
    </xf>
    <xf numFmtId="3" fontId="17" fillId="0" borderId="8" xfId="0" applyNumberFormat="1" applyFont="1" applyBorder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/>
    </xf>
    <xf numFmtId="165" fontId="11" fillId="0" borderId="6" xfId="2" applyNumberFormat="1" applyFont="1" applyBorder="1" applyAlignment="1">
      <alignment vertical="center"/>
    </xf>
    <xf numFmtId="165" fontId="11" fillId="0" borderId="10" xfId="2" applyNumberFormat="1" applyFont="1" applyBorder="1" applyAlignment="1">
      <alignment vertical="center"/>
    </xf>
    <xf numFmtId="3" fontId="11" fillId="0" borderId="6" xfId="0" applyNumberFormat="1" applyFont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0" fontId="0" fillId="0" borderId="46" xfId="0" applyBorder="1"/>
    <xf numFmtId="0" fontId="11" fillId="0" borderId="47" xfId="0" quotePrefix="1" applyFont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 wrapText="1"/>
    </xf>
    <xf numFmtId="165" fontId="11" fillId="0" borderId="48" xfId="2" applyNumberFormat="1" applyFont="1" applyBorder="1" applyAlignment="1">
      <alignment horizontal="center" vertical="center"/>
    </xf>
    <xf numFmtId="165" fontId="11" fillId="0" borderId="49" xfId="2" applyNumberFormat="1" applyFont="1" applyBorder="1" applyAlignment="1">
      <alignment horizontal="center" vertical="center"/>
    </xf>
    <xf numFmtId="165" fontId="11" fillId="0" borderId="50" xfId="2" applyNumberFormat="1" applyFont="1" applyBorder="1" applyAlignment="1">
      <alignment horizontal="center" vertical="center"/>
    </xf>
    <xf numFmtId="165" fontId="13" fillId="2" borderId="47" xfId="2" applyNumberFormat="1" applyFont="1" applyFill="1" applyBorder="1" applyAlignment="1">
      <alignment horizontal="center" vertical="center" wrapText="1"/>
    </xf>
    <xf numFmtId="165" fontId="11" fillId="0" borderId="48" xfId="2" quotePrefix="1" applyNumberFormat="1" applyFont="1" applyBorder="1" applyAlignment="1">
      <alignment horizontal="center" vertical="center"/>
    </xf>
    <xf numFmtId="165" fontId="13" fillId="2" borderId="52" xfId="2" applyNumberFormat="1" applyFont="1" applyFill="1" applyBorder="1" applyAlignment="1">
      <alignment horizontal="center" vertical="center" wrapText="1"/>
    </xf>
    <xf numFmtId="3" fontId="13" fillId="2" borderId="54" xfId="0" applyNumberFormat="1" applyFont="1" applyFill="1" applyBorder="1" applyAlignment="1">
      <alignment horizontal="right" vertical="center" wrapText="1"/>
    </xf>
    <xf numFmtId="0" fontId="11" fillId="0" borderId="41" xfId="0" applyFont="1" applyBorder="1" applyAlignment="1">
      <alignment horizontal="center" vertical="center"/>
    </xf>
    <xf numFmtId="0" fontId="11" fillId="0" borderId="42" xfId="0" quotePrefix="1" applyFont="1" applyBorder="1" applyAlignment="1">
      <alignment horizontal="center" vertical="center"/>
    </xf>
    <xf numFmtId="3" fontId="11" fillId="0" borderId="56" xfId="0" applyNumberFormat="1" applyFont="1" applyBorder="1" applyAlignment="1">
      <alignment horizontal="right" vertical="center"/>
    </xf>
    <xf numFmtId="3" fontId="11" fillId="0" borderId="58" xfId="0" applyNumberFormat="1" applyFont="1" applyBorder="1" applyAlignment="1">
      <alignment horizontal="right" vertical="center"/>
    </xf>
    <xf numFmtId="3" fontId="11" fillId="0" borderId="60" xfId="0" applyNumberFormat="1" applyFont="1" applyBorder="1" applyAlignment="1">
      <alignment horizontal="right" vertical="center"/>
    </xf>
    <xf numFmtId="3" fontId="13" fillId="2" borderId="41" xfId="0" applyNumberFormat="1" applyFont="1" applyFill="1" applyBorder="1" applyAlignment="1">
      <alignment horizontal="right" vertical="center" wrapText="1"/>
    </xf>
    <xf numFmtId="165" fontId="11" fillId="0" borderId="57" xfId="2" applyNumberFormat="1" applyFont="1" applyBorder="1" applyAlignment="1">
      <alignment horizontal="center" vertical="center"/>
    </xf>
    <xf numFmtId="3" fontId="13" fillId="2" borderId="62" xfId="0" applyNumberFormat="1" applyFont="1" applyFill="1" applyBorder="1" applyAlignment="1">
      <alignment horizontal="right" vertical="center" wrapText="1"/>
    </xf>
    <xf numFmtId="3" fontId="13" fillId="2" borderId="63" xfId="0" applyNumberFormat="1" applyFont="1" applyFill="1" applyBorder="1" applyAlignment="1">
      <alignment horizontal="right" vertical="center" wrapText="1"/>
    </xf>
    <xf numFmtId="165" fontId="13" fillId="2" borderId="63" xfId="2" applyNumberFormat="1" applyFont="1" applyFill="1" applyBorder="1" applyAlignment="1">
      <alignment horizontal="right" vertical="center" wrapText="1"/>
    </xf>
    <xf numFmtId="0" fontId="11" fillId="0" borderId="66" xfId="0" applyFont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 wrapText="1"/>
    </xf>
    <xf numFmtId="3" fontId="11" fillId="0" borderId="67" xfId="0" applyNumberFormat="1" applyFont="1" applyBorder="1" applyAlignment="1">
      <alignment horizontal="right" vertical="center"/>
    </xf>
    <xf numFmtId="3" fontId="11" fillId="0" borderId="68" xfId="0" applyNumberFormat="1" applyFont="1" applyBorder="1" applyAlignment="1">
      <alignment horizontal="right" vertical="center"/>
    </xf>
    <xf numFmtId="3" fontId="11" fillId="0" borderId="69" xfId="0" applyNumberFormat="1" applyFont="1" applyBorder="1" applyAlignment="1">
      <alignment horizontal="right" vertical="center"/>
    </xf>
    <xf numFmtId="3" fontId="13" fillId="2" borderId="66" xfId="0" applyNumberFormat="1" applyFont="1" applyFill="1" applyBorder="1" applyAlignment="1">
      <alignment horizontal="right" vertical="center" wrapText="1"/>
    </xf>
    <xf numFmtId="3" fontId="13" fillId="2" borderId="70" xfId="0" applyNumberFormat="1" applyFont="1" applyFill="1" applyBorder="1" applyAlignment="1">
      <alignment horizontal="right" vertical="center" wrapText="1"/>
    </xf>
    <xf numFmtId="0" fontId="18" fillId="0" borderId="65" xfId="0" applyFont="1" applyBorder="1" applyAlignment="1">
      <alignment horizontal="center"/>
    </xf>
    <xf numFmtId="165" fontId="11" fillId="0" borderId="71" xfId="2" applyNumberFormat="1" applyFont="1" applyBorder="1" applyAlignment="1">
      <alignment horizontal="center" vertical="center"/>
    </xf>
    <xf numFmtId="165" fontId="11" fillId="0" borderId="47" xfId="2" applyNumberFormat="1" applyFont="1" applyBorder="1" applyAlignment="1">
      <alignment horizontal="center" vertical="center"/>
    </xf>
    <xf numFmtId="3" fontId="13" fillId="2" borderId="76" xfId="0" applyNumberFormat="1" applyFont="1" applyFill="1" applyBorder="1" applyAlignment="1">
      <alignment horizontal="right" vertical="center" wrapText="1"/>
    </xf>
    <xf numFmtId="3" fontId="11" fillId="0" borderId="77" xfId="0" applyNumberFormat="1" applyFont="1" applyBorder="1" applyAlignment="1">
      <alignment horizontal="right" vertical="center"/>
    </xf>
    <xf numFmtId="3" fontId="11" fillId="0" borderId="56" xfId="0" applyNumberFormat="1" applyFont="1" applyFill="1" applyBorder="1" applyAlignment="1">
      <alignment horizontal="right" vertical="center"/>
    </xf>
    <xf numFmtId="3" fontId="13" fillId="2" borderId="43" xfId="0" applyNumberFormat="1" applyFont="1" applyFill="1" applyBorder="1" applyAlignment="1">
      <alignment horizontal="right" vertical="center" wrapText="1"/>
    </xf>
    <xf numFmtId="165" fontId="13" fillId="2" borderId="42" xfId="2" applyNumberFormat="1" applyFont="1" applyFill="1" applyBorder="1" applyAlignment="1">
      <alignment horizontal="center" vertical="center" wrapText="1"/>
    </xf>
    <xf numFmtId="165" fontId="13" fillId="2" borderId="42" xfId="2" quotePrefix="1" applyNumberFormat="1" applyFont="1" applyFill="1" applyBorder="1" applyAlignment="1">
      <alignment horizontal="center" vertical="center" wrapText="1"/>
    </xf>
    <xf numFmtId="3" fontId="11" fillId="0" borderId="41" xfId="0" applyNumberFormat="1" applyFont="1" applyBorder="1" applyAlignment="1">
      <alignment horizontal="right" vertical="center"/>
    </xf>
    <xf numFmtId="165" fontId="11" fillId="0" borderId="42" xfId="2" applyNumberFormat="1" applyFont="1" applyBorder="1" applyAlignment="1">
      <alignment horizontal="center" vertical="center"/>
    </xf>
    <xf numFmtId="165" fontId="13" fillId="2" borderId="64" xfId="2" applyNumberFormat="1" applyFont="1" applyFill="1" applyBorder="1" applyAlignment="1">
      <alignment horizontal="center" vertical="center" wrapText="1"/>
    </xf>
    <xf numFmtId="3" fontId="13" fillId="2" borderId="83" xfId="0" applyNumberFormat="1" applyFont="1" applyFill="1" applyBorder="1" applyAlignment="1">
      <alignment horizontal="right" vertical="center" wrapText="1"/>
    </xf>
    <xf numFmtId="165" fontId="13" fillId="2" borderId="44" xfId="2" applyNumberFormat="1" applyFont="1" applyFill="1" applyBorder="1" applyAlignment="1">
      <alignment horizontal="center" vertical="center" wrapText="1"/>
    </xf>
    <xf numFmtId="3" fontId="11" fillId="0" borderId="66" xfId="0" applyNumberFormat="1" applyFont="1" applyBorder="1" applyAlignment="1">
      <alignment horizontal="right" vertical="center"/>
    </xf>
    <xf numFmtId="3" fontId="11" fillId="0" borderId="84" xfId="0" applyNumberFormat="1" applyFont="1" applyBorder="1" applyAlignment="1">
      <alignment horizontal="right" vertical="center"/>
    </xf>
    <xf numFmtId="165" fontId="11" fillId="0" borderId="59" xfId="2" applyNumberFormat="1" applyFont="1" applyBorder="1" applyAlignment="1">
      <alignment horizontal="center" vertical="center"/>
    </xf>
    <xf numFmtId="3" fontId="11" fillId="0" borderId="17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165" fontId="13" fillId="2" borderId="63" xfId="2" applyNumberFormat="1" applyFont="1" applyFill="1" applyBorder="1" applyAlignment="1">
      <alignment horizontal="center" vertical="center" wrapText="1"/>
    </xf>
    <xf numFmtId="165" fontId="11" fillId="0" borderId="85" xfId="2" applyNumberFormat="1" applyFont="1" applyBorder="1" applyAlignment="1">
      <alignment horizontal="center" vertical="center"/>
    </xf>
    <xf numFmtId="165" fontId="11" fillId="0" borderId="86" xfId="2" applyNumberFormat="1" applyFont="1" applyBorder="1" applyAlignment="1">
      <alignment horizontal="center" vertical="center"/>
    </xf>
    <xf numFmtId="165" fontId="11" fillId="0" borderId="87" xfId="2" applyNumberFormat="1" applyFont="1" applyBorder="1" applyAlignment="1">
      <alignment horizontal="center" vertical="center"/>
    </xf>
    <xf numFmtId="165" fontId="11" fillId="0" borderId="88" xfId="2" applyNumberFormat="1" applyFont="1" applyBorder="1" applyAlignment="1">
      <alignment horizontal="center" vertical="center"/>
    </xf>
    <xf numFmtId="165" fontId="13" fillId="2" borderId="90" xfId="2" applyNumberFormat="1" applyFont="1" applyFill="1" applyBorder="1" applyAlignment="1">
      <alignment horizontal="center" vertical="center" wrapText="1"/>
    </xf>
    <xf numFmtId="165" fontId="13" fillId="2" borderId="91" xfId="2" applyNumberFormat="1" applyFont="1" applyFill="1" applyBorder="1" applyAlignment="1">
      <alignment horizontal="center" vertical="center" wrapText="1"/>
    </xf>
    <xf numFmtId="165" fontId="11" fillId="0" borderId="92" xfId="2" applyNumberFormat="1" applyFont="1" applyBorder="1" applyAlignment="1">
      <alignment horizontal="center" vertical="center"/>
    </xf>
    <xf numFmtId="165" fontId="23" fillId="3" borderId="72" xfId="2" applyNumberFormat="1" applyFont="1" applyFill="1" applyBorder="1" applyAlignment="1">
      <alignment horizontal="center" vertical="center" wrapText="1"/>
    </xf>
    <xf numFmtId="165" fontId="13" fillId="2" borderId="51" xfId="2" applyNumberFormat="1" applyFont="1" applyFill="1" applyBorder="1" applyAlignment="1">
      <alignment horizontal="center" vertical="center" wrapText="1"/>
    </xf>
    <xf numFmtId="3" fontId="11" fillId="0" borderId="94" xfId="0" applyNumberFormat="1" applyFont="1" applyBorder="1" applyAlignment="1">
      <alignment horizontal="right" vertical="center"/>
    </xf>
    <xf numFmtId="3" fontId="11" fillId="0" borderId="95" xfId="0" applyNumberFormat="1" applyFont="1" applyBorder="1" applyAlignment="1">
      <alignment horizontal="right" vertical="center"/>
    </xf>
    <xf numFmtId="3" fontId="11" fillId="0" borderId="96" xfId="0" applyNumberFormat="1" applyFont="1" applyBorder="1" applyAlignment="1">
      <alignment horizontal="right" vertical="center"/>
    </xf>
    <xf numFmtId="3" fontId="13" fillId="2" borderId="97" xfId="0" applyNumberFormat="1" applyFont="1" applyFill="1" applyBorder="1" applyAlignment="1">
      <alignment horizontal="right" vertical="center" wrapText="1"/>
    </xf>
    <xf numFmtId="3" fontId="17" fillId="0" borderId="56" xfId="0" applyNumberFormat="1" applyFont="1" applyFill="1" applyBorder="1" applyAlignment="1">
      <alignment horizontal="right" vertical="center"/>
    </xf>
    <xf numFmtId="3" fontId="11" fillId="0" borderId="100" xfId="0" applyNumberFormat="1" applyFont="1" applyBorder="1" applyAlignment="1">
      <alignment horizontal="right" vertical="center"/>
    </xf>
    <xf numFmtId="3" fontId="11" fillId="0" borderId="102" xfId="0" applyNumberFormat="1" applyFont="1" applyBorder="1" applyAlignment="1">
      <alignment horizontal="right" vertical="center"/>
    </xf>
    <xf numFmtId="3" fontId="11" fillId="0" borderId="104" xfId="0" applyNumberFormat="1" applyFont="1" applyBorder="1" applyAlignment="1">
      <alignment horizontal="right" vertical="center"/>
    </xf>
    <xf numFmtId="3" fontId="11" fillId="0" borderId="106" xfId="0" applyNumberFormat="1" applyFont="1" applyBorder="1" applyAlignment="1">
      <alignment horizontal="right" vertical="center"/>
    </xf>
    <xf numFmtId="3" fontId="23" fillId="3" borderId="66" xfId="0" applyNumberFormat="1" applyFont="1" applyFill="1" applyBorder="1" applyAlignment="1">
      <alignment horizontal="right" vertical="center" wrapText="1"/>
    </xf>
    <xf numFmtId="3" fontId="23" fillId="3" borderId="75" xfId="0" applyNumberFormat="1" applyFont="1" applyFill="1" applyBorder="1" applyAlignment="1">
      <alignment horizontal="right" vertical="center" wrapText="1"/>
    </xf>
    <xf numFmtId="165" fontId="11" fillId="0" borderId="101" xfId="2" applyNumberFormat="1" applyFont="1" applyBorder="1" applyAlignment="1">
      <alignment horizontal="center" vertical="center"/>
    </xf>
    <xf numFmtId="165" fontId="11" fillId="0" borderId="107" xfId="2" applyNumberFormat="1" applyFont="1" applyBorder="1" applyAlignment="1">
      <alignment horizontal="center" vertical="center"/>
    </xf>
    <xf numFmtId="3" fontId="23" fillId="3" borderId="78" xfId="0" applyNumberFormat="1" applyFont="1" applyFill="1" applyBorder="1" applyAlignment="1">
      <alignment horizontal="right" vertical="center" wrapText="1"/>
    </xf>
    <xf numFmtId="0" fontId="0" fillId="0" borderId="46" xfId="0" applyBorder="1" applyAlignment="1">
      <alignment horizontal="center"/>
    </xf>
    <xf numFmtId="3" fontId="11" fillId="0" borderId="67" xfId="0" applyNumberFormat="1" applyFont="1" applyBorder="1" applyAlignment="1">
      <alignment vertical="center"/>
    </xf>
    <xf numFmtId="3" fontId="11" fillId="0" borderId="68" xfId="0" applyNumberFormat="1" applyFont="1" applyBorder="1" applyAlignment="1">
      <alignment vertical="center"/>
    </xf>
    <xf numFmtId="3" fontId="13" fillId="2" borderId="66" xfId="0" applyNumberFormat="1" applyFont="1" applyFill="1" applyBorder="1" applyAlignment="1">
      <alignment horizontal="center" vertical="center" wrapText="1"/>
    </xf>
    <xf numFmtId="3" fontId="13" fillId="2" borderId="70" xfId="0" applyNumberFormat="1" applyFont="1" applyFill="1" applyBorder="1" applyAlignment="1">
      <alignment horizontal="center" vertical="center" wrapText="1"/>
    </xf>
    <xf numFmtId="3" fontId="13" fillId="2" borderId="0" xfId="0" applyNumberFormat="1" applyFont="1" applyFill="1" applyBorder="1" applyAlignment="1">
      <alignment horizontal="center" vertical="center" wrapText="1"/>
    </xf>
    <xf numFmtId="3" fontId="13" fillId="2" borderId="54" xfId="0" applyNumberFormat="1" applyFont="1" applyFill="1" applyBorder="1" applyAlignment="1">
      <alignment horizontal="center" vertical="center" wrapText="1"/>
    </xf>
    <xf numFmtId="3" fontId="11" fillId="0" borderId="56" xfId="0" applyNumberFormat="1" applyFont="1" applyBorder="1" applyAlignment="1">
      <alignment vertical="center"/>
    </xf>
    <xf numFmtId="3" fontId="11" fillId="0" borderId="58" xfId="0" applyNumberFormat="1" applyFont="1" applyBorder="1" applyAlignment="1">
      <alignment vertical="center"/>
    </xf>
    <xf numFmtId="3" fontId="11" fillId="0" borderId="60" xfId="0" applyNumberFormat="1" applyFont="1" applyBorder="1" applyAlignment="1">
      <alignment vertical="center"/>
    </xf>
    <xf numFmtId="3" fontId="13" fillId="2" borderId="41" xfId="0" applyNumberFormat="1" applyFont="1" applyFill="1" applyBorder="1" applyAlignment="1">
      <alignment horizontal="center" vertical="center" wrapText="1"/>
    </xf>
    <xf numFmtId="3" fontId="13" fillId="2" borderId="62" xfId="0" applyNumberFormat="1" applyFont="1" applyFill="1" applyBorder="1" applyAlignment="1">
      <alignment horizontal="center" vertical="center" wrapText="1"/>
    </xf>
    <xf numFmtId="3" fontId="13" fillId="2" borderId="63" xfId="0" applyNumberFormat="1" applyFont="1" applyFill="1" applyBorder="1" applyAlignment="1">
      <alignment horizontal="center" vertical="center" wrapText="1"/>
    </xf>
    <xf numFmtId="165" fontId="11" fillId="0" borderId="108" xfId="2" applyNumberFormat="1" applyFont="1" applyBorder="1" applyAlignment="1">
      <alignment horizontal="center" vertical="center"/>
    </xf>
    <xf numFmtId="165" fontId="11" fillId="0" borderId="109" xfId="2" applyNumberFormat="1" applyFont="1" applyBorder="1" applyAlignment="1">
      <alignment horizontal="center" vertical="center"/>
    </xf>
    <xf numFmtId="165" fontId="11" fillId="0" borderId="109" xfId="2" quotePrefix="1" applyNumberFormat="1" applyFont="1" applyBorder="1" applyAlignment="1">
      <alignment horizontal="center" vertical="center"/>
    </xf>
    <xf numFmtId="165" fontId="11" fillId="0" borderId="110" xfId="2" applyNumberFormat="1" applyFont="1" applyBorder="1" applyAlignment="1">
      <alignment horizontal="center" vertical="center"/>
    </xf>
    <xf numFmtId="165" fontId="13" fillId="2" borderId="73" xfId="2" applyNumberFormat="1" applyFont="1" applyFill="1" applyBorder="1" applyAlignment="1">
      <alignment horizontal="center" vertical="center" wrapText="1"/>
    </xf>
    <xf numFmtId="0" fontId="11" fillId="0" borderId="108" xfId="0" quotePrefix="1" applyFont="1" applyBorder="1" applyAlignment="1">
      <alignment horizontal="center" vertical="center"/>
    </xf>
    <xf numFmtId="0" fontId="11" fillId="0" borderId="110" xfId="0" quotePrefix="1" applyFont="1" applyBorder="1" applyAlignment="1">
      <alignment horizontal="center" vertical="center"/>
    </xf>
    <xf numFmtId="0" fontId="13" fillId="2" borderId="73" xfId="0" quotePrefix="1" applyFont="1" applyFill="1" applyBorder="1" applyAlignment="1">
      <alignment horizontal="center" vertical="center" wrapText="1"/>
    </xf>
    <xf numFmtId="165" fontId="13" fillId="2" borderId="111" xfId="2" applyNumberFormat="1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 wrapText="1"/>
    </xf>
    <xf numFmtId="3" fontId="11" fillId="0" borderId="41" xfId="0" applyNumberFormat="1" applyFont="1" applyBorder="1" applyAlignment="1">
      <alignment horizontal="center" vertical="center"/>
    </xf>
    <xf numFmtId="3" fontId="7" fillId="2" borderId="41" xfId="0" applyNumberFormat="1" applyFont="1" applyFill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3" fillId="2" borderId="42" xfId="0" applyFont="1" applyFill="1" applyBorder="1" applyAlignment="1">
      <alignment horizontal="center" vertical="center" wrapText="1"/>
    </xf>
    <xf numFmtId="165" fontId="11" fillId="0" borderId="108" xfId="2" quotePrefix="1" applyNumberFormat="1" applyFont="1" applyBorder="1" applyAlignment="1">
      <alignment horizontal="center" vertical="center"/>
    </xf>
    <xf numFmtId="165" fontId="13" fillId="2" borderId="73" xfId="2" quotePrefix="1" applyNumberFormat="1" applyFont="1" applyFill="1" applyBorder="1" applyAlignment="1">
      <alignment horizontal="center" vertical="center" wrapText="1"/>
    </xf>
    <xf numFmtId="0" fontId="11" fillId="0" borderId="57" xfId="0" quotePrefix="1" applyFont="1" applyBorder="1" applyAlignment="1">
      <alignment horizontal="center" vertical="center"/>
    </xf>
    <xf numFmtId="0" fontId="11" fillId="0" borderId="61" xfId="0" quotePrefix="1" applyFont="1" applyBorder="1" applyAlignment="1">
      <alignment horizontal="center" vertical="center"/>
    </xf>
    <xf numFmtId="0" fontId="13" fillId="2" borderId="0" xfId="0" quotePrefix="1" applyFont="1" applyFill="1" applyBorder="1" applyAlignment="1">
      <alignment horizontal="center" vertical="center" wrapText="1"/>
    </xf>
    <xf numFmtId="0" fontId="13" fillId="2" borderId="42" xfId="0" quotePrefix="1" applyFont="1" applyFill="1" applyBorder="1" applyAlignment="1">
      <alignment horizontal="center" vertical="center" wrapText="1"/>
    </xf>
    <xf numFmtId="0" fontId="13" fillId="2" borderId="112" xfId="0" quotePrefix="1" applyFont="1" applyFill="1" applyBorder="1" applyAlignment="1">
      <alignment horizontal="center" vertical="center" wrapText="1"/>
    </xf>
    <xf numFmtId="0" fontId="11" fillId="0" borderId="59" xfId="0" quotePrefix="1" applyFont="1" applyBorder="1" applyAlignment="1">
      <alignment horizontal="center" vertical="center"/>
    </xf>
    <xf numFmtId="165" fontId="13" fillId="2" borderId="112" xfId="2" applyNumberFormat="1" applyFont="1" applyFill="1" applyBorder="1" applyAlignment="1">
      <alignment horizontal="center" vertical="center" wrapText="1"/>
    </xf>
    <xf numFmtId="0" fontId="24" fillId="0" borderId="101" xfId="6" applyFont="1" applyBorder="1"/>
    <xf numFmtId="0" fontId="21" fillId="0" borderId="105" xfId="10" applyFont="1" applyBorder="1"/>
    <xf numFmtId="0" fontId="0" fillId="0" borderId="117" xfId="0" applyBorder="1" applyAlignment="1">
      <alignment vertical="center"/>
    </xf>
    <xf numFmtId="3" fontId="11" fillId="0" borderId="116" xfId="0" applyNumberFormat="1" applyFont="1" applyBorder="1" applyAlignment="1">
      <alignment horizontal="right" vertical="center"/>
    </xf>
    <xf numFmtId="3" fontId="11" fillId="0" borderId="117" xfId="0" applyNumberFormat="1" applyFont="1" applyBorder="1" applyAlignment="1">
      <alignment horizontal="right" vertical="center"/>
    </xf>
    <xf numFmtId="165" fontId="11" fillId="0" borderId="119" xfId="2" applyNumberFormat="1" applyFont="1" applyBorder="1" applyAlignment="1">
      <alignment horizontal="center" vertical="center"/>
    </xf>
    <xf numFmtId="165" fontId="11" fillId="0" borderId="18" xfId="2" quotePrefix="1" applyNumberFormat="1" applyFont="1" applyBorder="1" applyAlignment="1">
      <alignment horizontal="center" vertical="center"/>
    </xf>
    <xf numFmtId="165" fontId="11" fillId="0" borderId="99" xfId="2" quotePrefix="1" applyNumberFormat="1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" fontId="11" fillId="0" borderId="100" xfId="0" applyNumberFormat="1" applyFont="1" applyFill="1" applyBorder="1" applyAlignment="1">
      <alignment horizontal="right" vertical="center"/>
    </xf>
    <xf numFmtId="165" fontId="17" fillId="0" borderId="27" xfId="2" applyNumberFormat="1" applyFont="1" applyFill="1" applyBorder="1" applyAlignment="1">
      <alignment horizontal="center" vertical="center" wrapText="1"/>
    </xf>
    <xf numFmtId="165" fontId="11" fillId="0" borderId="26" xfId="2" applyNumberFormat="1" applyFont="1" applyBorder="1" applyAlignment="1">
      <alignment horizontal="center" vertical="center"/>
    </xf>
    <xf numFmtId="165" fontId="11" fillId="0" borderId="50" xfId="2" quotePrefix="1" applyNumberFormat="1" applyFont="1" applyBorder="1" applyAlignment="1">
      <alignment horizontal="center" vertical="center"/>
    </xf>
    <xf numFmtId="165" fontId="13" fillId="2" borderId="47" xfId="2" quotePrefix="1" applyNumberFormat="1" applyFont="1" applyFill="1" applyBorder="1" applyAlignment="1">
      <alignment horizontal="center" vertical="center" wrapText="1"/>
    </xf>
    <xf numFmtId="165" fontId="23" fillId="3" borderId="89" xfId="2" applyNumberFormat="1" applyFont="1" applyFill="1" applyBorder="1" applyAlignment="1">
      <alignment horizontal="center" vertical="center" wrapText="1"/>
    </xf>
    <xf numFmtId="165" fontId="11" fillId="0" borderId="31" xfId="2" applyNumberFormat="1" applyFont="1" applyBorder="1" applyAlignment="1">
      <alignment horizontal="center" vertical="center"/>
    </xf>
    <xf numFmtId="165" fontId="11" fillId="0" borderId="73" xfId="2" applyNumberFormat="1" applyFont="1" applyBorder="1" applyAlignment="1">
      <alignment horizontal="center" vertical="center"/>
    </xf>
    <xf numFmtId="165" fontId="13" fillId="2" borderId="38" xfId="2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3" fontId="11" fillId="0" borderId="120" xfId="2" applyNumberFormat="1" applyFont="1" applyBorder="1" applyAlignment="1">
      <alignment horizontal="right" vertical="center"/>
    </xf>
    <xf numFmtId="165" fontId="11" fillId="0" borderId="5" xfId="2" applyNumberFormat="1" applyFont="1" applyBorder="1" applyAlignment="1">
      <alignment horizontal="center" vertical="center" shrinkToFit="1"/>
    </xf>
    <xf numFmtId="4" fontId="0" fillId="0" borderId="0" xfId="0" applyNumberFormat="1"/>
    <xf numFmtId="165" fontId="18" fillId="0" borderId="39" xfId="0" applyNumberFormat="1" applyFont="1" applyBorder="1" applyAlignment="1">
      <alignment horizontal="center"/>
    </xf>
    <xf numFmtId="165" fontId="11" fillId="0" borderId="41" xfId="0" applyNumberFormat="1" applyFont="1" applyBorder="1" applyAlignment="1">
      <alignment horizontal="center" vertical="center"/>
    </xf>
    <xf numFmtId="165" fontId="7" fillId="2" borderId="41" xfId="0" applyNumberFormat="1" applyFont="1" applyFill="1" applyBorder="1" applyAlignment="1">
      <alignment horizontal="center" vertical="center" wrapText="1"/>
    </xf>
    <xf numFmtId="165" fontId="13" fillId="2" borderId="41" xfId="0" applyNumberFormat="1" applyFont="1" applyFill="1" applyBorder="1" applyAlignment="1">
      <alignment horizontal="center" vertical="center" wrapText="1"/>
    </xf>
    <xf numFmtId="165" fontId="11" fillId="0" borderId="56" xfId="0" applyNumberFormat="1" applyFont="1" applyBorder="1" applyAlignment="1">
      <alignment horizontal="center" vertical="center"/>
    </xf>
    <xf numFmtId="165" fontId="11" fillId="0" borderId="60" xfId="0" applyNumberFormat="1" applyFont="1" applyBorder="1" applyAlignment="1">
      <alignment horizontal="center" vertical="center"/>
    </xf>
    <xf numFmtId="165" fontId="11" fillId="0" borderId="6" xfId="0" applyNumberFormat="1" applyFont="1" applyBorder="1" applyAlignment="1">
      <alignment horizontal="center" vertical="center"/>
    </xf>
    <xf numFmtId="165" fontId="13" fillId="2" borderId="0" xfId="0" applyNumberFormat="1" applyFont="1" applyFill="1" applyBorder="1" applyAlignment="1">
      <alignment horizontal="center" vertical="center" wrapText="1"/>
    </xf>
    <xf numFmtId="165" fontId="11" fillId="0" borderId="10" xfId="0" applyNumberFormat="1" applyFont="1" applyBorder="1" applyAlignment="1">
      <alignment horizontal="center" vertical="center"/>
    </xf>
    <xf numFmtId="165" fontId="13" fillId="2" borderId="63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Border="1" applyAlignment="1">
      <alignment horizontal="center" vertical="center"/>
    </xf>
    <xf numFmtId="0" fontId="16" fillId="0" borderId="65" xfId="0" quotePrefix="1" applyFont="1" applyBorder="1" applyAlignment="1">
      <alignment horizontal="center"/>
    </xf>
    <xf numFmtId="0" fontId="11" fillId="0" borderId="122" xfId="0" quotePrefix="1" applyFont="1" applyBorder="1" applyAlignment="1">
      <alignment horizontal="center" vertical="center"/>
    </xf>
    <xf numFmtId="165" fontId="11" fillId="0" borderId="0" xfId="2" quotePrefix="1" applyNumberFormat="1" applyFont="1" applyBorder="1" applyAlignment="1">
      <alignment horizontal="center" vertical="center"/>
    </xf>
    <xf numFmtId="165" fontId="11" fillId="0" borderId="105" xfId="2" quotePrefix="1" applyNumberFormat="1" applyFont="1" applyBorder="1" applyAlignment="1">
      <alignment horizontal="center" vertical="center"/>
    </xf>
    <xf numFmtId="165" fontId="11" fillId="0" borderId="8" xfId="2" applyNumberFormat="1" applyFont="1" applyBorder="1" applyAlignment="1">
      <alignment horizontal="center" vertical="center"/>
    </xf>
    <xf numFmtId="0" fontId="21" fillId="0" borderId="6" xfId="0" applyFont="1" applyBorder="1" applyAlignment="1">
      <alignment vertical="center"/>
    </xf>
    <xf numFmtId="3" fontId="17" fillId="0" borderId="67" xfId="0" applyNumberFormat="1" applyFont="1" applyBorder="1" applyAlignment="1">
      <alignment horizontal="right" vertical="center"/>
    </xf>
    <xf numFmtId="3" fontId="17" fillId="0" borderId="56" xfId="0" applyNumberFormat="1" applyFont="1" applyBorder="1" applyAlignment="1">
      <alignment horizontal="right" vertical="center"/>
    </xf>
    <xf numFmtId="3" fontId="17" fillId="0" borderId="6" xfId="0" applyNumberFormat="1" applyFont="1" applyBorder="1" applyAlignment="1">
      <alignment horizontal="right" vertical="center"/>
    </xf>
    <xf numFmtId="165" fontId="17" fillId="0" borderId="48" xfId="2" applyNumberFormat="1" applyFont="1" applyBorder="1" applyAlignment="1">
      <alignment horizontal="center" vertical="center"/>
    </xf>
    <xf numFmtId="0" fontId="17" fillId="0" borderId="0" xfId="0" quotePrefix="1" applyFont="1" applyAlignment="1">
      <alignment horizontal="center"/>
    </xf>
    <xf numFmtId="0" fontId="21" fillId="0" borderId="0" xfId="0" applyFont="1"/>
    <xf numFmtId="0" fontId="21" fillId="0" borderId="8" xfId="0" applyFont="1" applyBorder="1" applyAlignment="1">
      <alignment vertical="center"/>
    </xf>
    <xf numFmtId="0" fontId="17" fillId="0" borderId="0" xfId="0" applyFont="1" applyAlignment="1">
      <alignment horizontal="center"/>
    </xf>
    <xf numFmtId="0" fontId="21" fillId="0" borderId="10" xfId="0" applyFont="1" applyBorder="1" applyAlignment="1">
      <alignment vertical="center"/>
    </xf>
    <xf numFmtId="3" fontId="17" fillId="0" borderId="69" xfId="0" applyNumberFormat="1" applyFont="1" applyBorder="1" applyAlignment="1">
      <alignment horizontal="right" vertical="center"/>
    </xf>
    <xf numFmtId="3" fontId="17" fillId="0" borderId="60" xfId="0" applyNumberFormat="1" applyFont="1" applyBorder="1" applyAlignment="1">
      <alignment horizontal="right" vertical="center"/>
    </xf>
    <xf numFmtId="165" fontId="17" fillId="0" borderId="49" xfId="2" applyNumberFormat="1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right" vertical="center"/>
    </xf>
    <xf numFmtId="165" fontId="17" fillId="0" borderId="50" xfId="2" applyNumberFormat="1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3" fontId="17" fillId="0" borderId="13" xfId="0" applyNumberFormat="1" applyFont="1" applyBorder="1" applyAlignment="1">
      <alignment horizontal="right" vertical="center"/>
    </xf>
    <xf numFmtId="165" fontId="17" fillId="0" borderId="71" xfId="2" applyNumberFormat="1" applyFont="1" applyBorder="1" applyAlignment="1">
      <alignment horizontal="center" vertical="center"/>
    </xf>
    <xf numFmtId="0" fontId="21" fillId="0" borderId="15" xfId="0" applyFont="1" applyBorder="1" applyAlignment="1">
      <alignment vertical="center"/>
    </xf>
    <xf numFmtId="3" fontId="17" fillId="0" borderId="75" xfId="0" applyNumberFormat="1" applyFont="1" applyBorder="1" applyAlignment="1">
      <alignment horizontal="right" vertical="center"/>
    </xf>
    <xf numFmtId="3" fontId="17" fillId="0" borderId="78" xfId="0" applyNumberFormat="1" applyFont="1" applyBorder="1" applyAlignment="1">
      <alignment horizontal="right" vertical="center"/>
    </xf>
    <xf numFmtId="3" fontId="17" fillId="0" borderId="15" xfId="0" applyNumberFormat="1" applyFont="1" applyBorder="1" applyAlignment="1">
      <alignment horizontal="right" vertical="center"/>
    </xf>
    <xf numFmtId="165" fontId="17" fillId="0" borderId="80" xfId="2" applyNumberFormat="1" applyFont="1" applyBorder="1" applyAlignment="1">
      <alignment horizontal="center" vertical="center"/>
    </xf>
    <xf numFmtId="165" fontId="17" fillId="0" borderId="72" xfId="2" quotePrefix="1" applyNumberFormat="1" applyFont="1" applyBorder="1" applyAlignment="1">
      <alignment horizontal="center" vertical="center"/>
    </xf>
    <xf numFmtId="0" fontId="21" fillId="0" borderId="6" xfId="0" applyFont="1" applyFill="1" applyBorder="1" applyAlignment="1">
      <alignment vertical="center"/>
    </xf>
    <xf numFmtId="3" fontId="17" fillId="0" borderId="67" xfId="0" applyNumberFormat="1" applyFont="1" applyFill="1" applyBorder="1" applyAlignment="1">
      <alignment horizontal="right" vertical="center"/>
    </xf>
    <xf numFmtId="0" fontId="21" fillId="0" borderId="114" xfId="5" applyFont="1" applyFill="1" applyBorder="1"/>
    <xf numFmtId="165" fontId="17" fillId="0" borderId="6" xfId="2" applyNumberFormat="1" applyFont="1" applyFill="1" applyBorder="1" applyAlignment="1">
      <alignment horizontal="center" vertical="center"/>
    </xf>
    <xf numFmtId="165" fontId="17" fillId="0" borderId="57" xfId="2" quotePrefix="1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3" fontId="17" fillId="0" borderId="117" xfId="0" applyNumberFormat="1" applyFont="1" applyFill="1" applyBorder="1" applyAlignment="1">
      <alignment horizontal="right" vertical="center"/>
    </xf>
    <xf numFmtId="165" fontId="17" fillId="0" borderId="117" xfId="2" applyNumberFormat="1" applyFont="1" applyFill="1" applyBorder="1" applyAlignment="1">
      <alignment horizontal="center" vertical="center"/>
    </xf>
    <xf numFmtId="165" fontId="17" fillId="0" borderId="114" xfId="2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right" vertical="center"/>
    </xf>
    <xf numFmtId="165" fontId="17" fillId="0" borderId="47" xfId="2" applyNumberFormat="1" applyFont="1" applyBorder="1" applyAlignment="1">
      <alignment horizontal="center" vertical="center"/>
    </xf>
    <xf numFmtId="165" fontId="17" fillId="0" borderId="86" xfId="2" applyNumberFormat="1" applyFont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165" fontId="17" fillId="0" borderId="57" xfId="2" applyNumberFormat="1" applyFont="1" applyFill="1" applyBorder="1" applyAlignment="1">
      <alignment horizontal="center" vertical="center"/>
    </xf>
    <xf numFmtId="0" fontId="17" fillId="0" borderId="0" xfId="0" quotePrefix="1" applyFont="1" applyFill="1" applyAlignment="1">
      <alignment horizontal="center" shrinkToFit="1"/>
    </xf>
    <xf numFmtId="165" fontId="17" fillId="0" borderId="6" xfId="2" quotePrefix="1" applyNumberFormat="1" applyFont="1" applyFill="1" applyBorder="1" applyAlignment="1">
      <alignment horizontal="center" vertical="center"/>
    </xf>
    <xf numFmtId="0" fontId="17" fillId="0" borderId="0" xfId="0" quotePrefix="1" applyFont="1" applyFill="1" applyAlignment="1">
      <alignment horizontal="center"/>
    </xf>
    <xf numFmtId="0" fontId="21" fillId="0" borderId="17" xfId="0" applyFont="1" applyBorder="1" applyAlignment="1">
      <alignment vertical="center"/>
    </xf>
    <xf numFmtId="165" fontId="17" fillId="0" borderId="42" xfId="2" applyNumberFormat="1" applyFont="1" applyFill="1" applyBorder="1" applyAlignment="1">
      <alignment horizontal="center" vertical="center"/>
    </xf>
    <xf numFmtId="165" fontId="17" fillId="0" borderId="80" xfId="2" applyNumberFormat="1" applyFont="1" applyFill="1" applyBorder="1" applyAlignment="1">
      <alignment horizontal="center" vertical="center"/>
    </xf>
    <xf numFmtId="0" fontId="21" fillId="0" borderId="18" xfId="0" applyFont="1" applyBorder="1" applyAlignment="1">
      <alignment vertical="center"/>
    </xf>
    <xf numFmtId="3" fontId="17" fillId="0" borderId="93" xfId="0" applyNumberFormat="1" applyFont="1" applyBorder="1" applyAlignment="1">
      <alignment horizontal="right" vertical="center"/>
    </xf>
    <xf numFmtId="3" fontId="17" fillId="0" borderId="98" xfId="0" applyNumberFormat="1" applyFont="1" applyBorder="1" applyAlignment="1">
      <alignment horizontal="right" vertical="center"/>
    </xf>
    <xf numFmtId="3" fontId="17" fillId="0" borderId="18" xfId="0" applyNumberFormat="1" applyFont="1" applyBorder="1" applyAlignment="1">
      <alignment horizontal="right" vertical="center"/>
    </xf>
    <xf numFmtId="165" fontId="17" fillId="0" borderId="99" xfId="2" applyNumberFormat="1" applyFont="1" applyBorder="1" applyAlignment="1">
      <alignment horizontal="center" vertical="center"/>
    </xf>
    <xf numFmtId="165" fontId="17" fillId="0" borderId="48" xfId="2" quotePrefix="1" applyNumberFormat="1" applyFont="1" applyFill="1" applyBorder="1" applyAlignment="1">
      <alignment horizontal="center" vertical="center"/>
    </xf>
    <xf numFmtId="165" fontId="17" fillId="0" borderId="101" xfId="2" applyNumberFormat="1" applyFont="1" applyBorder="1" applyAlignment="1">
      <alignment horizontal="center" vertical="center"/>
    </xf>
    <xf numFmtId="3" fontId="17" fillId="0" borderId="84" xfId="0" applyNumberFormat="1" applyFont="1" applyBorder="1" applyAlignment="1">
      <alignment horizontal="right" vertical="center"/>
    </xf>
    <xf numFmtId="3" fontId="17" fillId="0" borderId="81" xfId="0" applyNumberFormat="1" applyFont="1" applyBorder="1" applyAlignment="1">
      <alignment horizontal="right" vertical="center"/>
    </xf>
    <xf numFmtId="3" fontId="17" fillId="0" borderId="17" xfId="0" applyNumberFormat="1" applyFont="1" applyBorder="1" applyAlignment="1">
      <alignment horizontal="right" vertical="center"/>
    </xf>
    <xf numFmtId="165" fontId="17" fillId="0" borderId="72" xfId="2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right" vertical="center"/>
    </xf>
    <xf numFmtId="165" fontId="17" fillId="0" borderId="8" xfId="2" applyNumberFormat="1" applyFont="1" applyBorder="1" applyAlignment="1">
      <alignment horizontal="center" vertical="center"/>
    </xf>
    <xf numFmtId="165" fontId="17" fillId="0" borderId="7" xfId="2" applyNumberFormat="1" applyFont="1" applyFill="1" applyBorder="1" applyAlignment="1">
      <alignment horizontal="center" vertical="center"/>
    </xf>
    <xf numFmtId="165" fontId="11" fillId="0" borderId="11" xfId="2" applyNumberFormat="1" applyFont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57" fillId="0" borderId="0" xfId="0" quotePrefix="1" applyFont="1" applyAlignment="1">
      <alignment horizontal="center"/>
    </xf>
    <xf numFmtId="0" fontId="58" fillId="0" borderId="0" xfId="0" applyFont="1" applyAlignment="1">
      <alignment horizontal="center"/>
    </xf>
    <xf numFmtId="3" fontId="11" fillId="0" borderId="8" xfId="0" applyNumberFormat="1" applyFont="1" applyBorder="1" applyAlignment="1">
      <alignment horizontal="center" vertical="center"/>
    </xf>
    <xf numFmtId="165" fontId="13" fillId="2" borderId="133" xfId="2" applyNumberFormat="1" applyFont="1" applyFill="1" applyBorder="1" applyAlignment="1">
      <alignment horizontal="center" vertical="center" wrapText="1"/>
    </xf>
    <xf numFmtId="3" fontId="13" fillId="2" borderId="134" xfId="0" applyNumberFormat="1" applyFont="1" applyFill="1" applyBorder="1" applyAlignment="1">
      <alignment horizontal="right" vertical="center" wrapText="1"/>
    </xf>
    <xf numFmtId="165" fontId="13" fillId="2" borderId="135" xfId="2" applyNumberFormat="1" applyFont="1" applyFill="1" applyBorder="1" applyAlignment="1">
      <alignment horizontal="center" vertical="center" wrapText="1"/>
    </xf>
    <xf numFmtId="3" fontId="13" fillId="2" borderId="0" xfId="2" applyNumberFormat="1" applyFont="1" applyFill="1" applyBorder="1" applyAlignment="1">
      <alignment horizontal="right" vertical="center" wrapText="1"/>
    </xf>
    <xf numFmtId="3" fontId="13" fillId="2" borderId="132" xfId="0" applyNumberFormat="1" applyFont="1" applyFill="1" applyBorder="1" applyAlignment="1">
      <alignment horizontal="center" vertical="center" wrapText="1"/>
    </xf>
    <xf numFmtId="165" fontId="17" fillId="0" borderId="7" xfId="2" applyNumberFormat="1" applyFont="1" applyBorder="1" applyAlignment="1">
      <alignment horizontal="center" vertical="center"/>
    </xf>
    <xf numFmtId="165" fontId="17" fillId="0" borderId="19" xfId="2" applyNumberFormat="1" applyFont="1" applyBorder="1" applyAlignment="1">
      <alignment horizontal="center" vertical="center"/>
    </xf>
    <xf numFmtId="3" fontId="11" fillId="0" borderId="0" xfId="0" applyNumberFormat="1" applyFont="1" applyBorder="1"/>
    <xf numFmtId="3" fontId="11" fillId="0" borderId="0" xfId="0" applyNumberFormat="1" applyFont="1"/>
    <xf numFmtId="0" fontId="21" fillId="0" borderId="0" xfId="0" applyFont="1" applyBorder="1"/>
    <xf numFmtId="3" fontId="17" fillId="35" borderId="77" xfId="0" applyNumberFormat="1" applyFont="1" applyFill="1" applyBorder="1" applyAlignment="1">
      <alignment horizontal="right" vertical="center"/>
    </xf>
    <xf numFmtId="0" fontId="0" fillId="0" borderId="0" xfId="0" applyBorder="1"/>
    <xf numFmtId="3" fontId="17" fillId="0" borderId="136" xfId="0" applyNumberFormat="1" applyFont="1" applyBorder="1" applyAlignment="1">
      <alignment horizontal="right" vertical="center"/>
    </xf>
    <xf numFmtId="0" fontId="21" fillId="0" borderId="0" xfId="10" applyFont="1" applyBorder="1"/>
    <xf numFmtId="3" fontId="11" fillId="0" borderId="6" xfId="0" applyNumberFormat="1" applyFont="1" applyBorder="1" applyAlignment="1">
      <alignment horizontal="center" vertical="center"/>
    </xf>
    <xf numFmtId="165" fontId="11" fillId="0" borderId="118" xfId="2" applyNumberFormat="1" applyFont="1" applyBorder="1" applyAlignment="1">
      <alignment horizontal="center" vertical="center"/>
    </xf>
    <xf numFmtId="165" fontId="11" fillId="0" borderId="25" xfId="2" applyNumberFormat="1" applyFont="1" applyBorder="1" applyAlignment="1">
      <alignment horizontal="center" vertical="center"/>
    </xf>
    <xf numFmtId="43" fontId="0" fillId="0" borderId="0" xfId="247" applyFont="1"/>
    <xf numFmtId="0" fontId="21" fillId="0" borderId="141" xfId="0" applyFont="1" applyBorder="1" applyAlignment="1">
      <alignment vertical="center"/>
    </xf>
    <xf numFmtId="0" fontId="21" fillId="0" borderId="142" xfId="0" applyFont="1" applyBorder="1" applyAlignment="1">
      <alignment vertical="center"/>
    </xf>
    <xf numFmtId="0" fontId="23" fillId="0" borderId="0" xfId="0" applyFont="1" applyFill="1" applyAlignment="1">
      <alignment horizontal="center"/>
    </xf>
    <xf numFmtId="165" fontId="60" fillId="2" borderId="56" xfId="0" applyNumberFormat="1" applyFont="1" applyFill="1" applyBorder="1" applyAlignment="1">
      <alignment horizontal="center" vertical="center"/>
    </xf>
    <xf numFmtId="165" fontId="17" fillId="0" borderId="13" xfId="2" quotePrefix="1" applyNumberFormat="1" applyFont="1" applyBorder="1" applyAlignment="1">
      <alignment horizontal="center" vertical="center"/>
    </xf>
    <xf numFmtId="165" fontId="11" fillId="0" borderId="57" xfId="2" quotePrefix="1" applyNumberFormat="1" applyFont="1" applyBorder="1" applyAlignment="1">
      <alignment horizontal="center" vertical="center"/>
    </xf>
    <xf numFmtId="166" fontId="11" fillId="0" borderId="0" xfId="247" applyNumberFormat="1" applyFont="1"/>
    <xf numFmtId="167" fontId="11" fillId="0" borderId="0" xfId="247" applyNumberFormat="1" applyFont="1"/>
    <xf numFmtId="167" fontId="11" fillId="0" borderId="0" xfId="0" applyNumberFormat="1" applyFont="1"/>
    <xf numFmtId="165" fontId="11" fillId="0" borderId="12" xfId="2" applyNumberFormat="1" applyFont="1" applyBorder="1" applyAlignment="1">
      <alignment horizontal="center" vertical="center"/>
    </xf>
    <xf numFmtId="9" fontId="11" fillId="0" borderId="27" xfId="2" applyNumberFormat="1" applyFont="1" applyBorder="1" applyAlignment="1">
      <alignment horizontal="center" vertical="center"/>
    </xf>
    <xf numFmtId="167" fontId="13" fillId="2" borderId="63" xfId="247" applyNumberFormat="1" applyFont="1" applyFill="1" applyBorder="1" applyAlignment="1">
      <alignment horizontal="right" vertical="center" wrapText="1"/>
    </xf>
    <xf numFmtId="165" fontId="60" fillId="2" borderId="69" xfId="0" applyNumberFormat="1" applyFont="1" applyFill="1" applyBorder="1" applyAlignment="1">
      <alignment horizontal="center" vertical="center"/>
    </xf>
    <xf numFmtId="165" fontId="17" fillId="0" borderId="57" xfId="2" quotePrefix="1" applyNumberFormat="1" applyFont="1" applyBorder="1" applyAlignment="1">
      <alignment horizontal="center" vertical="center"/>
    </xf>
    <xf numFmtId="165" fontId="17" fillId="0" borderId="80" xfId="2" quotePrefix="1" applyNumberFormat="1" applyFont="1" applyBorder="1" applyAlignment="1">
      <alignment horizontal="center" vertical="center"/>
    </xf>
    <xf numFmtId="165" fontId="17" fillId="0" borderId="42" xfId="2" quotePrefix="1" applyNumberFormat="1" applyFont="1" applyBorder="1" applyAlignment="1">
      <alignment horizontal="center" vertical="center"/>
    </xf>
    <xf numFmtId="4" fontId="11" fillId="0" borderId="0" xfId="0" applyNumberFormat="1" applyFont="1"/>
    <xf numFmtId="0" fontId="11" fillId="0" borderId="0" xfId="0" applyFont="1"/>
    <xf numFmtId="0" fontId="11" fillId="0" borderId="0" xfId="0" applyFont="1" applyAlignment="1">
      <alignment vertical="center"/>
    </xf>
    <xf numFmtId="165" fontId="11" fillId="0" borderId="58" xfId="0" applyNumberFormat="1" applyFont="1" applyBorder="1" applyAlignment="1">
      <alignment horizontal="center" vertical="center"/>
    </xf>
    <xf numFmtId="165" fontId="11" fillId="0" borderId="69" xfId="0" applyNumberFormat="1" applyFont="1" applyBorder="1" applyAlignment="1">
      <alignment horizontal="center" vertical="center"/>
    </xf>
    <xf numFmtId="165" fontId="17" fillId="0" borderId="15" xfId="2" quotePrefix="1" applyNumberFormat="1" applyFont="1" applyBorder="1" applyAlignment="1">
      <alignment horizontal="center" vertical="center"/>
    </xf>
    <xf numFmtId="165" fontId="11" fillId="0" borderId="27" xfId="2" quotePrefix="1" applyNumberFormat="1" applyFont="1" applyBorder="1" applyAlignment="1">
      <alignment horizontal="center" vertical="center"/>
    </xf>
    <xf numFmtId="165" fontId="23" fillId="0" borderId="89" xfId="2" applyNumberFormat="1" applyFont="1" applyFill="1" applyBorder="1" applyAlignment="1">
      <alignment horizontal="center" vertical="center" wrapText="1"/>
    </xf>
    <xf numFmtId="165" fontId="23" fillId="0" borderId="47" xfId="2" applyNumberFormat="1" applyFont="1" applyFill="1" applyBorder="1" applyAlignment="1">
      <alignment horizontal="center" vertical="center" wrapText="1"/>
    </xf>
    <xf numFmtId="0" fontId="12" fillId="0" borderId="144" xfId="0" applyFont="1" applyBorder="1" applyAlignment="1">
      <alignment horizontal="center"/>
    </xf>
    <xf numFmtId="0" fontId="11" fillId="0" borderId="145" xfId="0" quotePrefix="1" applyFont="1" applyBorder="1" applyAlignment="1">
      <alignment horizontal="center" vertical="center"/>
    </xf>
    <xf numFmtId="165" fontId="17" fillId="0" borderId="146" xfId="2" quotePrefix="1" applyNumberFormat="1" applyFont="1" applyBorder="1" applyAlignment="1">
      <alignment horizontal="center" vertical="center"/>
    </xf>
    <xf numFmtId="165" fontId="13" fillId="2" borderId="61" xfId="2" applyNumberFormat="1" applyFont="1" applyFill="1" applyBorder="1" applyAlignment="1">
      <alignment horizontal="center" vertical="center" wrapText="1"/>
    </xf>
    <xf numFmtId="0" fontId="18" fillId="0" borderId="65" xfId="0" applyFont="1" applyFill="1" applyBorder="1" applyAlignment="1">
      <alignment horizontal="center"/>
    </xf>
    <xf numFmtId="165" fontId="17" fillId="0" borderId="57" xfId="2" applyNumberFormat="1" applyFont="1" applyBorder="1" applyAlignment="1">
      <alignment horizontal="center" vertical="center"/>
    </xf>
    <xf numFmtId="165" fontId="17" fillId="0" borderId="61" xfId="2" quotePrefix="1" applyNumberFormat="1" applyFont="1" applyBorder="1" applyAlignment="1">
      <alignment horizontal="center" vertical="center"/>
    </xf>
    <xf numFmtId="165" fontId="17" fillId="0" borderId="79" xfId="2" applyNumberFormat="1" applyFont="1" applyBorder="1" applyAlignment="1">
      <alignment horizontal="center" vertical="center"/>
    </xf>
    <xf numFmtId="9" fontId="17" fillId="0" borderId="57" xfId="2" applyNumberFormat="1" applyFont="1" applyBorder="1" applyAlignment="1">
      <alignment horizontal="center" vertical="center"/>
    </xf>
    <xf numFmtId="165" fontId="17" fillId="0" borderId="42" xfId="2" quotePrefix="1" applyNumberFormat="1" applyFont="1" applyFill="1" applyBorder="1" applyAlignment="1">
      <alignment horizontal="center" vertical="center"/>
    </xf>
    <xf numFmtId="165" fontId="17" fillId="0" borderId="147" xfId="2" quotePrefix="1" applyNumberFormat="1" applyFont="1" applyBorder="1" applyAlignment="1">
      <alignment horizontal="center" vertical="center"/>
    </xf>
    <xf numFmtId="3" fontId="17" fillId="0" borderId="41" xfId="0" applyNumberFormat="1" applyFont="1" applyBorder="1" applyAlignment="1">
      <alignment horizontal="right" vertical="center"/>
    </xf>
    <xf numFmtId="3" fontId="17" fillId="0" borderId="13" xfId="0" applyNumberFormat="1" applyFont="1" applyFill="1" applyBorder="1" applyAlignment="1">
      <alignment horizontal="right" vertical="center"/>
    </xf>
    <xf numFmtId="3" fontId="17" fillId="0" borderId="148" xfId="0" applyNumberFormat="1" applyFont="1" applyFill="1" applyBorder="1" applyAlignment="1">
      <alignment horizontal="right" vertical="center"/>
    </xf>
    <xf numFmtId="165" fontId="17" fillId="0" borderId="6" xfId="2" applyNumberFormat="1" applyFont="1" applyBorder="1" applyAlignment="1">
      <alignment horizontal="center" vertical="center"/>
    </xf>
    <xf numFmtId="165" fontId="17" fillId="0" borderId="10" xfId="2" applyNumberFormat="1" applyFont="1" applyBorder="1" applyAlignment="1">
      <alignment horizontal="center" vertical="center"/>
    </xf>
    <xf numFmtId="165" fontId="17" fillId="0" borderId="6" xfId="2" quotePrefix="1" applyNumberFormat="1" applyFont="1" applyBorder="1" applyAlignment="1">
      <alignment horizontal="center" vertical="center"/>
    </xf>
    <xf numFmtId="165" fontId="17" fillId="0" borderId="136" xfId="2" quotePrefix="1" applyNumberFormat="1" applyFont="1" applyBorder="1" applyAlignment="1">
      <alignment horizontal="center" vertical="center"/>
    </xf>
    <xf numFmtId="165" fontId="17" fillId="0" borderId="0" xfId="2" quotePrefix="1" applyNumberFormat="1" applyFont="1" applyFill="1" applyBorder="1" applyAlignment="1">
      <alignment horizontal="center" vertical="center"/>
    </xf>
    <xf numFmtId="165" fontId="13" fillId="2" borderId="83" xfId="2" applyNumberFormat="1" applyFont="1" applyFill="1" applyBorder="1" applyAlignment="1">
      <alignment horizontal="center" vertical="center" wrapText="1"/>
    </xf>
    <xf numFmtId="165" fontId="17" fillId="0" borderId="18" xfId="2" quotePrefix="1" applyNumberFormat="1" applyFont="1" applyBorder="1" applyAlignment="1">
      <alignment horizontal="center" vertical="center"/>
    </xf>
    <xf numFmtId="165" fontId="17" fillId="0" borderId="17" xfId="2" quotePrefix="1" applyNumberFormat="1" applyFont="1" applyBorder="1" applyAlignment="1">
      <alignment horizontal="center" vertical="center"/>
    </xf>
    <xf numFmtId="165" fontId="17" fillId="0" borderId="0" xfId="2" quotePrefix="1" applyNumberFormat="1" applyFont="1" applyBorder="1" applyAlignment="1">
      <alignment horizontal="center" vertical="center"/>
    </xf>
    <xf numFmtId="165" fontId="56" fillId="0" borderId="0" xfId="2" applyNumberFormat="1" applyFont="1" applyFill="1" applyBorder="1" applyAlignment="1">
      <alignment horizontal="center" vertical="center"/>
    </xf>
    <xf numFmtId="165" fontId="11" fillId="0" borderId="17" xfId="2" applyNumberFormat="1" applyFont="1" applyBorder="1" applyAlignment="1">
      <alignment horizontal="center" vertical="center"/>
    </xf>
    <xf numFmtId="165" fontId="17" fillId="0" borderId="137" xfId="2" applyNumberFormat="1" applyFont="1" applyBorder="1" applyAlignment="1">
      <alignment horizontal="center" vertical="center"/>
    </xf>
    <xf numFmtId="165" fontId="17" fillId="0" borderId="138" xfId="2" applyNumberFormat="1" applyFont="1" applyBorder="1" applyAlignment="1">
      <alignment horizontal="center" vertical="center"/>
    </xf>
    <xf numFmtId="165" fontId="17" fillId="0" borderId="139" xfId="2" applyNumberFormat="1" applyFont="1" applyBorder="1" applyAlignment="1">
      <alignment horizontal="center" vertical="center"/>
    </xf>
    <xf numFmtId="165" fontId="17" fillId="0" borderId="85" xfId="2" applyNumberFormat="1" applyFont="1" applyBorder="1" applyAlignment="1">
      <alignment horizontal="center" vertical="center"/>
    </xf>
    <xf numFmtId="9" fontId="17" fillId="0" borderId="86" xfId="2" applyNumberFormat="1" applyFont="1" applyBorder="1" applyAlignment="1">
      <alignment horizontal="center" vertical="center"/>
    </xf>
    <xf numFmtId="3" fontId="11" fillId="0" borderId="81" xfId="0" applyNumberFormat="1" applyFont="1" applyFill="1" applyBorder="1" applyAlignment="1">
      <alignment horizontal="right" vertical="center"/>
    </xf>
    <xf numFmtId="165" fontId="11" fillId="0" borderId="10" xfId="2" applyNumberFormat="1" applyFont="1" applyBorder="1" applyAlignment="1">
      <alignment horizontal="center" vertical="center"/>
    </xf>
    <xf numFmtId="165" fontId="11" fillId="0" borderId="61" xfId="2" applyNumberFormat="1" applyFont="1" applyBorder="1" applyAlignment="1">
      <alignment horizontal="center" vertical="center"/>
    </xf>
    <xf numFmtId="3" fontId="17" fillId="0" borderId="66" xfId="0" applyNumberFormat="1" applyFont="1" applyBorder="1" applyAlignment="1">
      <alignment horizontal="right" vertical="center"/>
    </xf>
    <xf numFmtId="3" fontId="17" fillId="0" borderId="149" xfId="0" applyNumberFormat="1" applyFont="1" applyBorder="1" applyAlignment="1">
      <alignment horizontal="right" vertical="center"/>
    </xf>
    <xf numFmtId="3" fontId="11" fillId="0" borderId="150" xfId="0" applyNumberFormat="1" applyFont="1" applyBorder="1" applyAlignment="1">
      <alignment horizontal="right" vertical="center"/>
    </xf>
    <xf numFmtId="3" fontId="11" fillId="0" borderId="151" xfId="0" applyNumberFormat="1" applyFont="1" applyBorder="1" applyAlignment="1">
      <alignment horizontal="right" vertical="center"/>
    </xf>
    <xf numFmtId="3" fontId="11" fillId="0" borderId="74" xfId="0" applyNumberFormat="1" applyFont="1" applyBorder="1" applyAlignment="1">
      <alignment horizontal="right" vertical="center"/>
    </xf>
    <xf numFmtId="3" fontId="11" fillId="0" borderId="115" xfId="0" applyNumberFormat="1" applyFont="1" applyBorder="1" applyAlignment="1">
      <alignment vertical="center"/>
    </xf>
    <xf numFmtId="3" fontId="11" fillId="0" borderId="117" xfId="0" applyNumberFormat="1" applyFont="1" applyBorder="1" applyAlignment="1">
      <alignment vertical="center"/>
    </xf>
    <xf numFmtId="3" fontId="17" fillId="0" borderId="10" xfId="0" applyNumberFormat="1" applyFont="1" applyFill="1" applyBorder="1" applyAlignment="1">
      <alignment horizontal="right" vertical="center"/>
    </xf>
    <xf numFmtId="3" fontId="17" fillId="0" borderId="13" xfId="0" applyNumberFormat="1" applyFont="1" applyBorder="1"/>
    <xf numFmtId="165" fontId="17" fillId="0" borderId="113" xfId="2" applyNumberFormat="1" applyFont="1" applyBorder="1" applyAlignment="1">
      <alignment horizontal="center" vertical="center"/>
    </xf>
    <xf numFmtId="165" fontId="17" fillId="0" borderId="12" xfId="2" applyNumberFormat="1" applyFont="1" applyBorder="1" applyAlignment="1">
      <alignment horizontal="center" vertical="center"/>
    </xf>
    <xf numFmtId="165" fontId="17" fillId="0" borderId="14" xfId="2" applyNumberFormat="1" applyFont="1" applyBorder="1" applyAlignment="1">
      <alignment horizontal="center" vertical="center"/>
    </xf>
    <xf numFmtId="165" fontId="17" fillId="0" borderId="5" xfId="2" applyNumberFormat="1" applyFont="1" applyBorder="1" applyAlignment="1">
      <alignment horizontal="center" vertical="center"/>
    </xf>
    <xf numFmtId="165" fontId="17" fillId="0" borderId="16" xfId="2" applyNumberFormat="1" applyFont="1" applyBorder="1" applyAlignment="1">
      <alignment horizontal="center" vertical="center"/>
    </xf>
    <xf numFmtId="165" fontId="11" fillId="0" borderId="82" xfId="2" applyNumberFormat="1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165" fontId="13" fillId="2" borderId="62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/>
    </xf>
    <xf numFmtId="3" fontId="13" fillId="2" borderId="0" xfId="0" applyNumberFormat="1" applyFont="1" applyFill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165" fontId="11" fillId="0" borderId="8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3" fontId="11" fillId="0" borderId="0" xfId="0" applyNumberFormat="1" applyFont="1" applyAlignment="1">
      <alignment horizontal="center"/>
    </xf>
    <xf numFmtId="165" fontId="13" fillId="2" borderId="54" xfId="2" applyNumberFormat="1" applyFont="1" applyFill="1" applyBorder="1" applyAlignment="1">
      <alignment horizontal="center" vertical="center" wrapText="1"/>
    </xf>
    <xf numFmtId="0" fontId="0" fillId="0" borderId="121" xfId="0" applyBorder="1" applyAlignment="1">
      <alignment horizontal="center"/>
    </xf>
    <xf numFmtId="165" fontId="11" fillId="0" borderId="117" xfId="2" applyNumberFormat="1" applyFont="1" applyBorder="1" applyAlignment="1">
      <alignment horizontal="center" vertical="center"/>
    </xf>
    <xf numFmtId="165" fontId="11" fillId="0" borderId="22" xfId="2" applyNumberFormat="1" applyFont="1" applyBorder="1" applyAlignment="1">
      <alignment horizontal="center" vertical="center"/>
    </xf>
    <xf numFmtId="165" fontId="11" fillId="0" borderId="27" xfId="2" applyNumberFormat="1" applyFont="1" applyBorder="1" applyAlignment="1">
      <alignment horizontal="center" vertical="center"/>
    </xf>
    <xf numFmtId="165" fontId="11" fillId="0" borderId="18" xfId="2" applyNumberFormat="1" applyFont="1" applyBorder="1" applyAlignment="1">
      <alignment horizontal="center" vertical="center"/>
    </xf>
    <xf numFmtId="165" fontId="11" fillId="0" borderId="13" xfId="2" applyNumberFormat="1" applyFont="1" applyBorder="1" applyAlignment="1">
      <alignment horizontal="center" vertical="center"/>
    </xf>
    <xf numFmtId="165" fontId="11" fillId="0" borderId="6" xfId="2" quotePrefix="1" applyNumberFormat="1" applyFont="1" applyBorder="1" applyAlignment="1">
      <alignment horizontal="center" vertical="center"/>
    </xf>
    <xf numFmtId="165" fontId="11" fillId="0" borderId="8" xfId="2" quotePrefix="1" applyNumberFormat="1" applyFont="1" applyBorder="1" applyAlignment="1">
      <alignment horizontal="center" vertical="center"/>
    </xf>
    <xf numFmtId="165" fontId="11" fillId="0" borderId="17" xfId="2" quotePrefix="1" applyNumberFormat="1" applyFont="1" applyBorder="1" applyAlignment="1">
      <alignment horizontal="center" vertical="center"/>
    </xf>
    <xf numFmtId="165" fontId="11" fillId="0" borderId="20" xfId="2" quotePrefix="1" applyNumberFormat="1" applyFont="1" applyBorder="1" applyAlignment="1">
      <alignment horizontal="center" vertical="center"/>
    </xf>
    <xf numFmtId="165" fontId="11" fillId="0" borderId="22" xfId="2" quotePrefix="1" applyNumberFormat="1" applyFont="1" applyBorder="1" applyAlignment="1">
      <alignment horizontal="center" vertical="center"/>
    </xf>
    <xf numFmtId="165" fontId="11" fillId="0" borderId="13" xfId="2" quotePrefix="1" applyNumberFormat="1" applyFont="1" applyBorder="1" applyAlignment="1">
      <alignment horizontal="center" vertical="center"/>
    </xf>
    <xf numFmtId="165" fontId="23" fillId="3" borderId="26" xfId="2" applyNumberFormat="1" applyFont="1" applyFill="1" applyBorder="1" applyAlignment="1">
      <alignment horizontal="center" vertical="center" wrapText="1"/>
    </xf>
    <xf numFmtId="165" fontId="23" fillId="3" borderId="15" xfId="2" applyNumberFormat="1" applyFont="1" applyFill="1" applyBorder="1" applyAlignment="1">
      <alignment horizontal="center" vertical="center" wrapText="1"/>
    </xf>
    <xf numFmtId="167" fontId="11" fillId="0" borderId="0" xfId="247" applyNumberFormat="1" applyFont="1" applyAlignment="1">
      <alignment horizontal="center"/>
    </xf>
    <xf numFmtId="165" fontId="23" fillId="3" borderId="0" xfId="2" applyNumberFormat="1" applyFont="1" applyFill="1" applyBorder="1" applyAlignment="1">
      <alignment horizontal="center" vertical="center" wrapText="1"/>
    </xf>
    <xf numFmtId="165" fontId="11" fillId="0" borderId="114" xfId="2" applyNumberFormat="1" applyFont="1" applyBorder="1" applyAlignment="1">
      <alignment horizontal="center" vertical="center"/>
    </xf>
    <xf numFmtId="165" fontId="11" fillId="0" borderId="79" xfId="2" applyNumberFormat="1" applyFont="1" applyBorder="1" applyAlignment="1">
      <alignment horizontal="center" vertical="center"/>
    </xf>
    <xf numFmtId="165" fontId="11" fillId="0" borderId="99" xfId="2" applyNumberFormat="1" applyFont="1" applyBorder="1" applyAlignment="1">
      <alignment horizontal="center" vertical="center"/>
    </xf>
    <xf numFmtId="165" fontId="11" fillId="0" borderId="103" xfId="2" applyNumberFormat="1" applyFont="1" applyBorder="1" applyAlignment="1">
      <alignment horizontal="center" vertical="center"/>
    </xf>
    <xf numFmtId="165" fontId="11" fillId="0" borderId="105" xfId="2" applyNumberFormat="1" applyFont="1" applyBorder="1" applyAlignment="1">
      <alignment horizontal="center" vertical="center"/>
    </xf>
    <xf numFmtId="165" fontId="11" fillId="0" borderId="59" xfId="2" quotePrefix="1" applyNumberFormat="1" applyFont="1" applyBorder="1" applyAlignment="1">
      <alignment horizontal="center" vertical="center"/>
    </xf>
    <xf numFmtId="165" fontId="11" fillId="0" borderId="82" xfId="2" quotePrefix="1" applyNumberFormat="1" applyFont="1" applyBorder="1" applyAlignment="1">
      <alignment horizontal="center" vertical="center"/>
    </xf>
    <xf numFmtId="165" fontId="11" fillId="0" borderId="101" xfId="2" quotePrefix="1" applyNumberFormat="1" applyFont="1" applyBorder="1" applyAlignment="1">
      <alignment horizontal="center" vertical="center"/>
    </xf>
    <xf numFmtId="165" fontId="11" fillId="0" borderId="103" xfId="2" quotePrefix="1" applyNumberFormat="1" applyFont="1" applyBorder="1" applyAlignment="1">
      <alignment horizontal="center" vertical="center"/>
    </xf>
    <xf numFmtId="165" fontId="23" fillId="3" borderId="42" xfId="2" applyNumberFormat="1" applyFont="1" applyFill="1" applyBorder="1" applyAlignment="1">
      <alignment horizontal="center" vertical="center" wrapText="1"/>
    </xf>
    <xf numFmtId="165" fontId="11" fillId="0" borderId="79" xfId="2" quotePrefix="1" applyNumberFormat="1" applyFont="1" applyBorder="1" applyAlignment="1">
      <alignment horizontal="center" vertical="center"/>
    </xf>
    <xf numFmtId="165" fontId="23" fillId="3" borderId="80" xfId="2" applyNumberFormat="1" applyFont="1" applyFill="1" applyBorder="1" applyAlignment="1">
      <alignment horizontal="center" vertical="center" wrapText="1"/>
    </xf>
    <xf numFmtId="165" fontId="11" fillId="0" borderId="24" xfId="2" applyNumberFormat="1" applyFont="1" applyBorder="1" applyAlignment="1">
      <alignment horizontal="center" vertical="center"/>
    </xf>
    <xf numFmtId="165" fontId="11" fillId="0" borderId="85" xfId="2" applyNumberFormat="1" applyFont="1" applyFill="1" applyBorder="1" applyAlignment="1">
      <alignment horizontal="center" vertical="center"/>
    </xf>
    <xf numFmtId="166" fontId="11" fillId="0" borderId="0" xfId="247" applyNumberFormat="1" applyFont="1" applyAlignment="1">
      <alignment horizontal="center"/>
    </xf>
    <xf numFmtId="43" fontId="0" fillId="0" borderId="0" xfId="247" applyFont="1" applyAlignment="1">
      <alignment horizontal="center"/>
    </xf>
    <xf numFmtId="3" fontId="0" fillId="0" borderId="0" xfId="0" applyNumberFormat="1" applyAlignment="1">
      <alignment horizontal="center"/>
    </xf>
    <xf numFmtId="165" fontId="13" fillId="2" borderId="54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165" fontId="11" fillId="0" borderId="152" xfId="2" applyNumberFormat="1" applyFont="1" applyBorder="1" applyAlignment="1">
      <alignment horizontal="center" vertical="center"/>
    </xf>
    <xf numFmtId="0" fontId="0" fillId="0" borderId="27" xfId="0" applyBorder="1"/>
    <xf numFmtId="0" fontId="21" fillId="0" borderId="27" xfId="0" applyFont="1" applyBorder="1"/>
    <xf numFmtId="0" fontId="12" fillId="0" borderId="0" xfId="1" applyFont="1"/>
    <xf numFmtId="0" fontId="10" fillId="0" borderId="0" xfId="0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10" fillId="0" borderId="46" xfId="0" applyFont="1" applyBorder="1" applyAlignment="1">
      <alignment horizontal="center"/>
    </xf>
    <xf numFmtId="0" fontId="10" fillId="0" borderId="66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quotePrefix="1" applyFont="1" applyBorder="1" applyAlignment="1">
      <alignment horizontal="center" vertical="center"/>
    </xf>
    <xf numFmtId="0" fontId="10" fillId="0" borderId="42" xfId="0" quotePrefix="1" applyFont="1" applyBorder="1" applyAlignment="1">
      <alignment horizontal="center" vertical="center"/>
    </xf>
    <xf numFmtId="0" fontId="10" fillId="0" borderId="5" xfId="0" quotePrefix="1" applyFont="1" applyBorder="1" applyAlignment="1">
      <alignment horizontal="center" vertical="center"/>
    </xf>
    <xf numFmtId="0" fontId="10" fillId="0" borderId="47" xfId="0" quotePrefix="1" applyFont="1" applyBorder="1" applyAlignment="1">
      <alignment horizontal="center" vertical="center"/>
    </xf>
    <xf numFmtId="0" fontId="63" fillId="2" borderId="0" xfId="0" applyFont="1" applyFill="1"/>
    <xf numFmtId="0" fontId="14" fillId="2" borderId="0" xfId="0" applyFont="1" applyFill="1" applyAlignment="1">
      <alignment vertical="center"/>
    </xf>
    <xf numFmtId="0" fontId="14" fillId="2" borderId="66" xfId="0" applyFont="1" applyFill="1" applyBorder="1" applyAlignment="1">
      <alignment horizontal="center" vertical="center" shrinkToFit="1"/>
    </xf>
    <xf numFmtId="0" fontId="14" fillId="2" borderId="41" xfId="0" applyFont="1" applyFill="1" applyBorder="1" applyAlignment="1">
      <alignment horizontal="center" vertical="center" shrinkToFi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42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47" xfId="0" applyFont="1" applyFill="1" applyBorder="1" applyAlignment="1">
      <alignment horizontal="center" vertical="center" shrinkToFit="1"/>
    </xf>
    <xf numFmtId="164" fontId="10" fillId="0" borderId="0" xfId="0" quotePrefix="1" applyNumberFormat="1" applyFont="1" applyAlignment="1">
      <alignment horizontal="center" vertical="center"/>
    </xf>
    <xf numFmtId="3" fontId="10" fillId="0" borderId="68" xfId="0" applyNumberFormat="1" applyFont="1" applyBorder="1" applyAlignment="1">
      <alignment vertical="center"/>
    </xf>
    <xf numFmtId="3" fontId="10" fillId="0" borderId="58" xfId="0" applyNumberFormat="1" applyFont="1" applyBorder="1" applyAlignment="1">
      <alignment vertical="center"/>
    </xf>
    <xf numFmtId="3" fontId="10" fillId="0" borderId="8" xfId="0" applyNumberFormat="1" applyFont="1" applyBorder="1" applyAlignment="1">
      <alignment vertical="center"/>
    </xf>
    <xf numFmtId="165" fontId="10" fillId="0" borderId="0" xfId="2" applyNumberFormat="1" applyFont="1" applyBorder="1" applyAlignment="1">
      <alignment horizontal="center" vertical="center"/>
    </xf>
    <xf numFmtId="165" fontId="10" fillId="0" borderId="42" xfId="2" applyNumberFormat="1" applyFont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165" fontId="10" fillId="0" borderId="59" xfId="2" applyNumberFormat="1" applyFont="1" applyBorder="1" applyAlignment="1">
      <alignment horizontal="center" vertical="center"/>
    </xf>
    <xf numFmtId="165" fontId="10" fillId="0" borderId="47" xfId="2" applyNumberFormat="1" applyFont="1" applyBorder="1" applyAlignment="1">
      <alignment horizontal="center" vertical="center"/>
    </xf>
    <xf numFmtId="3" fontId="14" fillId="2" borderId="66" xfId="0" applyNumberFormat="1" applyFont="1" applyFill="1" applyBorder="1" applyAlignment="1">
      <alignment horizontal="center" vertical="center" wrapText="1"/>
    </xf>
    <xf numFmtId="3" fontId="14" fillId="2" borderId="41" xfId="0" applyNumberFormat="1" applyFont="1" applyFill="1" applyBorder="1" applyAlignment="1">
      <alignment horizontal="center" vertical="center" wrapText="1"/>
    </xf>
    <xf numFmtId="3" fontId="14" fillId="2" borderId="0" xfId="0" applyNumberFormat="1" applyFont="1" applyFill="1" applyBorder="1" applyAlignment="1">
      <alignment horizontal="center" vertical="center" wrapText="1"/>
    </xf>
    <xf numFmtId="165" fontId="14" fillId="2" borderId="0" xfId="2" applyNumberFormat="1" applyFont="1" applyFill="1" applyBorder="1" applyAlignment="1">
      <alignment horizontal="center" vertical="center" wrapText="1"/>
    </xf>
    <xf numFmtId="165" fontId="14" fillId="2" borderId="42" xfId="2" applyNumberFormat="1" applyFont="1" applyFill="1" applyBorder="1" applyAlignment="1">
      <alignment horizontal="center" vertical="center" wrapText="1"/>
    </xf>
    <xf numFmtId="165" fontId="14" fillId="2" borderId="5" xfId="2" applyNumberFormat="1" applyFont="1" applyFill="1" applyBorder="1" applyAlignment="1">
      <alignment horizontal="center" vertical="center" wrapText="1"/>
    </xf>
    <xf numFmtId="165" fontId="14" fillId="2" borderId="47" xfId="2" applyNumberFormat="1" applyFont="1" applyFill="1" applyBorder="1" applyAlignment="1">
      <alignment horizontal="center" vertical="center" wrapText="1"/>
    </xf>
    <xf numFmtId="164" fontId="10" fillId="0" borderId="6" xfId="0" quotePrefix="1" applyNumberFormat="1" applyFont="1" applyBorder="1" applyAlignment="1">
      <alignment horizontal="center" vertical="center"/>
    </xf>
    <xf numFmtId="165" fontId="10" fillId="0" borderId="6" xfId="2" applyNumberFormat="1" applyFont="1" applyBorder="1" applyAlignment="1">
      <alignment horizontal="center" vertical="center"/>
    </xf>
    <xf numFmtId="165" fontId="10" fillId="0" borderId="57" xfId="2" applyNumberFormat="1" applyFont="1" applyBorder="1" applyAlignment="1">
      <alignment horizontal="center" vertical="center"/>
    </xf>
    <xf numFmtId="3" fontId="10" fillId="0" borderId="6" xfId="0" applyNumberFormat="1" applyFont="1" applyFill="1" applyBorder="1" applyAlignment="1">
      <alignment vertical="center"/>
    </xf>
    <xf numFmtId="165" fontId="10" fillId="0" borderId="48" xfId="2" applyNumberFormat="1" applyFont="1" applyBorder="1" applyAlignment="1">
      <alignment horizontal="center" vertical="center"/>
    </xf>
    <xf numFmtId="164" fontId="10" fillId="0" borderId="8" xfId="0" quotePrefix="1" applyNumberFormat="1" applyFont="1" applyBorder="1" applyAlignment="1">
      <alignment horizontal="center" vertical="center"/>
    </xf>
    <xf numFmtId="165" fontId="10" fillId="0" borderId="8" xfId="2" applyNumberFormat="1" applyFont="1" applyBorder="1" applyAlignment="1">
      <alignment horizontal="center" vertical="center"/>
    </xf>
    <xf numFmtId="3" fontId="10" fillId="0" borderId="8" xfId="0" applyNumberFormat="1" applyFont="1" applyFill="1" applyBorder="1" applyAlignment="1">
      <alignment vertical="center"/>
    </xf>
    <xf numFmtId="165" fontId="10" fillId="0" borderId="119" xfId="2" applyNumberFormat="1" applyFont="1" applyBorder="1" applyAlignment="1">
      <alignment horizontal="center" vertical="center"/>
    </xf>
    <xf numFmtId="165" fontId="10" fillId="0" borderId="0" xfId="2" applyNumberFormat="1" applyFont="1"/>
    <xf numFmtId="4" fontId="10" fillId="0" borderId="0" xfId="0" applyNumberFormat="1" applyFont="1" applyBorder="1"/>
    <xf numFmtId="165" fontId="10" fillId="0" borderId="49" xfId="2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vertical="center"/>
    </xf>
    <xf numFmtId="164" fontId="10" fillId="0" borderId="10" xfId="0" quotePrefix="1" applyNumberFormat="1" applyFont="1" applyBorder="1" applyAlignment="1">
      <alignment horizontal="center" vertical="center"/>
    </xf>
    <xf numFmtId="165" fontId="10" fillId="0" borderId="10" xfId="2" applyNumberFormat="1" applyFont="1" applyBorder="1" applyAlignment="1">
      <alignment horizontal="center" vertical="center"/>
    </xf>
    <xf numFmtId="165" fontId="10" fillId="0" borderId="61" xfId="2" applyNumberFormat="1" applyFont="1" applyBorder="1" applyAlignment="1">
      <alignment horizontal="center" vertical="center"/>
    </xf>
    <xf numFmtId="3" fontId="10" fillId="0" borderId="10" xfId="0" applyNumberFormat="1" applyFont="1" applyFill="1" applyBorder="1" applyAlignment="1">
      <alignment vertical="center"/>
    </xf>
    <xf numFmtId="164" fontId="10" fillId="0" borderId="8" xfId="0" quotePrefix="1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vertical="center"/>
    </xf>
    <xf numFmtId="165" fontId="14" fillId="2" borderId="0" xfId="0" applyNumberFormat="1" applyFont="1" applyFill="1" applyBorder="1" applyAlignment="1">
      <alignment horizontal="center" vertical="center" wrapText="1"/>
    </xf>
    <xf numFmtId="9" fontId="14" fillId="2" borderId="0" xfId="2" applyFont="1" applyFill="1" applyBorder="1" applyAlignment="1">
      <alignment horizontal="center" vertical="center" wrapText="1"/>
    </xf>
    <xf numFmtId="9" fontId="14" fillId="2" borderId="42" xfId="2" applyFont="1" applyFill="1" applyBorder="1" applyAlignment="1">
      <alignment horizontal="center" vertical="center" wrapText="1"/>
    </xf>
    <xf numFmtId="3" fontId="10" fillId="0" borderId="69" xfId="0" applyNumberFormat="1" applyFont="1" applyBorder="1" applyAlignment="1">
      <alignment vertical="center"/>
    </xf>
    <xf numFmtId="3" fontId="10" fillId="0" borderId="6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165" fontId="10" fillId="0" borderId="59" xfId="2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vertical="center"/>
    </xf>
    <xf numFmtId="164" fontId="10" fillId="0" borderId="0" xfId="0" quotePrefix="1" applyNumberFormat="1" applyFont="1" applyBorder="1" applyAlignment="1">
      <alignment horizontal="center" vertical="center"/>
    </xf>
    <xf numFmtId="0" fontId="63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3" fontId="14" fillId="2" borderId="70" xfId="0" applyNumberFormat="1" applyFont="1" applyFill="1" applyBorder="1" applyAlignment="1">
      <alignment horizontal="center" vertical="center" wrapText="1"/>
    </xf>
    <xf numFmtId="3" fontId="14" fillId="2" borderId="62" xfId="0" applyNumberFormat="1" applyFont="1" applyFill="1" applyBorder="1" applyAlignment="1">
      <alignment horizontal="center" vertical="center" wrapText="1"/>
    </xf>
    <xf numFmtId="3" fontId="14" fillId="2" borderId="63" xfId="0" applyNumberFormat="1" applyFont="1" applyFill="1" applyBorder="1" applyAlignment="1">
      <alignment horizontal="center" vertical="center" wrapText="1"/>
    </xf>
    <xf numFmtId="165" fontId="14" fillId="2" borderId="63" xfId="2" applyNumberFormat="1" applyFont="1" applyFill="1" applyBorder="1" applyAlignment="1">
      <alignment horizontal="center" vertical="center" wrapText="1"/>
    </xf>
    <xf numFmtId="165" fontId="14" fillId="2" borderId="64" xfId="2" applyNumberFormat="1" applyFont="1" applyFill="1" applyBorder="1" applyAlignment="1">
      <alignment horizontal="center" vertical="center" wrapText="1"/>
    </xf>
    <xf numFmtId="3" fontId="14" fillId="2" borderId="54" xfId="0" applyNumberFormat="1" applyFont="1" applyFill="1" applyBorder="1" applyAlignment="1">
      <alignment horizontal="right" vertical="center" wrapText="1"/>
    </xf>
    <xf numFmtId="165" fontId="14" fillId="2" borderId="51" xfId="2" applyNumberFormat="1" applyFont="1" applyFill="1" applyBorder="1" applyAlignment="1">
      <alignment horizontal="center" vertical="center" wrapText="1"/>
    </xf>
    <xf numFmtId="165" fontId="14" fillId="2" borderId="52" xfId="2" applyNumberFormat="1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 vertical="center"/>
    </xf>
    <xf numFmtId="3" fontId="10" fillId="0" borderId="0" xfId="0" applyNumberFormat="1" applyFont="1"/>
    <xf numFmtId="0" fontId="24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3" fontId="64" fillId="0" borderId="0" xfId="0" applyNumberFormat="1" applyFont="1" applyFill="1" applyBorder="1" applyAlignment="1">
      <alignment horizontal="center" vertical="center" wrapText="1"/>
    </xf>
    <xf numFmtId="165" fontId="64" fillId="0" borderId="0" xfId="2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4" fontId="24" fillId="0" borderId="0" xfId="0" applyNumberFormat="1" applyFont="1" applyFill="1" applyAlignment="1">
      <alignment vertical="center"/>
    </xf>
    <xf numFmtId="3" fontId="24" fillId="0" borderId="0" xfId="0" applyNumberFormat="1" applyFont="1" applyFill="1"/>
    <xf numFmtId="165" fontId="10" fillId="0" borderId="5" xfId="2" applyNumberFormat="1" applyFont="1" applyBorder="1" applyAlignment="1">
      <alignment horizontal="center" vertical="center"/>
    </xf>
    <xf numFmtId="165" fontId="10" fillId="0" borderId="7" xfId="2" applyNumberFormat="1" applyFont="1" applyBorder="1" applyAlignment="1">
      <alignment horizontal="center" vertical="center"/>
    </xf>
    <xf numFmtId="165" fontId="10" fillId="0" borderId="9" xfId="2" applyNumberFormat="1" applyFont="1" applyBorder="1" applyAlignment="1">
      <alignment horizontal="center" vertical="center"/>
    </xf>
    <xf numFmtId="3" fontId="10" fillId="0" borderId="26" xfId="0" applyNumberFormat="1" applyFont="1" applyFill="1" applyBorder="1" applyAlignment="1">
      <alignment vertical="center"/>
    </xf>
    <xf numFmtId="165" fontId="10" fillId="0" borderId="25" xfId="2" applyNumberFormat="1" applyFont="1" applyBorder="1" applyAlignment="1">
      <alignment horizontal="center" vertical="center"/>
    </xf>
    <xf numFmtId="165" fontId="10" fillId="0" borderId="50" xfId="2" applyNumberFormat="1" applyFont="1" applyBorder="1" applyAlignment="1">
      <alignment horizontal="center" vertical="center"/>
    </xf>
    <xf numFmtId="3" fontId="10" fillId="0" borderId="8" xfId="0" applyNumberFormat="1" applyFont="1" applyFill="1" applyBorder="1" applyAlignment="1">
      <alignment horizontal="right" vertical="center"/>
    </xf>
    <xf numFmtId="3" fontId="10" fillId="0" borderId="6" xfId="0" applyNumberFormat="1" applyFont="1" applyFill="1" applyBorder="1" applyAlignment="1">
      <alignment horizontal="right" vertical="center"/>
    </xf>
    <xf numFmtId="165" fontId="10" fillId="0" borderId="9" xfId="2" applyNumberFormat="1" applyFont="1" applyFill="1" applyBorder="1" applyAlignment="1">
      <alignment horizontal="center" vertical="center"/>
    </xf>
    <xf numFmtId="3" fontId="10" fillId="0" borderId="8" xfId="0" applyNumberFormat="1" applyFont="1" applyBorder="1" applyAlignment="1">
      <alignment horizontal="right" vertical="center"/>
    </xf>
    <xf numFmtId="165" fontId="10" fillId="0" borderId="118" xfId="2" applyNumberFormat="1" applyFont="1" applyBorder="1" applyAlignment="1">
      <alignment horizontal="center" vertical="center"/>
    </xf>
    <xf numFmtId="3" fontId="10" fillId="0" borderId="100" xfId="0" applyNumberFormat="1" applyFont="1" applyFill="1" applyBorder="1" applyAlignment="1">
      <alignment horizontal="right" vertical="center"/>
    </xf>
    <xf numFmtId="165" fontId="10" fillId="0" borderId="21" xfId="2" applyNumberFormat="1" applyFont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right" vertical="center"/>
    </xf>
    <xf numFmtId="165" fontId="24" fillId="35" borderId="47" xfId="2" applyNumberFormat="1" applyFont="1" applyFill="1" applyBorder="1" applyAlignment="1">
      <alignment horizontal="center" vertical="center" wrapText="1"/>
    </xf>
    <xf numFmtId="165" fontId="10" fillId="0" borderId="11" xfId="2" applyNumberFormat="1" applyFont="1" applyBorder="1" applyAlignment="1">
      <alignment horizontal="center" vertical="center"/>
    </xf>
    <xf numFmtId="3" fontId="14" fillId="2" borderId="66" xfId="0" applyNumberFormat="1" applyFont="1" applyFill="1" applyBorder="1" applyAlignment="1">
      <alignment horizontal="right" vertical="center" wrapText="1"/>
    </xf>
    <xf numFmtId="3" fontId="14" fillId="2" borderId="70" xfId="0" applyNumberFormat="1" applyFont="1" applyFill="1" applyBorder="1" applyAlignment="1">
      <alignment vertical="center" wrapText="1"/>
    </xf>
    <xf numFmtId="3" fontId="14" fillId="2" borderId="54" xfId="0" applyNumberFormat="1" applyFont="1" applyFill="1" applyBorder="1" applyAlignment="1">
      <alignment horizontal="center" vertical="center" wrapText="1"/>
    </xf>
    <xf numFmtId="43" fontId="10" fillId="0" borderId="0" xfId="247" applyFont="1"/>
    <xf numFmtId="43" fontId="10" fillId="0" borderId="0" xfId="247" applyFont="1" applyAlignment="1">
      <alignment horizontal="center"/>
    </xf>
    <xf numFmtId="43" fontId="10" fillId="0" borderId="0" xfId="0" applyNumberFormat="1" applyFont="1"/>
    <xf numFmtId="0" fontId="21" fillId="0" borderId="140" xfId="0" applyFont="1" applyFill="1" applyBorder="1" applyAlignment="1">
      <alignment vertical="center"/>
    </xf>
    <xf numFmtId="165" fontId="17" fillId="0" borderId="82" xfId="2" quotePrefix="1" applyNumberFormat="1" applyFont="1" applyBorder="1" applyAlignment="1">
      <alignment horizontal="center" vertical="center"/>
    </xf>
    <xf numFmtId="165" fontId="11" fillId="0" borderId="92" xfId="2" quotePrefix="1" applyNumberFormat="1" applyFont="1" applyBorder="1" applyAlignment="1">
      <alignment horizontal="center" vertical="center"/>
    </xf>
    <xf numFmtId="165" fontId="11" fillId="0" borderId="89" xfId="2" quotePrefix="1" applyNumberFormat="1" applyFont="1" applyBorder="1" applyAlignment="1">
      <alignment horizontal="center" vertical="center"/>
    </xf>
    <xf numFmtId="165" fontId="11" fillId="0" borderId="153" xfId="2" applyNumberFormat="1" applyFont="1" applyBorder="1" applyAlignment="1">
      <alignment horizontal="center" vertical="center"/>
    </xf>
    <xf numFmtId="165" fontId="11" fillId="0" borderId="89" xfId="2" applyNumberFormat="1" applyFont="1" applyBorder="1" applyAlignment="1">
      <alignment horizontal="center" vertical="center"/>
    </xf>
    <xf numFmtId="165" fontId="11" fillId="0" borderId="71" xfId="2" quotePrefix="1" applyNumberFormat="1" applyFont="1" applyBorder="1" applyAlignment="1">
      <alignment horizontal="center" vertical="center"/>
    </xf>
    <xf numFmtId="165" fontId="11" fillId="0" borderId="49" xfId="2" quotePrefix="1" applyNumberFormat="1" applyFont="1" applyBorder="1" applyAlignment="1">
      <alignment horizontal="center" vertical="center"/>
    </xf>
    <xf numFmtId="0" fontId="21" fillId="0" borderId="17" xfId="0" applyFont="1" applyFill="1" applyBorder="1" applyAlignment="1">
      <alignment vertical="center"/>
    </xf>
    <xf numFmtId="3" fontId="17" fillId="0" borderId="17" xfId="0" applyNumberFormat="1" applyFont="1" applyFill="1" applyBorder="1" applyAlignment="1">
      <alignment horizontal="right" vertical="center"/>
    </xf>
    <xf numFmtId="165" fontId="17" fillId="0" borderId="17" xfId="2" applyNumberFormat="1" applyFont="1" applyFill="1" applyBorder="1" applyAlignment="1">
      <alignment horizontal="center" vertical="center"/>
    </xf>
    <xf numFmtId="165" fontId="17" fillId="0" borderId="82" xfId="2" applyNumberFormat="1" applyFont="1" applyFill="1" applyBorder="1" applyAlignment="1">
      <alignment horizontal="center" vertical="center"/>
    </xf>
    <xf numFmtId="165" fontId="17" fillId="0" borderId="86" xfId="2" applyNumberFormat="1" applyFont="1" applyFill="1" applyBorder="1" applyAlignment="1">
      <alignment horizontal="center" vertical="center"/>
    </xf>
    <xf numFmtId="0" fontId="21" fillId="0" borderId="0" xfId="0" applyFont="1" applyFill="1" applyBorder="1"/>
    <xf numFmtId="0" fontId="0" fillId="0" borderId="0" xfId="0" applyFill="1"/>
    <xf numFmtId="3" fontId="11" fillId="0" borderId="8" xfId="0" applyNumberFormat="1" applyFont="1" applyBorder="1" applyAlignment="1">
      <alignment horizontal="center"/>
    </xf>
    <xf numFmtId="3" fontId="11" fillId="0" borderId="8" xfId="0" applyNumberFormat="1" applyFont="1" applyBorder="1"/>
    <xf numFmtId="3" fontId="11" fillId="0" borderId="104" xfId="0" applyNumberFormat="1" applyFont="1" applyFill="1" applyBorder="1" applyAlignment="1">
      <alignment horizontal="right" vertical="center"/>
    </xf>
    <xf numFmtId="3" fontId="23" fillId="3" borderId="106" xfId="0" applyNumberFormat="1" applyFont="1" applyFill="1" applyBorder="1" applyAlignment="1">
      <alignment horizontal="right" vertical="center" wrapText="1"/>
    </xf>
    <xf numFmtId="0" fontId="66" fillId="0" borderId="20" xfId="3" applyFont="1" applyBorder="1" applyAlignment="1" applyProtection="1">
      <alignment vertical="center"/>
    </xf>
    <xf numFmtId="165" fontId="11" fillId="0" borderId="26" xfId="2" quotePrefix="1" applyNumberFormat="1" applyFont="1" applyBorder="1" applyAlignment="1">
      <alignment horizontal="center" vertical="center"/>
    </xf>
    <xf numFmtId="165" fontId="11" fillId="0" borderId="107" xfId="2" quotePrefix="1" applyNumberFormat="1" applyFont="1" applyBorder="1" applyAlignment="1">
      <alignment horizontal="center" vertical="center"/>
    </xf>
    <xf numFmtId="0" fontId="21" fillId="0" borderId="27" xfId="4" applyBorder="1"/>
    <xf numFmtId="3" fontId="11" fillId="0" borderId="106" xfId="0" applyNumberFormat="1" applyFont="1" applyFill="1" applyBorder="1" applyAlignment="1">
      <alignment horizontal="right" vertical="center"/>
    </xf>
    <xf numFmtId="0" fontId="67" fillId="0" borderId="0" xfId="0" applyFont="1"/>
    <xf numFmtId="0" fontId="10" fillId="0" borderId="8" xfId="0" applyFont="1" applyFill="1" applyBorder="1" applyAlignment="1">
      <alignment vertical="center"/>
    </xf>
    <xf numFmtId="165" fontId="10" fillId="0" borderId="11" xfId="2" applyNumberFormat="1" applyFont="1" applyFill="1" applyBorder="1" applyAlignment="1">
      <alignment horizontal="center" vertical="center"/>
    </xf>
    <xf numFmtId="0" fontId="10" fillId="0" borderId="0" xfId="0" applyFont="1" applyFill="1"/>
    <xf numFmtId="4" fontId="10" fillId="0" borderId="0" xfId="0" applyNumberFormat="1" applyFont="1" applyFill="1"/>
    <xf numFmtId="4" fontId="62" fillId="0" borderId="0" xfId="0" applyNumberFormat="1" applyFont="1" applyFill="1"/>
    <xf numFmtId="0" fontId="62" fillId="0" borderId="0" xfId="0" applyFont="1" applyFill="1"/>
    <xf numFmtId="0" fontId="12" fillId="0" borderId="2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53" xfId="0" quotePrefix="1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17" fontId="16" fillId="0" borderId="39" xfId="0" quotePrefix="1" applyNumberFormat="1" applyFont="1" applyFill="1" applyBorder="1" applyAlignment="1">
      <alignment horizontal="center"/>
    </xf>
    <xf numFmtId="17" fontId="16" fillId="0" borderId="55" xfId="0" quotePrefix="1" applyNumberFormat="1" applyFont="1" applyFill="1" applyBorder="1" applyAlignment="1">
      <alignment horizontal="center"/>
    </xf>
    <xf numFmtId="0" fontId="16" fillId="0" borderId="55" xfId="0" applyFont="1" applyFill="1" applyBorder="1" applyAlignment="1">
      <alignment horizontal="center"/>
    </xf>
    <xf numFmtId="0" fontId="16" fillId="0" borderId="40" xfId="0" applyFont="1" applyFill="1" applyBorder="1" applyAlignment="1">
      <alignment horizontal="center"/>
    </xf>
    <xf numFmtId="0" fontId="12" fillId="0" borderId="53" xfId="0" quotePrefix="1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17" fontId="12" fillId="0" borderId="53" xfId="0" quotePrefix="1" applyNumberFormat="1" applyFont="1" applyBorder="1" applyAlignment="1">
      <alignment horizontal="center"/>
    </xf>
    <xf numFmtId="17" fontId="16" fillId="0" borderId="39" xfId="0" quotePrefix="1" applyNumberFormat="1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39" xfId="0" quotePrefix="1" applyFont="1" applyBorder="1" applyAlignment="1">
      <alignment horizontal="center"/>
    </xf>
    <xf numFmtId="0" fontId="12" fillId="0" borderId="35" xfId="0" quotePrefix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9" xfId="0" quotePrefix="1" applyFont="1" applyBorder="1" applyAlignment="1">
      <alignment horizontal="center"/>
    </xf>
    <xf numFmtId="0" fontId="0" fillId="0" borderId="55" xfId="0" applyBorder="1" applyAlignment="1"/>
    <xf numFmtId="0" fontId="16" fillId="0" borderId="39" xfId="0" quotePrefix="1" applyNumberFormat="1" applyFont="1" applyBorder="1" applyAlignment="1">
      <alignment horizontal="center"/>
    </xf>
    <xf numFmtId="0" fontId="16" fillId="0" borderId="55" xfId="0" applyNumberFormat="1" applyFont="1" applyBorder="1" applyAlignment="1">
      <alignment horizontal="center"/>
    </xf>
    <xf numFmtId="0" fontId="16" fillId="0" borderId="40" xfId="0" applyNumberFormat="1" applyFont="1" applyBorder="1" applyAlignment="1">
      <alignment horizontal="center"/>
    </xf>
    <xf numFmtId="17" fontId="12" fillId="0" borderId="39" xfId="0" quotePrefix="1" applyNumberFormat="1" applyFont="1" applyBorder="1" applyAlignment="1">
      <alignment horizontal="center"/>
    </xf>
    <xf numFmtId="0" fontId="12" fillId="0" borderId="143" xfId="0" applyFont="1" applyBorder="1" applyAlignment="1">
      <alignment horizontal="center"/>
    </xf>
    <xf numFmtId="0" fontId="18" fillId="0" borderId="39" xfId="0" quotePrefix="1" applyFont="1" applyBorder="1" applyAlignment="1">
      <alignment horizontal="center"/>
    </xf>
    <xf numFmtId="0" fontId="18" fillId="0" borderId="55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2" fillId="0" borderId="0" xfId="1" applyFont="1" applyAlignment="1">
      <alignment wrapText="1"/>
    </xf>
    <xf numFmtId="0" fontId="10" fillId="0" borderId="42" xfId="0" applyFont="1" applyBorder="1"/>
    <xf numFmtId="17" fontId="18" fillId="0" borderId="39" xfId="0" quotePrefix="1" applyNumberFormat="1" applyFont="1" applyBorder="1" applyAlignment="1">
      <alignment horizontal="center"/>
    </xf>
    <xf numFmtId="0" fontId="9" fillId="0" borderId="0" xfId="1" applyFont="1" applyAlignment="1">
      <alignment wrapText="1"/>
    </xf>
    <xf numFmtId="0" fontId="0" fillId="0" borderId="0" xfId="0" applyAlignment="1">
      <alignment wrapText="1"/>
    </xf>
  </cellXfs>
  <cellStyles count="276">
    <cellStyle name="20% - Èmfasi1" xfId="220" builtinId="30" customBuiltin="1"/>
    <cellStyle name="20% - Èmfasi1 2" xfId="166"/>
    <cellStyle name="20% - Èmfasi1 2 2" xfId="192"/>
    <cellStyle name="20% - Èmfasi1 3" xfId="30"/>
    <cellStyle name="20% - Èmfasi1 4" xfId="250"/>
    <cellStyle name="20% - Èmfasi1 5" xfId="264"/>
    <cellStyle name="20% - Èmfasi2" xfId="224" builtinId="34" customBuiltin="1"/>
    <cellStyle name="20% - Èmfasi2 2" xfId="170"/>
    <cellStyle name="20% - Èmfasi2 2 2" xfId="194"/>
    <cellStyle name="20% - Èmfasi2 3" xfId="34"/>
    <cellStyle name="20% - Èmfasi2 4" xfId="252"/>
    <cellStyle name="20% - Èmfasi2 5" xfId="266"/>
    <cellStyle name="20% - Èmfasi3" xfId="228" builtinId="38" customBuiltin="1"/>
    <cellStyle name="20% - Èmfasi3 2" xfId="174"/>
    <cellStyle name="20% - Èmfasi3 2 2" xfId="196"/>
    <cellStyle name="20% - Èmfasi3 3" xfId="38"/>
    <cellStyle name="20% - Èmfasi3 4" xfId="254"/>
    <cellStyle name="20% - Èmfasi3 5" xfId="268"/>
    <cellStyle name="20% - Èmfasi4" xfId="232" builtinId="42" customBuiltin="1"/>
    <cellStyle name="20% - Èmfasi4 2" xfId="178"/>
    <cellStyle name="20% - Èmfasi4 2 2" xfId="198"/>
    <cellStyle name="20% - Èmfasi4 3" xfId="42"/>
    <cellStyle name="20% - Èmfasi4 4" xfId="256"/>
    <cellStyle name="20% - Èmfasi4 5" xfId="270"/>
    <cellStyle name="20% - Èmfasi5" xfId="236" builtinId="46" customBuiltin="1"/>
    <cellStyle name="20% - Èmfasi5 2" xfId="182"/>
    <cellStyle name="20% - Èmfasi5 2 2" xfId="200"/>
    <cellStyle name="20% - Èmfasi5 3" xfId="46"/>
    <cellStyle name="20% - Èmfasi5 4" xfId="258"/>
    <cellStyle name="20% - Èmfasi5 5" xfId="272"/>
    <cellStyle name="20% - Èmfasi6" xfId="240" builtinId="50" customBuiltin="1"/>
    <cellStyle name="20% - Èmfasi6 2" xfId="186"/>
    <cellStyle name="20% - Èmfasi6 2 2" xfId="202"/>
    <cellStyle name="20% - Èmfasi6 3" xfId="50"/>
    <cellStyle name="20% - Èmfasi6 4" xfId="260"/>
    <cellStyle name="20% - Èmfasi6 5" xfId="274"/>
    <cellStyle name="20% - Énfasis1 2" xfId="60"/>
    <cellStyle name="20% - Énfasis1 3" xfId="73"/>
    <cellStyle name="20% - Énfasis1 4" xfId="87"/>
    <cellStyle name="20% - Énfasis1 5" xfId="102"/>
    <cellStyle name="20% - Énfasis1 6" xfId="113"/>
    <cellStyle name="20% - Énfasis1 7" xfId="126"/>
    <cellStyle name="20% - Énfasis1 8" xfId="114"/>
    <cellStyle name="20% - Énfasis2 2" xfId="63"/>
    <cellStyle name="20% - Énfasis2 3" xfId="62"/>
    <cellStyle name="20% - Énfasis2 4" xfId="67"/>
    <cellStyle name="20% - Énfasis2 5" xfId="91"/>
    <cellStyle name="20% - Énfasis2 6" xfId="103"/>
    <cellStyle name="20% - Énfasis2 7" xfId="130"/>
    <cellStyle name="20% - Énfasis2 8" xfId="139"/>
    <cellStyle name="20% - Énfasis3 2" xfId="65"/>
    <cellStyle name="20% - Énfasis3 3" xfId="79"/>
    <cellStyle name="20% - Énfasis3 4" xfId="92"/>
    <cellStyle name="20% - Énfasis3 5" xfId="104"/>
    <cellStyle name="20% - Énfasis3 6" xfId="115"/>
    <cellStyle name="20% - Énfasis3 7" xfId="132"/>
    <cellStyle name="20% - Énfasis3 8" xfId="128"/>
    <cellStyle name="20% - Énfasis4 2" xfId="68"/>
    <cellStyle name="20% - Énfasis4 3" xfId="82"/>
    <cellStyle name="20% - Énfasis4 4" xfId="94"/>
    <cellStyle name="20% - Énfasis4 5" xfId="106"/>
    <cellStyle name="20% - Énfasis4 6" xfId="117"/>
    <cellStyle name="20% - Énfasis4 7" xfId="134"/>
    <cellStyle name="20% - Énfasis4 8" xfId="143"/>
    <cellStyle name="20% - Énfasis5 2" xfId="71"/>
    <cellStyle name="20% - Énfasis5 3" xfId="85"/>
    <cellStyle name="20% - Énfasis5 4" xfId="97"/>
    <cellStyle name="20% - Énfasis5 5" xfId="108"/>
    <cellStyle name="20% - Énfasis5 6" xfId="120"/>
    <cellStyle name="20% - Énfasis5 7" xfId="137"/>
    <cellStyle name="20% - Énfasis5 8" xfId="145"/>
    <cellStyle name="20% - Énfasis6 2" xfId="74"/>
    <cellStyle name="20% - Énfasis6 3" xfId="88"/>
    <cellStyle name="20% - Énfasis6 4" xfId="100"/>
    <cellStyle name="20% - Énfasis6 5" xfId="111"/>
    <cellStyle name="20% - Énfasis6 6" xfId="122"/>
    <cellStyle name="20% - Énfasis6 7" xfId="140"/>
    <cellStyle name="20% - Énfasis6 8" xfId="147"/>
    <cellStyle name="40% - Èmfasi1" xfId="221" builtinId="31" customBuiltin="1"/>
    <cellStyle name="40% - Èmfasi1 2" xfId="167"/>
    <cellStyle name="40% - Èmfasi1 2 2" xfId="193"/>
    <cellStyle name="40% - Èmfasi1 3" xfId="31"/>
    <cellStyle name="40% - Èmfasi1 4" xfId="251"/>
    <cellStyle name="40% - Èmfasi1 5" xfId="265"/>
    <cellStyle name="40% - Èmfasi2" xfId="225" builtinId="35" customBuiltin="1"/>
    <cellStyle name="40% - Èmfasi2 2" xfId="171"/>
    <cellStyle name="40% - Èmfasi2 2 2" xfId="195"/>
    <cellStyle name="40% - Èmfasi2 3" xfId="35"/>
    <cellStyle name="40% - Èmfasi2 4" xfId="253"/>
    <cellStyle name="40% - Èmfasi2 5" xfId="267"/>
    <cellStyle name="40% - Èmfasi3" xfId="229" builtinId="39" customBuiltin="1"/>
    <cellStyle name="40% - Èmfasi3 2" xfId="175"/>
    <cellStyle name="40% - Èmfasi3 2 2" xfId="197"/>
    <cellStyle name="40% - Èmfasi3 3" xfId="39"/>
    <cellStyle name="40% - Èmfasi3 4" xfId="255"/>
    <cellStyle name="40% - Èmfasi3 5" xfId="269"/>
    <cellStyle name="40% - Èmfasi4" xfId="233" builtinId="43" customBuiltin="1"/>
    <cellStyle name="40% - Èmfasi4 2" xfId="179"/>
    <cellStyle name="40% - Èmfasi4 2 2" xfId="199"/>
    <cellStyle name="40% - Èmfasi4 3" xfId="43"/>
    <cellStyle name="40% - Èmfasi4 4" xfId="257"/>
    <cellStyle name="40% - Èmfasi4 5" xfId="271"/>
    <cellStyle name="40% - Èmfasi5" xfId="237" builtinId="47" customBuiltin="1"/>
    <cellStyle name="40% - Èmfasi5 2" xfId="183"/>
    <cellStyle name="40% - Èmfasi5 2 2" xfId="201"/>
    <cellStyle name="40% - Èmfasi5 3" xfId="47"/>
    <cellStyle name="40% - Èmfasi5 4" xfId="259"/>
    <cellStyle name="40% - Èmfasi5 5" xfId="273"/>
    <cellStyle name="40% - Èmfasi6" xfId="241" builtinId="51" customBuiltin="1"/>
    <cellStyle name="40% - Èmfasi6 2" xfId="187"/>
    <cellStyle name="40% - Èmfasi6 2 2" xfId="203"/>
    <cellStyle name="40% - Èmfasi6 3" xfId="51"/>
    <cellStyle name="40% - Èmfasi6 4" xfId="261"/>
    <cellStyle name="40% - Èmfasi6 5" xfId="275"/>
    <cellStyle name="40% - Énfasis1 2" xfId="61"/>
    <cellStyle name="40% - Énfasis1 3" xfId="70"/>
    <cellStyle name="40% - Énfasis1 4" xfId="84"/>
    <cellStyle name="40% - Énfasis1 5" xfId="99"/>
    <cellStyle name="40% - Énfasis1 6" xfId="110"/>
    <cellStyle name="40% - Énfasis1 7" xfId="127"/>
    <cellStyle name="40% - Énfasis1 8" xfId="119"/>
    <cellStyle name="40% - Énfasis2 2" xfId="64"/>
    <cellStyle name="40% - Énfasis2 3" xfId="77"/>
    <cellStyle name="40% - Énfasis2 4" xfId="90"/>
    <cellStyle name="40% - Énfasis2 5" xfId="81"/>
    <cellStyle name="40% - Énfasis2 6" xfId="96"/>
    <cellStyle name="40% - Énfasis2 7" xfId="131"/>
    <cellStyle name="40% - Énfasis2 8" xfId="136"/>
    <cellStyle name="40% - Énfasis3 2" xfId="66"/>
    <cellStyle name="40% - Énfasis3 3" xfId="80"/>
    <cellStyle name="40% - Énfasis3 4" xfId="93"/>
    <cellStyle name="40% - Énfasis3 5" xfId="105"/>
    <cellStyle name="40% - Énfasis3 6" xfId="116"/>
    <cellStyle name="40% - Énfasis3 7" xfId="133"/>
    <cellStyle name="40% - Énfasis3 8" xfId="142"/>
    <cellStyle name="40% - Énfasis4 2" xfId="69"/>
    <cellStyle name="40% - Énfasis4 3" xfId="83"/>
    <cellStyle name="40% - Énfasis4 4" xfId="95"/>
    <cellStyle name="40% - Énfasis4 5" xfId="107"/>
    <cellStyle name="40% - Énfasis4 6" xfId="118"/>
    <cellStyle name="40% - Énfasis4 7" xfId="135"/>
    <cellStyle name="40% - Énfasis4 8" xfId="144"/>
    <cellStyle name="40% - Énfasis5 2" xfId="72"/>
    <cellStyle name="40% - Énfasis5 3" xfId="86"/>
    <cellStyle name="40% - Énfasis5 4" xfId="98"/>
    <cellStyle name="40% - Énfasis5 5" xfId="109"/>
    <cellStyle name="40% - Énfasis5 6" xfId="121"/>
    <cellStyle name="40% - Énfasis5 7" xfId="138"/>
    <cellStyle name="40% - Énfasis5 8" xfId="146"/>
    <cellStyle name="40% - Énfasis6 2" xfId="75"/>
    <cellStyle name="40% - Énfasis6 3" xfId="89"/>
    <cellStyle name="40% - Énfasis6 4" xfId="101"/>
    <cellStyle name="40% - Énfasis6 5" xfId="112"/>
    <cellStyle name="40% - Énfasis6 6" xfId="123"/>
    <cellStyle name="40% - Énfasis6 7" xfId="141"/>
    <cellStyle name="40% - Énfasis6 8" xfId="148"/>
    <cellStyle name="60% - Èmfasi1" xfId="222" builtinId="32" customBuiltin="1"/>
    <cellStyle name="60% - Èmfasi1 2" xfId="168"/>
    <cellStyle name="60% - Èmfasi1 3" xfId="32"/>
    <cellStyle name="60% - Èmfasi2" xfId="226" builtinId="36" customBuiltin="1"/>
    <cellStyle name="60% - Èmfasi2 2" xfId="172"/>
    <cellStyle name="60% - Èmfasi2 3" xfId="36"/>
    <cellStyle name="60% - Èmfasi3" xfId="230" builtinId="40" customBuiltin="1"/>
    <cellStyle name="60% - Èmfasi3 2" xfId="176"/>
    <cellStyle name="60% - Èmfasi3 3" xfId="40"/>
    <cellStyle name="60% - Èmfasi4" xfId="234" builtinId="44" customBuiltin="1"/>
    <cellStyle name="60% - Èmfasi4 2" xfId="180"/>
    <cellStyle name="60% - Èmfasi4 3" xfId="44"/>
    <cellStyle name="60% - Èmfasi5" xfId="238" builtinId="48" customBuiltin="1"/>
    <cellStyle name="60% - Èmfasi5 2" xfId="184"/>
    <cellStyle name="60% - Èmfasi5 3" xfId="48"/>
    <cellStyle name="60% - Èmfasi6" xfId="242" builtinId="52" customBuiltin="1"/>
    <cellStyle name="60% - Èmfasi6 2" xfId="188"/>
    <cellStyle name="60% - Èmfasi6 3" xfId="52"/>
    <cellStyle name="Bé" xfId="208" builtinId="26" customBuiltin="1"/>
    <cellStyle name="Bé 2" xfId="154"/>
    <cellStyle name="Bé 3" xfId="18"/>
    <cellStyle name="Càlcul" xfId="213" builtinId="22" customBuiltin="1"/>
    <cellStyle name="Càlcul 2" xfId="159"/>
    <cellStyle name="Càlcul 3" xfId="23"/>
    <cellStyle name="Cel·la de comprovació" xfId="215" builtinId="23" customBuiltin="1"/>
    <cellStyle name="Cel·la de comprovació 2" xfId="161"/>
    <cellStyle name="Cel·la de comprovació 3" xfId="25"/>
    <cellStyle name="Cel·la enllaçada" xfId="214" builtinId="24" customBuiltin="1"/>
    <cellStyle name="Cel·la enllaçada 2" xfId="160"/>
    <cellStyle name="Cel·la enllaçada 3" xfId="24"/>
    <cellStyle name="Coma" xfId="247" builtinId="3"/>
    <cellStyle name="Èmfasi1" xfId="219" builtinId="29" customBuiltin="1"/>
    <cellStyle name="Èmfasi1 2" xfId="165"/>
    <cellStyle name="Èmfasi1 3" xfId="29"/>
    <cellStyle name="Èmfasi2" xfId="223" builtinId="33" customBuiltin="1"/>
    <cellStyle name="Èmfasi2 2" xfId="169"/>
    <cellStyle name="Èmfasi2 3" xfId="33"/>
    <cellStyle name="Èmfasi3" xfId="227" builtinId="37" customBuiltin="1"/>
    <cellStyle name="Èmfasi3 2" xfId="173"/>
    <cellStyle name="Èmfasi3 3" xfId="37"/>
    <cellStyle name="Èmfasi4" xfId="231" builtinId="41" customBuiltin="1"/>
    <cellStyle name="Èmfasi4 2" xfId="177"/>
    <cellStyle name="Èmfasi4 3" xfId="41"/>
    <cellStyle name="Èmfasi5" xfId="235" builtinId="45" customBuiltin="1"/>
    <cellStyle name="Èmfasi5 2" xfId="181"/>
    <cellStyle name="Èmfasi5 3" xfId="45"/>
    <cellStyle name="Èmfasi6" xfId="239" builtinId="49" customBuiltin="1"/>
    <cellStyle name="Èmfasi6 2" xfId="185"/>
    <cellStyle name="Èmfasi6 3" xfId="49"/>
    <cellStyle name="Enllaç" xfId="3" builtinId="8"/>
    <cellStyle name="Entrada" xfId="211" builtinId="20" customBuiltin="1"/>
    <cellStyle name="Entrada 2" xfId="157"/>
    <cellStyle name="Entrada 3" xfId="21"/>
    <cellStyle name="Incorrecte" xfId="209" builtinId="27" customBuiltin="1"/>
    <cellStyle name="Incorrecte 2" xfId="155"/>
    <cellStyle name="Incorrecte 3" xfId="19"/>
    <cellStyle name="Neutral" xfId="210" builtinId="28" customBuiltin="1"/>
    <cellStyle name="Neutral 2" xfId="156"/>
    <cellStyle name="Neutral 3" xfId="20"/>
    <cellStyle name="Normal" xfId="0" builtinId="0"/>
    <cellStyle name="Normal 10" xfId="189"/>
    <cellStyle name="Normal 11" xfId="243"/>
    <cellStyle name="Normal 12" xfId="248"/>
    <cellStyle name="Normal 13" xfId="10"/>
    <cellStyle name="Normal 14" xfId="246"/>
    <cellStyle name="Normal 15" xfId="262"/>
    <cellStyle name="Normal 2" xfId="11"/>
    <cellStyle name="Normal 2 2" xfId="53"/>
    <cellStyle name="Normal 3" xfId="12"/>
    <cellStyle name="Normal 3 2" xfId="245"/>
    <cellStyle name="Normal 4" xfId="55"/>
    <cellStyle name="Normal 5" xfId="59"/>
    <cellStyle name="Normal 6" xfId="7"/>
    <cellStyle name="Normal 6 2" xfId="204"/>
    <cellStyle name="Normal 6 3" xfId="190"/>
    <cellStyle name="Normal 7" xfId="14"/>
    <cellStyle name="Normal 8" xfId="8"/>
    <cellStyle name="Normal 9" xfId="9"/>
    <cellStyle name="Normal 9 2" xfId="125"/>
    <cellStyle name="Normal_D 2011" xfId="4"/>
    <cellStyle name="Normal_Hoja1" xfId="5"/>
    <cellStyle name="Normal_Hoja2" xfId="6"/>
    <cellStyle name="Nota 2" xfId="149"/>
    <cellStyle name="Nota 3" xfId="191"/>
    <cellStyle name="Nota 4" xfId="244"/>
    <cellStyle name="Nota 5" xfId="249"/>
    <cellStyle name="Nota 6" xfId="263"/>
    <cellStyle name="Notas 2" xfId="54"/>
    <cellStyle name="Notas 3" xfId="58"/>
    <cellStyle name="Notas 4" xfId="57"/>
    <cellStyle name="Notas 5" xfId="56"/>
    <cellStyle name="Notas 6" xfId="76"/>
    <cellStyle name="Notas 7" xfId="78"/>
    <cellStyle name="Notas 8" xfId="124"/>
    <cellStyle name="Notas 9" xfId="129"/>
    <cellStyle name="Percentatge" xfId="2" builtinId="5"/>
    <cellStyle name="Resultat" xfId="212" builtinId="21" customBuiltin="1"/>
    <cellStyle name="Resultat 2" xfId="158"/>
    <cellStyle name="Resultat 3" xfId="22"/>
    <cellStyle name="Text d'advertiment" xfId="216" builtinId="11" customBuiltin="1"/>
    <cellStyle name="Text d'advertiment 2" xfId="162"/>
    <cellStyle name="Text d'advertiment 3" xfId="26"/>
    <cellStyle name="Text explicatiu" xfId="217" builtinId="53" customBuiltin="1"/>
    <cellStyle name="Text explicatiu 2" xfId="163"/>
    <cellStyle name="Text explicatiu 3" xfId="27"/>
    <cellStyle name="Títol" xfId="13" builtinId="15" customBuiltin="1"/>
    <cellStyle name="Títol 1" xfId="205" builtinId="16" customBuiltin="1"/>
    <cellStyle name="Títol 1 2" xfId="150"/>
    <cellStyle name="Títol 1 3" xfId="15"/>
    <cellStyle name="Títol 2" xfId="206" builtinId="17" customBuiltin="1"/>
    <cellStyle name="Títol 2 2" xfId="151"/>
    <cellStyle name="Títol 2 3" xfId="16"/>
    <cellStyle name="Títol 3" xfId="207" builtinId="18" customBuiltin="1"/>
    <cellStyle name="Títol 3 2" xfId="152"/>
    <cellStyle name="Títol 3 3" xfId="17"/>
    <cellStyle name="Títol 4" xfId="1" builtinId="19" customBuiltin="1"/>
    <cellStyle name="Títol 4 2" xfId="153"/>
    <cellStyle name="Total" xfId="218" builtinId="25" customBuiltin="1"/>
    <cellStyle name="Total 2" xfId="164"/>
    <cellStyle name="Total 3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Grau execució despeses Gener</a:t>
            </a:r>
          </a:p>
          <a:p>
            <a:pPr>
              <a:defRPr sz="1050"/>
            </a:pPr>
            <a:endParaRPr lang="en-US" sz="1050"/>
          </a:p>
          <a:p>
            <a:pPr>
              <a:defRPr sz="1050"/>
            </a:pPr>
            <a:endParaRPr lang="en-US" sz="1050"/>
          </a:p>
        </c:rich>
      </c:tx>
      <c:layout>
        <c:manualLayout>
          <c:xMode val="edge"/>
          <c:yMode val="edge"/>
          <c:x val="0.2988671870561648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598379747986049"/>
          <c:y val="8.0200501253132814E-2"/>
          <c:w val="0.84601030330265758"/>
          <c:h val="0.62336826317762917"/>
        </c:manualLayout>
      </c:layout>
      <c:lineChart>
        <c:grouping val="standard"/>
        <c:varyColors val="0"/>
        <c:ser>
          <c:idx val="1"/>
          <c:order val="0"/>
          <c:tx>
            <c:strRef>
              <c:f>DCap!$B$10</c:f>
              <c:strCache>
                <c:ptCount val="1"/>
                <c:pt idx="0">
                  <c:v>Operacions corrents</c:v>
                </c:pt>
              </c:strCache>
            </c:strRef>
          </c:tx>
          <c:dLbls>
            <c:dLbl>
              <c:idx val="0"/>
              <c:layout>
                <c:manualLayout>
                  <c:x val="-9.9653906898001382E-2"/>
                  <c:y val="-3.44988455390444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2994512049630159E-2"/>
                  <c:y val="3.06640617291259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800" b="1"/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(DCap!$I$39,DCap!$K$39)</c:f>
              <c:numCache>
                <c:formatCode>General</c:formatCode>
                <c:ptCount val="2"/>
              </c:numCache>
            </c:numRef>
          </c:cat>
          <c:val>
            <c:numRef>
              <c:f>(DCap!$O$10,DCap!$M$10)</c:f>
              <c:numCache>
                <c:formatCode>0.0%</c:formatCode>
                <c:ptCount val="2"/>
                <c:pt idx="0">
                  <c:v>6.0999999999999999E-2</c:v>
                </c:pt>
                <c:pt idx="1">
                  <c:v>5.3187291833482364E-2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DCap!$B$13</c:f>
              <c:strCache>
                <c:ptCount val="1"/>
                <c:pt idx="0">
                  <c:v>Operacions de capital</c:v>
                </c:pt>
              </c:strCache>
            </c:strRef>
          </c:tx>
          <c:dLbls>
            <c:dLbl>
              <c:idx val="0"/>
              <c:layout>
                <c:manualLayout>
                  <c:x val="-9.3802365613389241E-2"/>
                  <c:y val="2.44733881948966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0187590187590188E-2"/>
                  <c:y val="-2.0638999072484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800" b="1"/>
                </a:pPr>
                <a:endParaRPr lang="ca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(DCap!$I$39,DCap!$K$39)</c:f>
              <c:numCache>
                <c:formatCode>General</c:formatCode>
                <c:ptCount val="2"/>
              </c:numCache>
            </c:numRef>
          </c:cat>
          <c:val>
            <c:numRef>
              <c:f>(DCap!$O$13,DCap!$M$13)</c:f>
              <c:numCache>
                <c:formatCode>0.0%</c:formatCode>
                <c:ptCount val="2"/>
                <c:pt idx="0">
                  <c:v>2E-3</c:v>
                </c:pt>
                <c:pt idx="1">
                  <c:v>5.4518144607721759E-2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DCap!$B$16</c:f>
              <c:strCache>
                <c:ptCount val="1"/>
                <c:pt idx="0">
                  <c:v>Operacions financeres</c:v>
                </c:pt>
              </c:strCache>
            </c:strRef>
          </c:tx>
          <c:dLbls>
            <c:dLbl>
              <c:idx val="0"/>
              <c:layout>
                <c:manualLayout>
                  <c:x val="2.886002886002886E-3"/>
                  <c:y val="-3.9468750616699228E-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582359023303912E-3"/>
                  <c:y val="1.50375939849624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800" b="1"/>
                </a:pPr>
                <a:endParaRPr lang="ca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(DCap!$I$39,DCap!$K$39)</c:f>
              <c:numCache>
                <c:formatCode>General</c:formatCode>
                <c:ptCount val="2"/>
              </c:numCache>
            </c:numRef>
          </c:cat>
          <c:val>
            <c:numRef>
              <c:f>(DCap!$O$16,DCap!$M$16)</c:f>
              <c:numCache>
                <c:formatCode>0.0%</c:formatCode>
                <c:ptCount val="2"/>
                <c:pt idx="0">
                  <c:v>0.13200000000000001</c:v>
                </c:pt>
                <c:pt idx="1">
                  <c:v>0.45670588997248257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DCap!$B$17</c:f>
              <c:strCache>
                <c:ptCount val="1"/>
                <c:pt idx="0">
                  <c:v>Despeses Totals</c:v>
                </c:pt>
              </c:strCache>
            </c:strRef>
          </c:tx>
          <c:dLbls>
            <c:dLbl>
              <c:idx val="0"/>
              <c:layout>
                <c:manualLayout>
                  <c:x val="-9.2525479769574259E-2"/>
                  <c:y val="2.00501253132832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7691424935519427E-2"/>
                  <c:y val="-5.513823929903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800" b="1"/>
                </a:pPr>
                <a:endParaRPr lang="ca-E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(DCap!$I$39,DCap!$K$39)</c:f>
              <c:numCache>
                <c:formatCode>General</c:formatCode>
                <c:ptCount val="2"/>
              </c:numCache>
            </c:numRef>
          </c:cat>
          <c:val>
            <c:numRef>
              <c:f>(DCap!$O$17,DCap!$M$17)</c:f>
              <c:numCache>
                <c:formatCode>0.0%</c:formatCode>
                <c:ptCount val="2"/>
                <c:pt idx="0">
                  <c:v>5.8000000000000003E-2</c:v>
                </c:pt>
                <c:pt idx="1">
                  <c:v>8.1951811935883689E-2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96493696"/>
        <c:axId val="496495232"/>
      </c:lineChart>
      <c:catAx>
        <c:axId val="49649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ca-ES"/>
          </a:p>
        </c:txPr>
        <c:crossAx val="496495232"/>
        <c:crosses val="autoZero"/>
        <c:auto val="1"/>
        <c:lblAlgn val="ctr"/>
        <c:lblOffset val="100"/>
        <c:noMultiLvlLbl val="0"/>
      </c:catAx>
      <c:valAx>
        <c:axId val="49649523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ca-ES"/>
          </a:p>
        </c:txPr>
        <c:crossAx val="49649369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Grau execució ingressos a Gener</a:t>
            </a:r>
          </a:p>
          <a:p>
            <a:pPr>
              <a:defRPr sz="1050"/>
            </a:pPr>
            <a:endParaRPr lang="en-US" sz="1050"/>
          </a:p>
        </c:rich>
      </c:tx>
      <c:layout>
        <c:manualLayout>
          <c:xMode val="edge"/>
          <c:yMode val="edge"/>
          <c:x val="0.3262281383105641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759604468046179"/>
          <c:y val="0.13032581453634084"/>
          <c:w val="0.84601030330265758"/>
          <c:h val="0.62336826317762917"/>
        </c:manualLayout>
      </c:layout>
      <c:lineChart>
        <c:grouping val="standard"/>
        <c:varyColors val="0"/>
        <c:ser>
          <c:idx val="1"/>
          <c:order val="0"/>
          <c:tx>
            <c:strRef>
              <c:f>'ICap '!$B$10</c:f>
              <c:strCache>
                <c:ptCount val="1"/>
                <c:pt idx="0">
                  <c:v>Operacions corrents</c:v>
                </c:pt>
              </c:strCache>
            </c:strRef>
          </c:tx>
          <c:dLbls>
            <c:dLbl>
              <c:idx val="0"/>
              <c:layout>
                <c:manualLayout>
                  <c:x val="-9.1631205673758861E-2"/>
                  <c:y val="-3.9511376867365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0051579626047711E-2"/>
                  <c:y val="-5.95618968681546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(DCap!$I$39,DCap!$K$39)</c:f>
              <c:numCache>
                <c:formatCode>General</c:formatCode>
                <c:ptCount val="2"/>
              </c:numCache>
            </c:numRef>
          </c:cat>
          <c:val>
            <c:numRef>
              <c:f>('ICap '!$M$10,'ICap '!$I$10)</c:f>
              <c:numCache>
                <c:formatCode>0.0%</c:formatCode>
                <c:ptCount val="2"/>
                <c:pt idx="0">
                  <c:v>5.3271191328835676E-2</c:v>
                </c:pt>
                <c:pt idx="1">
                  <c:v>5.7241268845279192E-2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'ICap '!$B$13</c:f>
              <c:strCache>
                <c:ptCount val="1"/>
                <c:pt idx="0">
                  <c:v>Operacions de capital</c:v>
                </c:pt>
              </c:strCache>
            </c:strRef>
          </c:tx>
          <c:dLbls>
            <c:dLbl>
              <c:idx val="0"/>
              <c:layout>
                <c:manualLayout>
                  <c:x val="-8.1315280464216641E-2"/>
                  <c:y val="-1.9462040929094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3668600902643456E-3"/>
                  <c:y val="1.06131470408304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800" b="1"/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(DCap!$I$39,DCap!$K$39)</c:f>
              <c:numCache>
                <c:formatCode>General</c:formatCode>
                <c:ptCount val="2"/>
              </c:numCache>
            </c:numRef>
          </c:cat>
          <c:val>
            <c:numRef>
              <c:f>('ICap '!$M$13,'ICap '!$I$13)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'ICap '!$B$16</c:f>
              <c:strCache>
                <c:ptCount val="1"/>
                <c:pt idx="0">
                  <c:v>Operacions financeres</c:v>
                </c:pt>
              </c:strCache>
            </c:strRef>
          </c:tx>
          <c:dLbls>
            <c:dLbl>
              <c:idx val="0"/>
              <c:layout>
                <c:manualLayout>
                  <c:x val="-4.3842682140554479E-2"/>
                  <c:y val="-5.5138633986541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421663442940041E-2"/>
                  <c:y val="5.01245239081956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800" b="1"/>
                </a:pPr>
                <a:endParaRPr lang="ca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(DCap!$I$39,DCap!$K$39)</c:f>
              <c:numCache>
                <c:formatCode>General</c:formatCode>
                <c:ptCount val="2"/>
              </c:numCache>
            </c:numRef>
          </c:cat>
          <c:val>
            <c:numRef>
              <c:f>('ICap '!$M$16,'ICap '!$I$16)</c:f>
              <c:numCache>
                <c:formatCode>0.0%</c:formatCode>
                <c:ptCount val="2"/>
                <c:pt idx="0">
                  <c:v>1E-3</c:v>
                </c:pt>
                <c:pt idx="1">
                  <c:v>2.7135893125187631E-4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'ICap '!$B$18</c:f>
              <c:strCache>
                <c:ptCount val="1"/>
                <c:pt idx="0">
                  <c:v>Ingressos Totals</c:v>
                </c:pt>
              </c:strCache>
            </c:strRef>
          </c:tx>
          <c:dLbls>
            <c:dLbl>
              <c:idx val="0"/>
              <c:layout>
                <c:manualLayout>
                  <c:x val="-6.8420373952288852E-2"/>
                  <c:y val="2.56511357132989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5449265650304352E-3"/>
                  <c:y val="-1.94612515540819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800" b="1"/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(DCap!$I$39,DCap!$K$39)</c:f>
              <c:numCache>
                <c:formatCode>General</c:formatCode>
                <c:ptCount val="2"/>
              </c:numCache>
            </c:numRef>
          </c:cat>
          <c:val>
            <c:numRef>
              <c:f>('ICap '!$M$18,'ICap '!$I$18)</c:f>
              <c:numCache>
                <c:formatCode>0.0%</c:formatCode>
                <c:ptCount val="2"/>
                <c:pt idx="0">
                  <c:v>4.7920459496188728E-2</c:v>
                </c:pt>
                <c:pt idx="1">
                  <c:v>5.2856726659643874E-2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98383488"/>
        <c:axId val="499528064"/>
      </c:lineChart>
      <c:catAx>
        <c:axId val="49838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ca-ES"/>
          </a:p>
        </c:txPr>
        <c:crossAx val="499528064"/>
        <c:crosses val="autoZero"/>
        <c:auto val="1"/>
        <c:lblAlgn val="ctr"/>
        <c:lblOffset val="100"/>
        <c:noMultiLvlLbl val="0"/>
      </c:catAx>
      <c:valAx>
        <c:axId val="49952806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ca-ES"/>
          </a:p>
        </c:txPr>
        <c:crossAx val="49838348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20</xdr:row>
      <xdr:rowOff>0</xdr:rowOff>
    </xdr:from>
    <xdr:to>
      <xdr:col>4</xdr:col>
      <xdr:colOff>219075</xdr:colOff>
      <xdr:row>35</xdr:row>
      <xdr:rowOff>104775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266700</xdr:colOff>
      <xdr:row>19</xdr:row>
      <xdr:rowOff>152400</xdr:rowOff>
    </xdr:from>
    <xdr:to>
      <xdr:col>9</xdr:col>
      <xdr:colOff>485775</xdr:colOff>
      <xdr:row>35</xdr:row>
      <xdr:rowOff>95250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Ajuntament de Barcelona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C00000"/>
      </a:accent1>
      <a:accent2>
        <a:srgbClr val="DE6B5C"/>
      </a:accent2>
      <a:accent3>
        <a:srgbClr val="E99C92"/>
      </a:accent3>
      <a:accent4>
        <a:srgbClr val="F4CDC9"/>
      </a:accent4>
      <a:accent5>
        <a:srgbClr val="4D160F"/>
      </a:accent5>
      <a:accent6>
        <a:srgbClr val="855D5D"/>
      </a:accent6>
      <a:hlink>
        <a:srgbClr val="453D2B"/>
      </a:hlink>
      <a:folHlink>
        <a:srgbClr val="453D2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22@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19"/>
  <sheetViews>
    <sheetView tabSelected="1" zoomScaleNormal="100" workbookViewId="0">
      <selection activeCell="K16" sqref="K1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3.7109375" bestFit="1" customWidth="1"/>
    <col min="4" max="4" width="14" bestFit="1" customWidth="1"/>
    <col min="5" max="5" width="15.140625" bestFit="1" customWidth="1"/>
    <col min="6" max="8" width="14" bestFit="1" customWidth="1"/>
    <col min="9" max="9" width="13.42578125" bestFit="1" customWidth="1"/>
    <col min="10" max="10" width="8" bestFit="1" customWidth="1"/>
    <col min="12" max="12" width="6.28515625" customWidth="1"/>
  </cols>
  <sheetData>
    <row r="1" spans="1:13" ht="15.75" thickBot="1" x14ac:dyDescent="0.3">
      <c r="A1" s="7" t="s">
        <v>406</v>
      </c>
    </row>
    <row r="2" spans="1:13" x14ac:dyDescent="0.2">
      <c r="A2" s="8" t="s">
        <v>407</v>
      </c>
      <c r="H2" s="633" t="s">
        <v>514</v>
      </c>
      <c r="I2" s="634"/>
      <c r="J2" s="635"/>
    </row>
    <row r="3" spans="1:13" ht="22.5" x14ac:dyDescent="0.2">
      <c r="C3" s="14"/>
      <c r="D3" s="14"/>
      <c r="E3" s="14"/>
      <c r="F3" s="139"/>
      <c r="G3" s="14"/>
      <c r="H3" s="109"/>
      <c r="I3" s="140"/>
      <c r="J3" s="110" t="s">
        <v>553</v>
      </c>
    </row>
    <row r="4" spans="1:13" x14ac:dyDescent="0.2">
      <c r="A4" s="1"/>
      <c r="B4" s="2" t="s">
        <v>408</v>
      </c>
      <c r="C4" s="3" t="s">
        <v>550</v>
      </c>
      <c r="D4" s="3" t="s">
        <v>450</v>
      </c>
      <c r="E4" s="3" t="s">
        <v>551</v>
      </c>
      <c r="F4" s="3" t="s">
        <v>481</v>
      </c>
      <c r="G4" s="3" t="s">
        <v>512</v>
      </c>
      <c r="H4" s="11" t="s">
        <v>552</v>
      </c>
      <c r="I4" s="90" t="s">
        <v>481</v>
      </c>
      <c r="J4" s="12" t="s">
        <v>18</v>
      </c>
    </row>
    <row r="5" spans="1:13" x14ac:dyDescent="0.2">
      <c r="A5" s="6"/>
      <c r="B5" s="6" t="s">
        <v>211</v>
      </c>
      <c r="C5" s="111">
        <v>2075269286.7199998</v>
      </c>
      <c r="D5" s="111">
        <v>2430506527.5099998</v>
      </c>
      <c r="E5" s="111">
        <v>2313220529.2600002</v>
      </c>
      <c r="F5" s="111">
        <v>2648823066.1900001</v>
      </c>
      <c r="G5" s="111">
        <v>2354409500.5</v>
      </c>
      <c r="H5" s="112">
        <f>'ICap '!G10</f>
        <v>134769387.19</v>
      </c>
      <c r="I5" s="113">
        <f>'ICap '!L10</f>
        <v>123228013.39999999</v>
      </c>
      <c r="J5" s="56">
        <f t="shared" ref="J5:J13" si="0">+H5/I5-1</f>
        <v>9.3658685809829167E-2</v>
      </c>
    </row>
    <row r="6" spans="1:13" x14ac:dyDescent="0.2">
      <c r="A6" s="6"/>
      <c r="B6" s="6" t="s">
        <v>298</v>
      </c>
      <c r="C6" s="111">
        <v>1811995732.4200001</v>
      </c>
      <c r="D6" s="111">
        <v>1838420398.8499999</v>
      </c>
      <c r="E6" s="111">
        <v>1899831248.1999998</v>
      </c>
      <c r="F6" s="111">
        <v>1885498459.3</v>
      </c>
      <c r="G6" s="111">
        <v>1996110606.45</v>
      </c>
      <c r="H6" s="112">
        <f>DCap!K10</f>
        <v>106540028.39999999</v>
      </c>
      <c r="I6" s="113">
        <f>DCap!N10</f>
        <v>116104146</v>
      </c>
      <c r="J6" s="56">
        <f t="shared" si="0"/>
        <v>-8.237533222973803E-2</v>
      </c>
    </row>
    <row r="7" spans="1:13" x14ac:dyDescent="0.2">
      <c r="A7" s="9"/>
      <c r="B7" s="2" t="s">
        <v>409</v>
      </c>
      <c r="C7" s="114">
        <f>+C5-C6</f>
        <v>263273554.29999971</v>
      </c>
      <c r="D7" s="114">
        <f>+D5-D6</f>
        <v>592086128.65999985</v>
      </c>
      <c r="E7" s="114">
        <f>+E5-E6</f>
        <v>413389281.06000042</v>
      </c>
      <c r="F7" s="114">
        <f>+F5-F6</f>
        <v>763324606.8900001</v>
      </c>
      <c r="G7" s="114">
        <f>+G5-G6</f>
        <v>358298894.04999995</v>
      </c>
      <c r="H7" s="115">
        <f t="shared" ref="H7:I7" si="1">+H5-H6</f>
        <v>28229358.790000007</v>
      </c>
      <c r="I7" s="116">
        <f t="shared" si="1"/>
        <v>7123867.3999999911</v>
      </c>
      <c r="J7" s="40">
        <f t="shared" si="0"/>
        <v>2.9626451764107853</v>
      </c>
    </row>
    <row r="8" spans="1:13" x14ac:dyDescent="0.2">
      <c r="A8" s="6"/>
      <c r="B8" s="6" t="s">
        <v>410</v>
      </c>
      <c r="C8" s="111">
        <v>6000200</v>
      </c>
      <c r="D8" s="111">
        <v>28408197.229999997</v>
      </c>
      <c r="E8" s="111">
        <v>23479180</v>
      </c>
      <c r="F8" s="111">
        <v>48611906.079999998</v>
      </c>
      <c r="G8" s="111">
        <v>29606729</v>
      </c>
      <c r="H8" s="112">
        <f>'ICap '!G13</f>
        <v>0</v>
      </c>
      <c r="I8" s="113">
        <f>'ICap '!L13</f>
        <v>0</v>
      </c>
      <c r="J8" s="56" t="s">
        <v>135</v>
      </c>
      <c r="M8" s="495"/>
    </row>
    <row r="9" spans="1:13" x14ac:dyDescent="0.2">
      <c r="A9" s="6"/>
      <c r="B9" s="6" t="s">
        <v>411</v>
      </c>
      <c r="C9" s="111">
        <v>151630998.19</v>
      </c>
      <c r="D9" s="111">
        <v>334091750.25</v>
      </c>
      <c r="E9" s="111">
        <v>426289690.11000001</v>
      </c>
      <c r="F9" s="111">
        <v>613191186.36000001</v>
      </c>
      <c r="G9" s="111">
        <v>373850342.10000002</v>
      </c>
      <c r="H9" s="112">
        <f>DCap!K13</f>
        <v>20000000</v>
      </c>
      <c r="I9" s="113">
        <f>DCap!N13</f>
        <v>1000178</v>
      </c>
      <c r="J9" s="56" t="s">
        <v>135</v>
      </c>
    </row>
    <row r="10" spans="1:13" x14ac:dyDescent="0.2">
      <c r="A10" s="9"/>
      <c r="B10" s="2" t="s">
        <v>412</v>
      </c>
      <c r="C10" s="114">
        <f t="shared" ref="C10:I10" si="2">+C7+C8-C9</f>
        <v>117642756.10999972</v>
      </c>
      <c r="D10" s="114">
        <f t="shared" si="2"/>
        <v>286402575.63999987</v>
      </c>
      <c r="E10" s="114">
        <f>+E7+E8-E9</f>
        <v>10578770.950000405</v>
      </c>
      <c r="F10" s="114">
        <f t="shared" si="2"/>
        <v>198745326.61000013</v>
      </c>
      <c r="G10" s="114">
        <f>+G7+G8-G9</f>
        <v>14055280.949999928</v>
      </c>
      <c r="H10" s="115">
        <f t="shared" si="2"/>
        <v>8229358.7900000066</v>
      </c>
      <c r="I10" s="116">
        <f t="shared" si="2"/>
        <v>6123689.3999999911</v>
      </c>
      <c r="J10" s="40">
        <f t="shared" si="0"/>
        <v>0.34385633438561047</v>
      </c>
    </row>
    <row r="11" spans="1:13" x14ac:dyDescent="0.2">
      <c r="A11" s="6"/>
      <c r="B11" s="6" t="s">
        <v>212</v>
      </c>
      <c r="C11" s="111">
        <v>1232200</v>
      </c>
      <c r="D11" s="111">
        <v>41248296.100000001</v>
      </c>
      <c r="E11" s="111">
        <v>237300010</v>
      </c>
      <c r="F11" s="111">
        <v>1753884.59</v>
      </c>
      <c r="G11" s="111">
        <v>166550000</v>
      </c>
      <c r="H11" s="112">
        <f>'ICap '!G16</f>
        <v>45194.83</v>
      </c>
      <c r="I11" s="113">
        <f>+'ICap '!L16</f>
        <v>119235.89</v>
      </c>
      <c r="J11" s="56">
        <f t="shared" si="0"/>
        <v>-0.6209628661303237</v>
      </c>
    </row>
    <row r="12" spans="1:13" ht="13.5" thickBot="1" x14ac:dyDescent="0.25">
      <c r="A12" s="6"/>
      <c r="B12" s="6" t="s">
        <v>2</v>
      </c>
      <c r="C12" s="111">
        <v>98971840.909999996</v>
      </c>
      <c r="D12" s="111">
        <v>112759752.78999999</v>
      </c>
      <c r="E12" s="111">
        <v>247878780.94999999</v>
      </c>
      <c r="F12" s="111">
        <v>148301777.84</v>
      </c>
      <c r="G12" s="111">
        <v>180605280.94999999</v>
      </c>
      <c r="H12" s="112">
        <f>+DCap!K16</f>
        <v>82483495.569999993</v>
      </c>
      <c r="I12" s="113">
        <f>DCap!N16</f>
        <v>32804225</v>
      </c>
      <c r="J12" s="278">
        <f t="shared" si="0"/>
        <v>1.5144168341120694</v>
      </c>
    </row>
    <row r="13" spans="1:13" ht="13.5" thickBot="1" x14ac:dyDescent="0.25">
      <c r="A13" s="5"/>
      <c r="B13" s="4" t="s">
        <v>413</v>
      </c>
      <c r="C13" s="117">
        <f t="shared" ref="C13:I13" si="3">+C10+C11-C12</f>
        <v>19903115.19999972</v>
      </c>
      <c r="D13" s="117">
        <f t="shared" si="3"/>
        <v>214891118.9499999</v>
      </c>
      <c r="E13" s="117">
        <f t="shared" si="3"/>
        <v>4.1723251342773438E-7</v>
      </c>
      <c r="F13" s="117">
        <f t="shared" si="3"/>
        <v>52197433.360000134</v>
      </c>
      <c r="G13" s="117">
        <f t="shared" si="3"/>
        <v>0</v>
      </c>
      <c r="H13" s="118">
        <f t="shared" si="3"/>
        <v>-74208941.949999988</v>
      </c>
      <c r="I13" s="119">
        <f t="shared" si="3"/>
        <v>-26561299.710000008</v>
      </c>
      <c r="J13" s="275">
        <f t="shared" si="0"/>
        <v>1.7938746507220511</v>
      </c>
    </row>
    <row r="14" spans="1:13" ht="13.5" thickBot="1" x14ac:dyDescent="0.25"/>
    <row r="15" spans="1:13" x14ac:dyDescent="0.2">
      <c r="H15" s="636" t="s">
        <v>514</v>
      </c>
      <c r="I15" s="637"/>
    </row>
    <row r="16" spans="1:13" x14ac:dyDescent="0.2">
      <c r="A16" s="1"/>
      <c r="B16" s="2" t="s">
        <v>414</v>
      </c>
      <c r="C16" s="3" t="s">
        <v>482</v>
      </c>
      <c r="D16" s="3" t="s">
        <v>450</v>
      </c>
      <c r="E16" s="3" t="s">
        <v>483</v>
      </c>
      <c r="F16" s="3" t="s">
        <v>481</v>
      </c>
      <c r="G16" s="3" t="s">
        <v>512</v>
      </c>
      <c r="H16" s="120" t="s">
        <v>552</v>
      </c>
      <c r="I16" s="121" t="s">
        <v>481</v>
      </c>
    </row>
    <row r="17" spans="1:11" x14ac:dyDescent="0.2">
      <c r="B17" t="s">
        <v>415</v>
      </c>
      <c r="C17" s="122">
        <f t="shared" ref="C17:I17" si="4">+C7/C5</f>
        <v>0.12686235756715133</v>
      </c>
      <c r="D17" s="122">
        <f t="shared" si="4"/>
        <v>0.24360606398641479</v>
      </c>
      <c r="E17" s="122">
        <f t="shared" si="4"/>
        <v>0.17870725070568336</v>
      </c>
      <c r="F17" s="122">
        <f t="shared" si="4"/>
        <v>0.28817500747150576</v>
      </c>
      <c r="G17" s="122">
        <f t="shared" si="4"/>
        <v>0.15218206262500594</v>
      </c>
      <c r="H17" s="123">
        <f t="shared" si="4"/>
        <v>0.20946417712949761</v>
      </c>
      <c r="I17" s="124">
        <f t="shared" si="4"/>
        <v>5.7810453998603469E-2</v>
      </c>
      <c r="K17" s="102" t="s">
        <v>154</v>
      </c>
    </row>
    <row r="18" spans="1:11" ht="37.5" thickBot="1" x14ac:dyDescent="0.25">
      <c r="A18" s="6"/>
      <c r="B18" s="125" t="s">
        <v>416</v>
      </c>
      <c r="C18" s="126">
        <f>+C10/(C5+C8)</f>
        <v>5.6524518742356693E-2</v>
      </c>
      <c r="D18" s="126">
        <f>+D10/(D5+D8)</f>
        <v>0.11647519645899207</v>
      </c>
      <c r="E18" s="126">
        <f>+E10/(E5+E8)</f>
        <v>4.5272274002852303E-3</v>
      </c>
      <c r="F18" s="126">
        <f>+F10/(F5+F8)</f>
        <v>7.367937639021116E-2</v>
      </c>
      <c r="G18" s="126">
        <f>+G10/(G5+G8)</f>
        <v>5.895631403880058E-3</v>
      </c>
      <c r="H18" s="127">
        <f t="shared" ref="H18:I18" si="5">+H10/(H5+H8)</f>
        <v>6.1062522888808028E-2</v>
      </c>
      <c r="I18" s="128">
        <f t="shared" si="5"/>
        <v>4.969397161441208E-2</v>
      </c>
      <c r="J18" s="6"/>
    </row>
    <row r="19" spans="1:11" x14ac:dyDescent="0.2">
      <c r="A19" s="129"/>
      <c r="B19" s="129"/>
      <c r="C19" s="129"/>
      <c r="D19" s="129"/>
      <c r="E19" s="129"/>
      <c r="F19" s="129"/>
      <c r="G19" s="129"/>
      <c r="H19" s="129"/>
      <c r="I19" s="129"/>
    </row>
  </sheetData>
  <mergeCells count="2">
    <mergeCell ref="H2:J2"/>
    <mergeCell ref="H15:I15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Gener&amp;R&amp;"Arial,Negreta"&amp;8&amp;K03+000Direcció de Pressupostos i Política Fiscal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M22"/>
  <sheetViews>
    <sheetView zoomScaleNormal="100" workbookViewId="0">
      <selection activeCell="M4" sqref="M4"/>
    </sheetView>
  </sheetViews>
  <sheetFormatPr defaultColWidth="11.42578125" defaultRowHeight="12.75" x14ac:dyDescent="0.2"/>
  <cols>
    <col min="1" max="1" width="2.7109375" customWidth="1"/>
    <col min="2" max="2" width="31.28515625" customWidth="1"/>
    <col min="3" max="3" width="11.28515625" bestFit="1" customWidth="1"/>
    <col min="4" max="5" width="11.5703125" style="43" bestFit="1" customWidth="1"/>
    <col min="6" max="6" width="6.28515625" style="98" customWidth="1"/>
    <col min="7" max="7" width="11.5703125" style="43" bestFit="1" customWidth="1"/>
    <col min="8" max="8" width="7.140625" style="98" bestFit="1" customWidth="1"/>
    <col min="9" max="9" width="11.5703125" style="43" bestFit="1" customWidth="1"/>
    <col min="10" max="10" width="6.28515625" style="98" customWidth="1"/>
    <col min="11" max="11" width="11.5703125" style="43" bestFit="1" customWidth="1"/>
    <col min="12" max="12" width="6.28515625" style="98" customWidth="1"/>
    <col min="13" max="13" width="8" style="98" bestFit="1" customWidth="1"/>
    <col min="14" max="14" width="4.7109375" customWidth="1"/>
  </cols>
  <sheetData>
    <row r="1" spans="1:13" ht="15.75" thickBot="1" x14ac:dyDescent="0.3">
      <c r="A1" s="7" t="s">
        <v>437</v>
      </c>
    </row>
    <row r="2" spans="1:13" x14ac:dyDescent="0.2">
      <c r="A2" s="8" t="s">
        <v>20</v>
      </c>
      <c r="C2" s="176" t="s">
        <v>512</v>
      </c>
      <c r="D2" s="650" t="s">
        <v>510</v>
      </c>
      <c r="E2" s="648"/>
      <c r="F2" s="648"/>
      <c r="G2" s="648"/>
      <c r="H2" s="648"/>
      <c r="I2" s="648"/>
      <c r="J2" s="649"/>
      <c r="K2" s="644" t="s">
        <v>511</v>
      </c>
      <c r="L2" s="645"/>
      <c r="M2" s="219"/>
    </row>
    <row r="3" spans="1:13" x14ac:dyDescent="0.2">
      <c r="C3" s="169">
        <v>1</v>
      </c>
      <c r="D3" s="243">
        <v>2</v>
      </c>
      <c r="E3" s="241">
        <v>3</v>
      </c>
      <c r="F3" s="89" t="s">
        <v>39</v>
      </c>
      <c r="G3" s="241">
        <v>4</v>
      </c>
      <c r="H3" s="89" t="s">
        <v>40</v>
      </c>
      <c r="I3" s="241">
        <v>5</v>
      </c>
      <c r="J3" s="160" t="s">
        <v>41</v>
      </c>
      <c r="K3" s="241" t="s">
        <v>42</v>
      </c>
      <c r="L3" s="16" t="s">
        <v>43</v>
      </c>
      <c r="M3" s="150" t="s">
        <v>368</v>
      </c>
    </row>
    <row r="4" spans="1:13" ht="25.5" x14ac:dyDescent="0.2">
      <c r="A4" s="1"/>
      <c r="B4" s="2" t="s">
        <v>12</v>
      </c>
      <c r="C4" s="170" t="s">
        <v>13</v>
      </c>
      <c r="D4" s="244" t="s">
        <v>14</v>
      </c>
      <c r="E4" s="242" t="s">
        <v>15</v>
      </c>
      <c r="F4" s="90" t="s">
        <v>18</v>
      </c>
      <c r="G4" s="242" t="s">
        <v>16</v>
      </c>
      <c r="H4" s="90" t="s">
        <v>18</v>
      </c>
      <c r="I4" s="242" t="s">
        <v>17</v>
      </c>
      <c r="J4" s="121" t="s">
        <v>18</v>
      </c>
      <c r="K4" s="242" t="s">
        <v>17</v>
      </c>
      <c r="L4" s="12" t="s">
        <v>18</v>
      </c>
      <c r="M4" s="151" t="s">
        <v>553</v>
      </c>
    </row>
    <row r="5" spans="1:13" ht="15" customHeight="1" x14ac:dyDescent="0.2">
      <c r="A5" s="20">
        <v>1</v>
      </c>
      <c r="B5" s="20" t="s">
        <v>0</v>
      </c>
      <c r="C5" s="172">
        <v>13087648.619999999</v>
      </c>
      <c r="D5" s="227">
        <v>13184918.9</v>
      </c>
      <c r="E5" s="32">
        <v>964102.61</v>
      </c>
      <c r="F5" s="45">
        <f>E5/D5</f>
        <v>7.3121618518260281E-2</v>
      </c>
      <c r="G5" s="32">
        <v>964102.61</v>
      </c>
      <c r="H5" s="45">
        <f>G5/D5</f>
        <v>7.3121618518260281E-2</v>
      </c>
      <c r="I5" s="32">
        <v>964102.61</v>
      </c>
      <c r="J5" s="165">
        <f>I5/D5</f>
        <v>7.3121618518260281E-2</v>
      </c>
      <c r="K5" s="30">
        <v>986445</v>
      </c>
      <c r="L5" s="49">
        <v>7.3999999999999996E-2</v>
      </c>
      <c r="M5" s="232">
        <f>+I5/K5-1</f>
        <v>-2.2649402652960893E-2</v>
      </c>
    </row>
    <row r="6" spans="1:13" ht="15" customHeight="1" x14ac:dyDescent="0.2">
      <c r="A6" s="22">
        <v>2</v>
      </c>
      <c r="B6" s="22" t="s">
        <v>1</v>
      </c>
      <c r="C6" s="172">
        <v>76489858.340000004</v>
      </c>
      <c r="D6" s="227">
        <v>76489858.340000004</v>
      </c>
      <c r="E6" s="32">
        <v>52281873.32</v>
      </c>
      <c r="F6" s="45">
        <f>E6/D6</f>
        <v>0.68351379456875583</v>
      </c>
      <c r="G6" s="32">
        <v>50993664.829999998</v>
      </c>
      <c r="H6" s="45">
        <f>G6/D6</f>
        <v>0.66667223520445595</v>
      </c>
      <c r="I6" s="32">
        <v>46399.63</v>
      </c>
      <c r="J6" s="165">
        <f>I6/D6</f>
        <v>6.0661153003777404E-4</v>
      </c>
      <c r="K6" s="30">
        <v>17377</v>
      </c>
      <c r="L6" s="49">
        <v>0</v>
      </c>
      <c r="M6" s="232">
        <f>+I6/K6-1</f>
        <v>1.6701749438913507</v>
      </c>
    </row>
    <row r="7" spans="1:13" ht="15" customHeight="1" x14ac:dyDescent="0.2">
      <c r="A7" s="22">
        <v>3</v>
      </c>
      <c r="B7" s="22" t="s">
        <v>2</v>
      </c>
      <c r="C7" s="172"/>
      <c r="D7" s="227"/>
      <c r="E7" s="32"/>
      <c r="F7" s="45" t="s">
        <v>135</v>
      </c>
      <c r="G7" s="32"/>
      <c r="H7" s="45" t="s">
        <v>135</v>
      </c>
      <c r="I7" s="32"/>
      <c r="J7" s="165" t="s">
        <v>135</v>
      </c>
      <c r="K7" s="30"/>
      <c r="L7" s="49"/>
      <c r="M7" s="234" t="s">
        <v>135</v>
      </c>
    </row>
    <row r="8" spans="1:13" ht="15" customHeight="1" x14ac:dyDescent="0.2">
      <c r="A8" s="24">
        <v>4</v>
      </c>
      <c r="B8" s="24" t="s">
        <v>3</v>
      </c>
      <c r="C8" s="172">
        <v>112844701.16</v>
      </c>
      <c r="D8" s="440">
        <v>112844701.16</v>
      </c>
      <c r="E8" s="441">
        <v>92427762.140000001</v>
      </c>
      <c r="F8" s="460">
        <f>E9/D9</f>
        <v>0</v>
      </c>
      <c r="G8" s="441">
        <v>90276327.140000001</v>
      </c>
      <c r="H8" s="460">
        <f>G8/D9</f>
        <v>31.673271599540627</v>
      </c>
      <c r="I8" s="441">
        <v>12074000</v>
      </c>
      <c r="J8" s="475">
        <f>I8/D9</f>
        <v>4.2361391231589876</v>
      </c>
      <c r="K8" s="440">
        <v>12412607</v>
      </c>
      <c r="L8" s="374">
        <v>0.12</v>
      </c>
      <c r="M8" s="494">
        <f>+I8/K8-1</f>
        <v>-2.7279281459567706E-2</v>
      </c>
    </row>
    <row r="9" spans="1:13" ht="15" customHeight="1" x14ac:dyDescent="0.2">
      <c r="A9" s="54">
        <v>5</v>
      </c>
      <c r="B9" s="54" t="s">
        <v>487</v>
      </c>
      <c r="C9" s="172">
        <v>2850236.89</v>
      </c>
      <c r="D9" s="226">
        <v>2850236.89</v>
      </c>
      <c r="E9" s="30">
        <v>0</v>
      </c>
      <c r="F9" s="79"/>
      <c r="G9" s="30">
        <v>0</v>
      </c>
      <c r="H9" s="79"/>
      <c r="I9" s="30">
        <v>0</v>
      </c>
      <c r="J9" s="186"/>
      <c r="K9" s="194"/>
      <c r="L9" s="56"/>
      <c r="M9" s="274"/>
    </row>
    <row r="10" spans="1:13" ht="15" customHeight="1" x14ac:dyDescent="0.2">
      <c r="A10" s="9"/>
      <c r="B10" s="2" t="s">
        <v>4</v>
      </c>
      <c r="C10" s="174">
        <f>SUM(C5:C9)</f>
        <v>205272445.00999999</v>
      </c>
      <c r="D10" s="164">
        <f>SUM(D5:D9)</f>
        <v>205369715.28999999</v>
      </c>
      <c r="E10" s="85">
        <f>SUM(E5:E9)</f>
        <v>145673738.06999999</v>
      </c>
      <c r="F10" s="91">
        <f>E10/D10</f>
        <v>0.70932434153836144</v>
      </c>
      <c r="G10" s="85">
        <f>SUM(G5:G9)</f>
        <v>142234094.57999998</v>
      </c>
      <c r="H10" s="91">
        <f>G10/D10</f>
        <v>0.69257579862324392</v>
      </c>
      <c r="I10" s="85">
        <f>SUM(I5:I9)</f>
        <v>13084502.24</v>
      </c>
      <c r="J10" s="183">
        <f>I10/D10</f>
        <v>6.3711936404661898E-2</v>
      </c>
      <c r="K10" s="85">
        <f>SUM(K5:K9)</f>
        <v>13416429</v>
      </c>
      <c r="L10" s="40">
        <v>6.9000000000000006E-2</v>
      </c>
      <c r="M10" s="236">
        <f>+I10/K10-1</f>
        <v>-2.4740320990033871E-2</v>
      </c>
    </row>
    <row r="11" spans="1:13" ht="15" customHeight="1" x14ac:dyDescent="0.2">
      <c r="A11" s="20">
        <v>6</v>
      </c>
      <c r="B11" s="20" t="s">
        <v>5</v>
      </c>
      <c r="C11" s="172">
        <v>60520</v>
      </c>
      <c r="D11" s="34">
        <v>60520</v>
      </c>
      <c r="E11" s="34">
        <v>0</v>
      </c>
      <c r="F11" s="45">
        <f>E11/D11</f>
        <v>0</v>
      </c>
      <c r="G11" s="30">
        <v>0</v>
      </c>
      <c r="H11" s="45">
        <f>G11/D11</f>
        <v>0</v>
      </c>
      <c r="I11" s="30">
        <v>0</v>
      </c>
      <c r="J11" s="165">
        <f>I11/D11</f>
        <v>0</v>
      </c>
      <c r="K11" s="147"/>
      <c r="L11" s="105"/>
      <c r="M11" s="232"/>
    </row>
    <row r="12" spans="1:13" ht="15" customHeight="1" x14ac:dyDescent="0.2">
      <c r="A12" s="24">
        <v>7</v>
      </c>
      <c r="B12" s="24" t="s">
        <v>6</v>
      </c>
      <c r="C12" s="173"/>
      <c r="D12" s="228"/>
      <c r="E12" s="34"/>
      <c r="F12" s="79"/>
      <c r="G12" s="55"/>
      <c r="H12" s="79"/>
      <c r="I12" s="55"/>
      <c r="J12" s="186"/>
      <c r="K12" s="163"/>
      <c r="L12" s="106"/>
      <c r="M12" s="270" t="s">
        <v>135</v>
      </c>
    </row>
    <row r="13" spans="1:13" ht="15" customHeight="1" x14ac:dyDescent="0.2">
      <c r="A13" s="9"/>
      <c r="B13" s="2" t="s">
        <v>7</v>
      </c>
      <c r="C13" s="174">
        <f>SUM(C11:C12)</f>
        <v>60520</v>
      </c>
      <c r="D13" s="164">
        <f t="shared" ref="D13:I13" si="0">SUM(D11:D12)</f>
        <v>60520</v>
      </c>
      <c r="E13" s="85">
        <f t="shared" si="0"/>
        <v>0</v>
      </c>
      <c r="F13" s="91">
        <f>E13/D13</f>
        <v>0</v>
      </c>
      <c r="G13" s="85">
        <f t="shared" si="0"/>
        <v>0</v>
      </c>
      <c r="H13" s="91">
        <f>G13/D13</f>
        <v>0</v>
      </c>
      <c r="I13" s="85">
        <f t="shared" si="0"/>
        <v>0</v>
      </c>
      <c r="J13" s="183">
        <f>I13/D13</f>
        <v>0</v>
      </c>
      <c r="K13" s="85">
        <f>SUM(K11:K12)</f>
        <v>0</v>
      </c>
      <c r="L13" s="40"/>
      <c r="M13" s="236"/>
    </row>
    <row r="14" spans="1:13" ht="15" customHeight="1" x14ac:dyDescent="0.2">
      <c r="A14" s="20">
        <v>8</v>
      </c>
      <c r="B14" s="20" t="s">
        <v>8</v>
      </c>
      <c r="C14" s="171"/>
      <c r="D14" s="226"/>
      <c r="E14" s="30"/>
      <c r="F14" s="87" t="s">
        <v>135</v>
      </c>
      <c r="G14" s="30"/>
      <c r="H14" s="87" t="s">
        <v>135</v>
      </c>
      <c r="I14" s="30"/>
      <c r="J14" s="245" t="s">
        <v>135</v>
      </c>
      <c r="K14" s="30"/>
      <c r="L14" s="52" t="s">
        <v>135</v>
      </c>
      <c r="M14" s="237" t="s">
        <v>135</v>
      </c>
    </row>
    <row r="15" spans="1:13" ht="15" customHeight="1" x14ac:dyDescent="0.2">
      <c r="A15" s="24">
        <v>9</v>
      </c>
      <c r="B15" s="24" t="s">
        <v>9</v>
      </c>
      <c r="C15" s="173"/>
      <c r="D15" s="228"/>
      <c r="E15" s="34"/>
      <c r="F15" s="46" t="s">
        <v>135</v>
      </c>
      <c r="G15" s="34"/>
      <c r="H15" s="46" t="s">
        <v>135</v>
      </c>
      <c r="I15" s="34"/>
      <c r="J15" s="246" t="s">
        <v>135</v>
      </c>
      <c r="K15" s="34"/>
      <c r="L15" s="51" t="s">
        <v>135</v>
      </c>
      <c r="M15" s="238" t="s">
        <v>135</v>
      </c>
    </row>
    <row r="16" spans="1:13" ht="15" customHeight="1" thickBot="1" x14ac:dyDescent="0.25">
      <c r="A16" s="9"/>
      <c r="B16" s="2" t="s">
        <v>10</v>
      </c>
      <c r="C16" s="174">
        <f>SUM(C14:C15)</f>
        <v>0</v>
      </c>
      <c r="D16" s="164">
        <f t="shared" ref="D16:I16" si="1">SUM(D14:D15)</f>
        <v>0</v>
      </c>
      <c r="E16" s="85">
        <f t="shared" si="1"/>
        <v>0</v>
      </c>
      <c r="F16" s="57" t="s">
        <v>135</v>
      </c>
      <c r="G16" s="85">
        <f t="shared" si="1"/>
        <v>0</v>
      </c>
      <c r="H16" s="57" t="s">
        <v>135</v>
      </c>
      <c r="I16" s="85">
        <f t="shared" si="1"/>
        <v>0</v>
      </c>
      <c r="J16" s="247" t="s">
        <v>135</v>
      </c>
      <c r="K16" s="85">
        <f>SUM(K14:K15)</f>
        <v>0</v>
      </c>
      <c r="L16" s="100" t="s">
        <v>135</v>
      </c>
      <c r="M16" s="239" t="s">
        <v>135</v>
      </c>
    </row>
    <row r="17" spans="1:13" s="6" customFormat="1" ht="19.5" customHeight="1" thickBot="1" x14ac:dyDescent="0.25">
      <c r="A17" s="5"/>
      <c r="B17" s="4" t="s">
        <v>11</v>
      </c>
      <c r="C17" s="175">
        <f>+C10+C13+C16</f>
        <v>205332965.00999999</v>
      </c>
      <c r="D17" s="166">
        <f t="shared" ref="D17:I17" si="2">+D10+D13+D16</f>
        <v>205430235.28999999</v>
      </c>
      <c r="E17" s="167">
        <f t="shared" si="2"/>
        <v>145673738.06999999</v>
      </c>
      <c r="F17" s="195">
        <f>E17/D17</f>
        <v>0.70911537371486011</v>
      </c>
      <c r="G17" s="167">
        <f t="shared" si="2"/>
        <v>142234094.57999998</v>
      </c>
      <c r="H17" s="195">
        <f>G17/D17</f>
        <v>0.69237176494108654</v>
      </c>
      <c r="I17" s="167">
        <f t="shared" si="2"/>
        <v>13084502.24</v>
      </c>
      <c r="J17" s="187">
        <f>I17/D17</f>
        <v>6.3693166789830044E-2</v>
      </c>
      <c r="K17" s="360">
        <f>K10+K13+K16</f>
        <v>13416429</v>
      </c>
      <c r="L17" s="361">
        <v>6.8000000000000005E-2</v>
      </c>
      <c r="M17" s="240">
        <f>+I17/K17-1</f>
        <v>-2.4740320990033871E-2</v>
      </c>
    </row>
    <row r="22" spans="1:13" x14ac:dyDescent="0.2">
      <c r="E22" s="194"/>
    </row>
  </sheetData>
  <mergeCells count="2">
    <mergeCell ref="K2:L2"/>
    <mergeCell ref="D2:J2"/>
  </mergeCells>
  <printOptions horizontalCentered="1"/>
  <pageMargins left="0.51181102362204722" right="0.51181102362204722" top="1.3385826771653544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Gener&amp;R&amp;"Arial,Negreta"&amp;8&amp;K03+000Direcció de Pressupostos i Política Fiscal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M20"/>
  <sheetViews>
    <sheetView zoomScaleNormal="100" workbookViewId="0">
      <selection activeCell="M4" sqref="M4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3" bestFit="1" customWidth="1"/>
    <col min="6" max="6" width="6.28515625" style="98" customWidth="1"/>
    <col min="7" max="7" width="11.5703125" style="43" bestFit="1" customWidth="1"/>
    <col min="8" max="8" width="6.28515625" style="98" customWidth="1"/>
    <col min="9" max="9" width="11.5703125" style="43" bestFit="1" customWidth="1"/>
    <col min="10" max="10" width="6.28515625" style="98" customWidth="1"/>
    <col min="11" max="11" width="11.5703125" style="43" bestFit="1" customWidth="1"/>
    <col min="12" max="12" width="6.28515625" style="98" customWidth="1"/>
    <col min="13" max="13" width="8.140625" style="98" bestFit="1" customWidth="1"/>
  </cols>
  <sheetData>
    <row r="1" spans="1:13" ht="15.75" thickBot="1" x14ac:dyDescent="0.3">
      <c r="A1" s="7" t="s">
        <v>132</v>
      </c>
    </row>
    <row r="2" spans="1:13" x14ac:dyDescent="0.2">
      <c r="A2" s="8" t="s">
        <v>20</v>
      </c>
      <c r="C2" s="176" t="s">
        <v>512</v>
      </c>
      <c r="D2" s="650" t="s">
        <v>510</v>
      </c>
      <c r="E2" s="648"/>
      <c r="F2" s="648"/>
      <c r="G2" s="648"/>
      <c r="H2" s="648"/>
      <c r="I2" s="648"/>
      <c r="J2" s="649"/>
      <c r="K2" s="644" t="s">
        <v>511</v>
      </c>
      <c r="L2" s="645"/>
      <c r="M2" s="219"/>
    </row>
    <row r="3" spans="1:13" x14ac:dyDescent="0.2">
      <c r="C3" s="169">
        <v>1</v>
      </c>
      <c r="D3" s="243">
        <v>2</v>
      </c>
      <c r="E3" s="241">
        <v>3</v>
      </c>
      <c r="F3" s="89" t="s">
        <v>39</v>
      </c>
      <c r="G3" s="241">
        <v>4</v>
      </c>
      <c r="H3" s="89" t="s">
        <v>40</v>
      </c>
      <c r="I3" s="241">
        <v>5</v>
      </c>
      <c r="J3" s="160" t="s">
        <v>41</v>
      </c>
      <c r="K3" s="241" t="s">
        <v>42</v>
      </c>
      <c r="L3" s="16" t="s">
        <v>43</v>
      </c>
      <c r="M3" s="150" t="s">
        <v>368</v>
      </c>
    </row>
    <row r="4" spans="1:13" ht="25.5" x14ac:dyDescent="0.2">
      <c r="A4" s="1"/>
      <c r="B4" s="2" t="s">
        <v>12</v>
      </c>
      <c r="C4" s="170" t="s">
        <v>13</v>
      </c>
      <c r="D4" s="244" t="s">
        <v>14</v>
      </c>
      <c r="E4" s="242" t="s">
        <v>15</v>
      </c>
      <c r="F4" s="90" t="s">
        <v>18</v>
      </c>
      <c r="G4" s="242" t="s">
        <v>16</v>
      </c>
      <c r="H4" s="90" t="s">
        <v>18</v>
      </c>
      <c r="I4" s="242" t="s">
        <v>17</v>
      </c>
      <c r="J4" s="121" t="s">
        <v>18</v>
      </c>
      <c r="K4" s="242" t="s">
        <v>17</v>
      </c>
      <c r="L4" s="12" t="s">
        <v>18</v>
      </c>
      <c r="M4" s="151" t="s">
        <v>553</v>
      </c>
    </row>
    <row r="5" spans="1:13" ht="15" customHeight="1" x14ac:dyDescent="0.2">
      <c r="A5" s="20">
        <v>1</v>
      </c>
      <c r="B5" s="20" t="s">
        <v>0</v>
      </c>
      <c r="C5" s="173">
        <v>212198443.66999999</v>
      </c>
      <c r="D5" s="227">
        <v>210781238.61000001</v>
      </c>
      <c r="E5" s="32">
        <v>15241529.6</v>
      </c>
      <c r="F5" s="45">
        <f>E5/D5</f>
        <v>7.2309706976344243E-2</v>
      </c>
      <c r="G5" s="32">
        <v>15211529.390000001</v>
      </c>
      <c r="H5" s="45">
        <f>G5/D5</f>
        <v>7.2167378322248482E-2</v>
      </c>
      <c r="I5" s="32">
        <v>14887366.67</v>
      </c>
      <c r="J5" s="165">
        <f>I5/D5</f>
        <v>7.0629467632769213E-2</v>
      </c>
      <c r="K5" s="30">
        <v>14295600</v>
      </c>
      <c r="L5" s="49">
        <v>6.9000000000000006E-2</v>
      </c>
      <c r="M5" s="232">
        <f>+I5/K5-1</f>
        <v>4.1395021545090893E-2</v>
      </c>
    </row>
    <row r="6" spans="1:13" ht="15" customHeight="1" x14ac:dyDescent="0.2">
      <c r="A6" s="22">
        <v>2</v>
      </c>
      <c r="B6" s="22" t="s">
        <v>1</v>
      </c>
      <c r="C6" s="173">
        <v>29591849.129999999</v>
      </c>
      <c r="D6" s="227">
        <v>29591849.129999999</v>
      </c>
      <c r="E6" s="32">
        <v>19865879.140000001</v>
      </c>
      <c r="F6" s="45">
        <f>E6/D6</f>
        <v>0.67132942766527282</v>
      </c>
      <c r="G6" s="32">
        <v>13656080.57</v>
      </c>
      <c r="H6" s="45">
        <f>G6/D6</f>
        <v>0.46148115009668544</v>
      </c>
      <c r="I6" s="32">
        <v>43809.48</v>
      </c>
      <c r="J6" s="165">
        <f>I6/D6</f>
        <v>1.4804576695271899E-3</v>
      </c>
      <c r="K6" s="32">
        <v>3090</v>
      </c>
      <c r="L6" s="50">
        <v>0</v>
      </c>
      <c r="M6" s="233">
        <f>+I6/K6-1</f>
        <v>13.177825242718448</v>
      </c>
    </row>
    <row r="7" spans="1:13" ht="15" customHeight="1" x14ac:dyDescent="0.2">
      <c r="A7" s="22">
        <v>3</v>
      </c>
      <c r="B7" s="22" t="s">
        <v>2</v>
      </c>
      <c r="C7" s="173"/>
      <c r="D7" s="227"/>
      <c r="E7" s="32"/>
      <c r="F7" s="45" t="s">
        <v>135</v>
      </c>
      <c r="G7" s="32"/>
      <c r="H7" s="45" t="s">
        <v>135</v>
      </c>
      <c r="I7" s="32"/>
      <c r="J7" s="165" t="s">
        <v>135</v>
      </c>
      <c r="K7" s="32"/>
      <c r="L7" s="50"/>
      <c r="M7" s="233" t="s">
        <v>135</v>
      </c>
    </row>
    <row r="8" spans="1:13" ht="15" customHeight="1" x14ac:dyDescent="0.2">
      <c r="A8" s="24">
        <v>4</v>
      </c>
      <c r="B8" s="24" t="s">
        <v>3</v>
      </c>
      <c r="C8" s="173">
        <v>2868215.11</v>
      </c>
      <c r="D8" s="227">
        <v>2868215.11</v>
      </c>
      <c r="E8" s="32">
        <v>6907.5</v>
      </c>
      <c r="F8" s="433">
        <f>E8/D8</f>
        <v>2.408292173037189E-3</v>
      </c>
      <c r="G8" s="32">
        <v>6907.5</v>
      </c>
      <c r="H8" s="433">
        <f>G8/D8</f>
        <v>2.408292173037189E-3</v>
      </c>
      <c r="I8" s="32">
        <v>891</v>
      </c>
      <c r="J8" s="434">
        <f>I8/D8</f>
        <v>3.1064615652206086E-4</v>
      </c>
      <c r="K8" s="34">
        <v>0</v>
      </c>
      <c r="L8" s="354">
        <v>0</v>
      </c>
      <c r="M8" s="262"/>
    </row>
    <row r="9" spans="1:13" ht="15" customHeight="1" x14ac:dyDescent="0.2">
      <c r="A9" s="9"/>
      <c r="B9" s="2" t="s">
        <v>4</v>
      </c>
      <c r="C9" s="174">
        <f>SUM(C5:C8)</f>
        <v>244658507.91</v>
      </c>
      <c r="D9" s="164">
        <f t="shared" ref="D9:I9" si="0">SUM(D5:D8)</f>
        <v>243241302.85000002</v>
      </c>
      <c r="E9" s="85">
        <f t="shared" si="0"/>
        <v>35114316.240000002</v>
      </c>
      <c r="F9" s="91">
        <f>E9/D9</f>
        <v>0.14436000723797307</v>
      </c>
      <c r="G9" s="85">
        <f t="shared" si="0"/>
        <v>28874517.460000001</v>
      </c>
      <c r="H9" s="91">
        <f>G9/D9</f>
        <v>0.11870729650632604</v>
      </c>
      <c r="I9" s="85">
        <f t="shared" si="0"/>
        <v>14932067.15</v>
      </c>
      <c r="J9" s="183">
        <f>I9/D9</f>
        <v>6.13878768738884E-2</v>
      </c>
      <c r="K9" s="85">
        <f>SUM(K5:K8)</f>
        <v>14298690</v>
      </c>
      <c r="L9" s="40">
        <v>0.06</v>
      </c>
      <c r="M9" s="236">
        <f>+I9/K9-1</f>
        <v>4.4296166292156824E-2</v>
      </c>
    </row>
    <row r="10" spans="1:13" ht="15" customHeight="1" x14ac:dyDescent="0.2">
      <c r="A10" s="20">
        <v>6</v>
      </c>
      <c r="B10" s="20" t="s">
        <v>5</v>
      </c>
      <c r="C10" s="173">
        <v>1549357.27</v>
      </c>
      <c r="D10" s="227">
        <v>5472803.5300000003</v>
      </c>
      <c r="E10" s="32">
        <v>1094223.96</v>
      </c>
      <c r="F10" s="462">
        <f>E10/D10</f>
        <v>0.19993846919624392</v>
      </c>
      <c r="G10" s="32">
        <v>1094223.96</v>
      </c>
      <c r="H10" s="462">
        <f>G10/D10</f>
        <v>0.19993846919624392</v>
      </c>
      <c r="I10" s="147">
        <v>0</v>
      </c>
      <c r="J10" s="479">
        <f>I10/D10</f>
        <v>0</v>
      </c>
      <c r="K10" s="147"/>
      <c r="L10" s="49"/>
      <c r="M10" s="248"/>
    </row>
    <row r="11" spans="1:13" ht="15" customHeight="1" x14ac:dyDescent="0.2">
      <c r="A11" s="24">
        <v>7</v>
      </c>
      <c r="B11" s="24" t="s">
        <v>6</v>
      </c>
      <c r="C11" s="173"/>
      <c r="D11" s="228"/>
      <c r="E11" s="34"/>
      <c r="F11" s="269" t="s">
        <v>135</v>
      </c>
      <c r="G11" s="148"/>
      <c r="H11" s="269" t="s">
        <v>135</v>
      </c>
      <c r="I11" s="148"/>
      <c r="J11" s="217" t="s">
        <v>135</v>
      </c>
      <c r="K11" s="148"/>
      <c r="L11" s="51"/>
      <c r="M11" s="238" t="s">
        <v>135</v>
      </c>
    </row>
    <row r="12" spans="1:13" ht="15" customHeight="1" x14ac:dyDescent="0.2">
      <c r="A12" s="9"/>
      <c r="B12" s="2" t="s">
        <v>7</v>
      </c>
      <c r="C12" s="174">
        <f>SUM(C10:C11)</f>
        <v>1549357.27</v>
      </c>
      <c r="D12" s="164">
        <f t="shared" ref="D12:I12" si="1">SUM(D10:D11)</f>
        <v>5472803.5300000003</v>
      </c>
      <c r="E12" s="85">
        <f t="shared" si="1"/>
        <v>1094223.96</v>
      </c>
      <c r="F12" s="91">
        <f>E12/D12</f>
        <v>0.19993846919624392</v>
      </c>
      <c r="G12" s="85">
        <f t="shared" si="1"/>
        <v>1094223.96</v>
      </c>
      <c r="H12" s="91">
        <f>G12/D12</f>
        <v>0.19993846919624392</v>
      </c>
      <c r="I12" s="85">
        <f t="shared" si="1"/>
        <v>0</v>
      </c>
      <c r="J12" s="183">
        <f>I12/D12</f>
        <v>0</v>
      </c>
      <c r="K12" s="85">
        <f>SUM(K10:K11)</f>
        <v>0</v>
      </c>
      <c r="L12" s="40"/>
      <c r="M12" s="236" t="e">
        <f>+I12/K12-1</f>
        <v>#DIV/0!</v>
      </c>
    </row>
    <row r="13" spans="1:13" ht="15" customHeight="1" x14ac:dyDescent="0.2">
      <c r="A13" s="20">
        <v>8</v>
      </c>
      <c r="B13" s="20" t="s">
        <v>8</v>
      </c>
      <c r="C13" s="171"/>
      <c r="D13" s="226"/>
      <c r="E13" s="30"/>
      <c r="F13" s="87" t="s">
        <v>135</v>
      </c>
      <c r="G13" s="30"/>
      <c r="H13" s="87" t="s">
        <v>135</v>
      </c>
      <c r="I13" s="30"/>
      <c r="J13" s="245" t="s">
        <v>135</v>
      </c>
      <c r="K13" s="30"/>
      <c r="L13" s="52" t="s">
        <v>135</v>
      </c>
      <c r="M13" s="237" t="s">
        <v>135</v>
      </c>
    </row>
    <row r="14" spans="1:13" ht="15" customHeight="1" x14ac:dyDescent="0.2">
      <c r="A14" s="24">
        <v>9</v>
      </c>
      <c r="B14" s="24" t="s">
        <v>9</v>
      </c>
      <c r="C14" s="173"/>
      <c r="D14" s="228"/>
      <c r="E14" s="34"/>
      <c r="F14" s="46" t="s">
        <v>135</v>
      </c>
      <c r="G14" s="34"/>
      <c r="H14" s="46" t="s">
        <v>135</v>
      </c>
      <c r="I14" s="34"/>
      <c r="J14" s="246" t="s">
        <v>135</v>
      </c>
      <c r="K14" s="34"/>
      <c r="L14" s="51" t="s">
        <v>135</v>
      </c>
      <c r="M14" s="238" t="s">
        <v>135</v>
      </c>
    </row>
    <row r="15" spans="1:13" ht="15" customHeight="1" thickBot="1" x14ac:dyDescent="0.25">
      <c r="A15" s="9"/>
      <c r="B15" s="2" t="s">
        <v>10</v>
      </c>
      <c r="C15" s="174">
        <f>SUM(C13:C14)</f>
        <v>0</v>
      </c>
      <c r="D15" s="164">
        <f t="shared" ref="D15:I15" si="2">SUM(D13:D14)</f>
        <v>0</v>
      </c>
      <c r="E15" s="85">
        <f t="shared" si="2"/>
        <v>0</v>
      </c>
      <c r="F15" s="91" t="s">
        <v>135</v>
      </c>
      <c r="G15" s="85">
        <f t="shared" si="2"/>
        <v>0</v>
      </c>
      <c r="H15" s="57" t="s">
        <v>135</v>
      </c>
      <c r="I15" s="85">
        <f t="shared" si="2"/>
        <v>0</v>
      </c>
      <c r="J15" s="247" t="s">
        <v>135</v>
      </c>
      <c r="K15" s="85">
        <f>SUM(K13:K14)</f>
        <v>0</v>
      </c>
      <c r="L15" s="100" t="s">
        <v>135</v>
      </c>
      <c r="M15" s="239" t="s">
        <v>135</v>
      </c>
    </row>
    <row r="16" spans="1:13" s="6" customFormat="1" ht="19.5" customHeight="1" thickBot="1" x14ac:dyDescent="0.25">
      <c r="A16" s="5"/>
      <c r="B16" s="4" t="s">
        <v>11</v>
      </c>
      <c r="C16" s="175">
        <f>+C9+C12+C15</f>
        <v>246207865.18000001</v>
      </c>
      <c r="D16" s="166">
        <f t="shared" ref="D16:I16" si="3">+D9+D12+D15</f>
        <v>248714106.38000003</v>
      </c>
      <c r="E16" s="167">
        <f t="shared" si="3"/>
        <v>36208540.200000003</v>
      </c>
      <c r="F16" s="195">
        <f>E16/D16</f>
        <v>0.14558297768876233</v>
      </c>
      <c r="G16" s="167">
        <f t="shared" si="3"/>
        <v>29968741.420000002</v>
      </c>
      <c r="H16" s="195">
        <f>G16/D16</f>
        <v>0.12049473934627575</v>
      </c>
      <c r="I16" s="167">
        <f t="shared" si="3"/>
        <v>14932067.15</v>
      </c>
      <c r="J16" s="187">
        <f>I16/D16</f>
        <v>6.0037073760448117E-2</v>
      </c>
      <c r="K16" s="158">
        <f>K9+K12+K15</f>
        <v>14298690</v>
      </c>
      <c r="L16" s="204">
        <v>5.6000000000000001E-2</v>
      </c>
      <c r="M16" s="240">
        <f>+I16/K16-1</f>
        <v>4.4296166292156824E-2</v>
      </c>
    </row>
    <row r="20" spans="5:5" x14ac:dyDescent="0.2">
      <c r="E20" s="194"/>
    </row>
  </sheetData>
  <mergeCells count="2">
    <mergeCell ref="K2:L2"/>
    <mergeCell ref="D2:J2"/>
  </mergeCells>
  <printOptions horizontalCentered="1"/>
  <pageMargins left="0.51181102362204722" right="0.51181102362204722" top="1.3385826771653544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Gener&amp;R&amp;"Arial,Negreta"&amp;8&amp;K03+000Direcció de Pressupostos i Política Fisca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M20"/>
  <sheetViews>
    <sheetView zoomScaleNormal="100" workbookViewId="0">
      <selection activeCell="M4" sqref="M4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3"/>
    <col min="6" max="6" width="6.28515625" style="98" customWidth="1"/>
    <col min="7" max="7" width="11.42578125" style="43"/>
    <col min="8" max="8" width="6.28515625" style="98" customWidth="1"/>
    <col min="9" max="9" width="11.42578125" style="43"/>
    <col min="10" max="10" width="6.28515625" style="98" customWidth="1"/>
    <col min="11" max="11" width="11.42578125" style="43"/>
    <col min="12" max="12" width="6.28515625" style="98" customWidth="1"/>
    <col min="13" max="13" width="8.140625" style="98" bestFit="1" customWidth="1"/>
    <col min="14" max="14" width="4.42578125" customWidth="1"/>
  </cols>
  <sheetData>
    <row r="1" spans="1:13" ht="15.75" thickBot="1" x14ac:dyDescent="0.3">
      <c r="A1" s="7" t="s">
        <v>438</v>
      </c>
    </row>
    <row r="2" spans="1:13" x14ac:dyDescent="0.2">
      <c r="A2" s="8" t="s">
        <v>20</v>
      </c>
      <c r="C2" s="176" t="s">
        <v>512</v>
      </c>
      <c r="D2" s="650" t="s">
        <v>510</v>
      </c>
      <c r="E2" s="648"/>
      <c r="F2" s="648"/>
      <c r="G2" s="648"/>
      <c r="H2" s="648"/>
      <c r="I2" s="648"/>
      <c r="J2" s="649"/>
      <c r="K2" s="644" t="s">
        <v>511</v>
      </c>
      <c r="L2" s="645"/>
      <c r="M2" s="219"/>
    </row>
    <row r="3" spans="1:13" x14ac:dyDescent="0.2">
      <c r="C3" s="169">
        <v>1</v>
      </c>
      <c r="D3" s="243">
        <v>2</v>
      </c>
      <c r="E3" s="241">
        <v>3</v>
      </c>
      <c r="F3" s="89" t="s">
        <v>39</v>
      </c>
      <c r="G3" s="241">
        <v>4</v>
      </c>
      <c r="H3" s="89" t="s">
        <v>40</v>
      </c>
      <c r="I3" s="241">
        <v>5</v>
      </c>
      <c r="J3" s="160" t="s">
        <v>41</v>
      </c>
      <c r="K3" s="241" t="s">
        <v>42</v>
      </c>
      <c r="L3" s="16" t="s">
        <v>43</v>
      </c>
      <c r="M3" s="150" t="s">
        <v>368</v>
      </c>
    </row>
    <row r="4" spans="1:13" ht="25.5" x14ac:dyDescent="0.2">
      <c r="A4" s="1"/>
      <c r="B4" s="2" t="s">
        <v>12</v>
      </c>
      <c r="C4" s="170" t="s">
        <v>13</v>
      </c>
      <c r="D4" s="244" t="s">
        <v>14</v>
      </c>
      <c r="E4" s="242" t="s">
        <v>15</v>
      </c>
      <c r="F4" s="90" t="s">
        <v>18</v>
      </c>
      <c r="G4" s="242" t="s">
        <v>16</v>
      </c>
      <c r="H4" s="90" t="s">
        <v>18</v>
      </c>
      <c r="I4" s="242" t="s">
        <v>17</v>
      </c>
      <c r="J4" s="121" t="s">
        <v>18</v>
      </c>
      <c r="K4" s="242" t="s">
        <v>17</v>
      </c>
      <c r="L4" s="12" t="s">
        <v>18</v>
      </c>
      <c r="M4" s="151" t="s">
        <v>553</v>
      </c>
    </row>
    <row r="5" spans="1:13" ht="15" customHeight="1" x14ac:dyDescent="0.2">
      <c r="A5" s="20">
        <v>1</v>
      </c>
      <c r="B5" s="20" t="s">
        <v>0</v>
      </c>
      <c r="C5" s="172">
        <v>8069693.5999999996</v>
      </c>
      <c r="D5" s="227">
        <v>8894679.0399999991</v>
      </c>
      <c r="E5" s="32">
        <v>676020.17</v>
      </c>
      <c r="F5" s="45">
        <f>E5/D5</f>
        <v>7.6002761534158747E-2</v>
      </c>
      <c r="G5" s="32">
        <v>676020.17</v>
      </c>
      <c r="H5" s="45">
        <f>G5/D5</f>
        <v>7.6002761534158747E-2</v>
      </c>
      <c r="I5" s="32">
        <v>676020.17</v>
      </c>
      <c r="J5" s="165">
        <f>I5/D5</f>
        <v>7.6002761534158747E-2</v>
      </c>
      <c r="K5" s="30">
        <v>614703</v>
      </c>
      <c r="L5" s="49">
        <v>7.3999999999999996E-2</v>
      </c>
      <c r="M5" s="232">
        <f>+I5/K5-1</f>
        <v>9.9750887827129597E-2</v>
      </c>
    </row>
    <row r="6" spans="1:13" ht="15" customHeight="1" x14ac:dyDescent="0.2">
      <c r="A6" s="22">
        <v>2</v>
      </c>
      <c r="B6" s="22" t="s">
        <v>1</v>
      </c>
      <c r="C6" s="172">
        <v>6261542.29</v>
      </c>
      <c r="D6" s="227">
        <v>6261542.29</v>
      </c>
      <c r="E6" s="32">
        <v>521872.39</v>
      </c>
      <c r="F6" s="45">
        <f>E6/D6</f>
        <v>8.3345662431036624E-2</v>
      </c>
      <c r="G6" s="32">
        <v>219216.39</v>
      </c>
      <c r="H6" s="45">
        <f>G6/D6</f>
        <v>3.5009967168967253E-2</v>
      </c>
      <c r="I6" s="32">
        <v>0</v>
      </c>
      <c r="J6" s="165">
        <f>I6/D6</f>
        <v>0</v>
      </c>
      <c r="K6" s="32">
        <v>5164</v>
      </c>
      <c r="L6" s="50">
        <v>1E-3</v>
      </c>
      <c r="M6" s="233">
        <f>+I6/K6-1</f>
        <v>-1</v>
      </c>
    </row>
    <row r="7" spans="1:13" ht="15" customHeight="1" x14ac:dyDescent="0.2">
      <c r="A7" s="22">
        <v>3</v>
      </c>
      <c r="B7" s="22" t="s">
        <v>2</v>
      </c>
      <c r="C7" s="172"/>
      <c r="D7" s="227"/>
      <c r="E7" s="32"/>
      <c r="F7" s="45" t="s">
        <v>135</v>
      </c>
      <c r="G7" s="32"/>
      <c r="H7" s="45" t="s">
        <v>135</v>
      </c>
      <c r="I7" s="32"/>
      <c r="J7" s="165" t="s">
        <v>135</v>
      </c>
      <c r="K7" s="32"/>
      <c r="L7" s="50"/>
      <c r="M7" s="234" t="s">
        <v>135</v>
      </c>
    </row>
    <row r="8" spans="1:13" ht="15" customHeight="1" x14ac:dyDescent="0.2">
      <c r="A8" s="24">
        <v>4</v>
      </c>
      <c r="B8" s="24" t="s">
        <v>3</v>
      </c>
      <c r="C8" s="172">
        <v>28344074.559999999</v>
      </c>
      <c r="D8" s="227">
        <v>28344074.559999999</v>
      </c>
      <c r="E8" s="32">
        <v>14134474.67</v>
      </c>
      <c r="F8" s="433">
        <f>E8/D8</f>
        <v>0.49867476322359777</v>
      </c>
      <c r="G8" s="32">
        <v>14134474.67</v>
      </c>
      <c r="H8" s="433">
        <f>G8/D8</f>
        <v>0.49867476322359777</v>
      </c>
      <c r="I8" s="32">
        <v>22000</v>
      </c>
      <c r="J8" s="434">
        <f>I8/D8</f>
        <v>7.7617633814183707E-4</v>
      </c>
      <c r="K8" s="34"/>
      <c r="L8" s="354"/>
      <c r="M8" s="494"/>
    </row>
    <row r="9" spans="1:13" ht="15" customHeight="1" x14ac:dyDescent="0.2">
      <c r="A9" s="9"/>
      <c r="B9" s="2" t="s">
        <v>4</v>
      </c>
      <c r="C9" s="174">
        <f>SUM(C5:C8)</f>
        <v>42675310.450000003</v>
      </c>
      <c r="D9" s="164">
        <f t="shared" ref="D9:I9" si="0">SUM(D5:D8)</f>
        <v>43500295.890000001</v>
      </c>
      <c r="E9" s="85">
        <f t="shared" si="0"/>
        <v>15332367.23</v>
      </c>
      <c r="F9" s="91">
        <f>E9/D9</f>
        <v>0.35246581468712856</v>
      </c>
      <c r="G9" s="85">
        <f t="shared" si="0"/>
        <v>15029711.23</v>
      </c>
      <c r="H9" s="91">
        <f>G9/D9</f>
        <v>0.34550825281754194</v>
      </c>
      <c r="I9" s="85">
        <f t="shared" si="0"/>
        <v>698020.17</v>
      </c>
      <c r="J9" s="183">
        <f>I9/D9</f>
        <v>1.6046331541401386E-2</v>
      </c>
      <c r="K9" s="85">
        <f>SUM(K5:K8)</f>
        <v>619867</v>
      </c>
      <c r="L9" s="40">
        <v>1.4999999999999999E-2</v>
      </c>
      <c r="M9" s="155">
        <f>+I9/K9-1</f>
        <v>0.12608054631074084</v>
      </c>
    </row>
    <row r="10" spans="1:13" ht="15" customHeight="1" x14ac:dyDescent="0.2">
      <c r="A10" s="20">
        <v>6</v>
      </c>
      <c r="B10" s="20" t="s">
        <v>5</v>
      </c>
      <c r="C10" s="172">
        <v>548825</v>
      </c>
      <c r="D10" s="227">
        <v>548825</v>
      </c>
      <c r="E10" s="30">
        <v>0</v>
      </c>
      <c r="F10" s="45">
        <f>E10/D10</f>
        <v>0</v>
      </c>
      <c r="G10" s="30">
        <v>0</v>
      </c>
      <c r="H10" s="45">
        <f>G10/D10</f>
        <v>0</v>
      </c>
      <c r="I10" s="30">
        <v>0</v>
      </c>
      <c r="J10" s="165">
        <f>I10/D10</f>
        <v>0</v>
      </c>
      <c r="K10" s="147"/>
      <c r="L10" s="49"/>
      <c r="M10" s="232"/>
    </row>
    <row r="11" spans="1:13" ht="15" customHeight="1" x14ac:dyDescent="0.2">
      <c r="A11" s="24">
        <v>7</v>
      </c>
      <c r="B11" s="24" t="s">
        <v>6</v>
      </c>
      <c r="C11" s="172">
        <v>6844993</v>
      </c>
      <c r="D11" s="227">
        <v>6844993</v>
      </c>
      <c r="E11" s="34">
        <v>0</v>
      </c>
      <c r="F11" s="79">
        <f>E11/D11</f>
        <v>0</v>
      </c>
      <c r="G11" s="55">
        <v>0</v>
      </c>
      <c r="H11" s="79">
        <f>G11/D11</f>
        <v>0</v>
      </c>
      <c r="I11" s="55">
        <v>0</v>
      </c>
      <c r="J11" s="186">
        <f>I11/D11</f>
        <v>0</v>
      </c>
      <c r="K11" s="148"/>
      <c r="L11" s="354"/>
      <c r="M11" s="232"/>
    </row>
    <row r="12" spans="1:13" ht="15" customHeight="1" x14ac:dyDescent="0.2">
      <c r="A12" s="9"/>
      <c r="B12" s="2" t="s">
        <v>7</v>
      </c>
      <c r="C12" s="174">
        <f>SUM(C10:C11)</f>
        <v>7393818</v>
      </c>
      <c r="D12" s="164">
        <f t="shared" ref="D12:I12" si="1">SUM(D10:D11)</f>
        <v>7393818</v>
      </c>
      <c r="E12" s="85">
        <f t="shared" si="1"/>
        <v>0</v>
      </c>
      <c r="F12" s="91">
        <f>E12/D12</f>
        <v>0</v>
      </c>
      <c r="G12" s="85">
        <f t="shared" si="1"/>
        <v>0</v>
      </c>
      <c r="H12" s="91">
        <f>G12/D12</f>
        <v>0</v>
      </c>
      <c r="I12" s="85">
        <f t="shared" si="1"/>
        <v>0</v>
      </c>
      <c r="J12" s="183">
        <f>I12/D12</f>
        <v>0</v>
      </c>
      <c r="K12" s="85">
        <f>SUM(K10:K11)</f>
        <v>0</v>
      </c>
      <c r="L12" s="40"/>
      <c r="M12" s="236"/>
    </row>
    <row r="13" spans="1:13" ht="15" customHeight="1" x14ac:dyDescent="0.2">
      <c r="A13" s="20">
        <v>8</v>
      </c>
      <c r="B13" s="20" t="s">
        <v>8</v>
      </c>
      <c r="C13" s="171"/>
      <c r="D13" s="226"/>
      <c r="E13" s="30"/>
      <c r="F13" s="27" t="s">
        <v>135</v>
      </c>
      <c r="G13" s="30"/>
      <c r="H13" s="27" t="s">
        <v>135</v>
      </c>
      <c r="I13" s="30"/>
      <c r="J13" s="250" t="s">
        <v>135</v>
      </c>
      <c r="K13" s="30"/>
      <c r="L13" s="52" t="s">
        <v>135</v>
      </c>
      <c r="M13" s="237" t="s">
        <v>135</v>
      </c>
    </row>
    <row r="14" spans="1:13" ht="15" customHeight="1" x14ac:dyDescent="0.2">
      <c r="A14" s="24">
        <v>9</v>
      </c>
      <c r="B14" s="24" t="s">
        <v>9</v>
      </c>
      <c r="C14" s="173"/>
      <c r="D14" s="228"/>
      <c r="E14" s="34"/>
      <c r="F14" s="28" t="s">
        <v>135</v>
      </c>
      <c r="G14" s="34"/>
      <c r="H14" s="28" t="s">
        <v>135</v>
      </c>
      <c r="I14" s="34"/>
      <c r="J14" s="251" t="s">
        <v>135</v>
      </c>
      <c r="K14" s="34"/>
      <c r="L14" s="51" t="s">
        <v>135</v>
      </c>
      <c r="M14" s="238" t="s">
        <v>135</v>
      </c>
    </row>
    <row r="15" spans="1:13" ht="15" customHeight="1" thickBot="1" x14ac:dyDescent="0.25">
      <c r="A15" s="9"/>
      <c r="B15" s="2" t="s">
        <v>10</v>
      </c>
      <c r="C15" s="174">
        <f>SUM(C13:C14)</f>
        <v>0</v>
      </c>
      <c r="D15" s="164">
        <f t="shared" ref="D15:I15" si="2">SUM(D13:D14)</f>
        <v>0</v>
      </c>
      <c r="E15" s="85">
        <f t="shared" si="2"/>
        <v>0</v>
      </c>
      <c r="F15" s="252" t="s">
        <v>135</v>
      </c>
      <c r="G15" s="85">
        <f t="shared" si="2"/>
        <v>0</v>
      </c>
      <c r="H15" s="252" t="s">
        <v>135</v>
      </c>
      <c r="I15" s="85">
        <f t="shared" si="2"/>
        <v>0</v>
      </c>
      <c r="J15" s="253" t="s">
        <v>135</v>
      </c>
      <c r="K15" s="85">
        <f>SUM(K13:K14)</f>
        <v>0</v>
      </c>
      <c r="L15" s="100" t="s">
        <v>135</v>
      </c>
      <c r="M15" s="239" t="s">
        <v>135</v>
      </c>
    </row>
    <row r="16" spans="1:13" s="6" customFormat="1" ht="19.5" customHeight="1" thickBot="1" x14ac:dyDescent="0.25">
      <c r="A16" s="5"/>
      <c r="B16" s="4" t="s">
        <v>11</v>
      </c>
      <c r="C16" s="175">
        <f>+C9+C12+C15</f>
        <v>50069128.450000003</v>
      </c>
      <c r="D16" s="166">
        <f t="shared" ref="D16:I16" si="3">+D9+D12+D15</f>
        <v>50894113.890000001</v>
      </c>
      <c r="E16" s="167">
        <f t="shared" si="3"/>
        <v>15332367.23</v>
      </c>
      <c r="F16" s="195">
        <f>E16/D16</f>
        <v>0.30126012731331986</v>
      </c>
      <c r="G16" s="167">
        <f t="shared" si="3"/>
        <v>15029711.23</v>
      </c>
      <c r="H16" s="195">
        <f>G16/D16</f>
        <v>0.29531334925065145</v>
      </c>
      <c r="I16" s="167">
        <f t="shared" si="3"/>
        <v>698020.17</v>
      </c>
      <c r="J16" s="187">
        <f>I16/D16</f>
        <v>1.3715145360594469E-2</v>
      </c>
      <c r="K16" s="158">
        <f>K9+K12+K15</f>
        <v>619867</v>
      </c>
      <c r="L16" s="204">
        <v>1.2E-2</v>
      </c>
      <c r="M16" s="240">
        <f>+I16/K16-1</f>
        <v>0.12608054631074084</v>
      </c>
    </row>
    <row r="20" spans="5:5" x14ac:dyDescent="0.2">
      <c r="E20" s="194"/>
    </row>
  </sheetData>
  <mergeCells count="2">
    <mergeCell ref="K2:L2"/>
    <mergeCell ref="D2:J2"/>
  </mergeCells>
  <printOptions horizontalCentered="1"/>
  <pageMargins left="0.51181102362204722" right="0.51181102362204722" top="1.3385826771653544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Gener
&amp;R&amp;"Arial,Negreta"&amp;8&amp;K03+000Direcció de Pressupostos i Política Fiscal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M20"/>
  <sheetViews>
    <sheetView zoomScaleNormal="100" workbookViewId="0">
      <selection activeCell="M4" sqref="M4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3" bestFit="1" customWidth="1"/>
    <col min="6" max="6" width="6.28515625" style="98" customWidth="1"/>
    <col min="7" max="7" width="11.5703125" style="43" bestFit="1" customWidth="1"/>
    <col min="8" max="8" width="6.28515625" style="98" customWidth="1"/>
    <col min="9" max="9" width="11.5703125" style="43" bestFit="1" customWidth="1"/>
    <col min="10" max="10" width="6.28515625" style="98" customWidth="1"/>
    <col min="11" max="11" width="11.5703125" style="43" bestFit="1" customWidth="1"/>
    <col min="12" max="12" width="6.28515625" style="98" customWidth="1"/>
    <col min="13" max="13" width="8" style="98" bestFit="1" customWidth="1"/>
  </cols>
  <sheetData>
    <row r="1" spans="1:13" ht="15.75" thickBot="1" x14ac:dyDescent="0.3">
      <c r="A1" s="7" t="s">
        <v>131</v>
      </c>
    </row>
    <row r="2" spans="1:13" x14ac:dyDescent="0.2">
      <c r="A2" s="8" t="s">
        <v>20</v>
      </c>
      <c r="C2" s="176" t="s">
        <v>512</v>
      </c>
      <c r="D2" s="650" t="s">
        <v>510</v>
      </c>
      <c r="E2" s="648"/>
      <c r="F2" s="648"/>
      <c r="G2" s="648"/>
      <c r="H2" s="648"/>
      <c r="I2" s="648"/>
      <c r="J2" s="649"/>
      <c r="K2" s="644" t="s">
        <v>511</v>
      </c>
      <c r="L2" s="645"/>
      <c r="M2" s="219"/>
    </row>
    <row r="3" spans="1:13" x14ac:dyDescent="0.2">
      <c r="C3" s="169">
        <v>1</v>
      </c>
      <c r="D3" s="243">
        <v>2</v>
      </c>
      <c r="E3" s="241">
        <v>3</v>
      </c>
      <c r="F3" s="89" t="s">
        <v>39</v>
      </c>
      <c r="G3" s="241">
        <v>4</v>
      </c>
      <c r="H3" s="89" t="s">
        <v>40</v>
      </c>
      <c r="I3" s="241">
        <v>5</v>
      </c>
      <c r="J3" s="160" t="s">
        <v>41</v>
      </c>
      <c r="K3" s="241" t="s">
        <v>42</v>
      </c>
      <c r="L3" s="16" t="s">
        <v>43</v>
      </c>
      <c r="M3" s="150" t="s">
        <v>368</v>
      </c>
    </row>
    <row r="4" spans="1:13" ht="25.5" x14ac:dyDescent="0.2">
      <c r="A4" s="1"/>
      <c r="B4" s="2" t="s">
        <v>12</v>
      </c>
      <c r="C4" s="170" t="s">
        <v>13</v>
      </c>
      <c r="D4" s="244" t="s">
        <v>14</v>
      </c>
      <c r="E4" s="242" t="s">
        <v>15</v>
      </c>
      <c r="F4" s="90" t="s">
        <v>18</v>
      </c>
      <c r="G4" s="242" t="s">
        <v>16</v>
      </c>
      <c r="H4" s="90" t="s">
        <v>18</v>
      </c>
      <c r="I4" s="242" t="s">
        <v>17</v>
      </c>
      <c r="J4" s="121" t="s">
        <v>18</v>
      </c>
      <c r="K4" s="242" t="s">
        <v>17</v>
      </c>
      <c r="L4" s="12" t="s">
        <v>18</v>
      </c>
      <c r="M4" s="151" t="s">
        <v>553</v>
      </c>
    </row>
    <row r="5" spans="1:13" ht="15" customHeight="1" x14ac:dyDescent="0.2">
      <c r="A5" s="20">
        <v>1</v>
      </c>
      <c r="B5" s="20" t="s">
        <v>0</v>
      </c>
      <c r="C5" s="173">
        <v>2340875.96</v>
      </c>
      <c r="D5" s="228">
        <v>2456006.2400000002</v>
      </c>
      <c r="E5" s="34">
        <v>174257.39</v>
      </c>
      <c r="F5" s="45">
        <f>E5/D5</f>
        <v>7.0951525758338463E-2</v>
      </c>
      <c r="G5" s="34">
        <v>174257.39</v>
      </c>
      <c r="H5" s="45">
        <f>G5/D5</f>
        <v>7.0951525758338463E-2</v>
      </c>
      <c r="I5" s="34">
        <v>174257.39</v>
      </c>
      <c r="J5" s="165">
        <f>I5/D5</f>
        <v>7.0951525758338463E-2</v>
      </c>
      <c r="K5" s="30">
        <v>235558</v>
      </c>
      <c r="L5" s="49">
        <v>7.4999999999999997E-2</v>
      </c>
      <c r="M5" s="232">
        <f>+I5/K5-1</f>
        <v>-0.26023573811969869</v>
      </c>
    </row>
    <row r="6" spans="1:13" ht="15" customHeight="1" x14ac:dyDescent="0.2">
      <c r="A6" s="22">
        <v>2</v>
      </c>
      <c r="B6" s="22" t="s">
        <v>1</v>
      </c>
      <c r="C6" s="173">
        <v>191288596.02000001</v>
      </c>
      <c r="D6" s="228">
        <v>191288596.02000001</v>
      </c>
      <c r="E6" s="34">
        <v>7573471.25</v>
      </c>
      <c r="F6" s="45">
        <f>E6/D6</f>
        <v>3.959185966950253E-2</v>
      </c>
      <c r="G6" s="34">
        <v>7573471.25</v>
      </c>
      <c r="H6" s="45">
        <f>G6/D6</f>
        <v>3.959185966950253E-2</v>
      </c>
      <c r="I6" s="34">
        <v>0</v>
      </c>
      <c r="J6" s="165">
        <f>I6/D6</f>
        <v>0</v>
      </c>
      <c r="K6" s="32">
        <v>0</v>
      </c>
      <c r="L6" s="50">
        <v>0</v>
      </c>
      <c r="M6" s="232"/>
    </row>
    <row r="7" spans="1:13" ht="15" customHeight="1" x14ac:dyDescent="0.2">
      <c r="A7" s="22">
        <v>3</v>
      </c>
      <c r="B7" s="22" t="s">
        <v>2</v>
      </c>
      <c r="C7" s="173"/>
      <c r="D7" s="228"/>
      <c r="E7" s="34"/>
      <c r="F7" s="45" t="s">
        <v>135</v>
      </c>
      <c r="G7" s="34"/>
      <c r="H7" s="45" t="s">
        <v>135</v>
      </c>
      <c r="I7" s="34"/>
      <c r="J7" s="165" t="s">
        <v>135</v>
      </c>
      <c r="K7" s="32"/>
      <c r="L7" s="50"/>
      <c r="M7" s="234" t="s">
        <v>135</v>
      </c>
    </row>
    <row r="8" spans="1:13" ht="15" customHeight="1" x14ac:dyDescent="0.2">
      <c r="A8" s="24">
        <v>4</v>
      </c>
      <c r="B8" s="24" t="s">
        <v>3</v>
      </c>
      <c r="C8" s="173">
        <v>116273475.31</v>
      </c>
      <c r="D8" s="228">
        <v>116273475.31</v>
      </c>
      <c r="E8" s="34">
        <v>56210329.560000002</v>
      </c>
      <c r="F8" s="433">
        <f>E8/D8</f>
        <v>0.48343209326233738</v>
      </c>
      <c r="G8" s="34">
        <v>56210329.560000002</v>
      </c>
      <c r="H8" s="433">
        <f>G8/D8</f>
        <v>0.48343209326233738</v>
      </c>
      <c r="I8" s="34">
        <v>0</v>
      </c>
      <c r="J8" s="434">
        <f>I8/D8</f>
        <v>0</v>
      </c>
      <c r="K8" s="34">
        <v>488000</v>
      </c>
      <c r="L8" s="354">
        <v>4.0000000000000001E-3</v>
      </c>
      <c r="M8" s="262">
        <f>+I8/K8-1</f>
        <v>-1</v>
      </c>
    </row>
    <row r="9" spans="1:13" ht="15" customHeight="1" x14ac:dyDescent="0.2">
      <c r="A9" s="9"/>
      <c r="B9" s="2" t="s">
        <v>4</v>
      </c>
      <c r="C9" s="174">
        <f>SUM(C5:C8)</f>
        <v>309902947.29000002</v>
      </c>
      <c r="D9" s="164">
        <f t="shared" ref="D9:I9" si="0">SUM(D5:D8)</f>
        <v>310018077.57000005</v>
      </c>
      <c r="E9" s="85">
        <f t="shared" si="0"/>
        <v>63958058.200000003</v>
      </c>
      <c r="F9" s="91">
        <f>E9/D9</f>
        <v>0.20630428619298399</v>
      </c>
      <c r="G9" s="85">
        <f t="shared" si="0"/>
        <v>63958058.200000003</v>
      </c>
      <c r="H9" s="91">
        <f>G9/D9</f>
        <v>0.20630428619298399</v>
      </c>
      <c r="I9" s="85">
        <f t="shared" si="0"/>
        <v>174257.39</v>
      </c>
      <c r="J9" s="183">
        <f>I9/D9</f>
        <v>5.6208783489618871E-4</v>
      </c>
      <c r="K9" s="85">
        <f>SUM(K5:K8)</f>
        <v>723558</v>
      </c>
      <c r="L9" s="40">
        <v>2E-3</v>
      </c>
      <c r="M9" s="236">
        <f>+I9/K9-1</f>
        <v>-0.75916596872676412</v>
      </c>
    </row>
    <row r="10" spans="1:13" ht="15" customHeight="1" x14ac:dyDescent="0.2">
      <c r="A10" s="20">
        <v>6</v>
      </c>
      <c r="B10" s="20" t="s">
        <v>5</v>
      </c>
      <c r="C10" s="173">
        <v>725157.47</v>
      </c>
      <c r="D10" s="228">
        <v>725157.47</v>
      </c>
      <c r="E10" s="30">
        <v>0</v>
      </c>
      <c r="F10" s="45">
        <f>E10/D10</f>
        <v>0</v>
      </c>
      <c r="G10" s="147">
        <v>0</v>
      </c>
      <c r="H10" s="45">
        <f>G10/D10</f>
        <v>0</v>
      </c>
      <c r="I10" s="147">
        <v>0</v>
      </c>
      <c r="J10" s="165">
        <f>I10/D10</f>
        <v>0</v>
      </c>
      <c r="K10" s="147"/>
      <c r="L10" s="49"/>
      <c r="M10" s="248" t="s">
        <v>135</v>
      </c>
    </row>
    <row r="11" spans="1:13" ht="15" customHeight="1" x14ac:dyDescent="0.2">
      <c r="A11" s="24">
        <v>7</v>
      </c>
      <c r="B11" s="24" t="s">
        <v>6</v>
      </c>
      <c r="C11" s="173"/>
      <c r="D11" s="228"/>
      <c r="E11" s="34"/>
      <c r="F11" s="46" t="s">
        <v>135</v>
      </c>
      <c r="G11" s="148"/>
      <c r="H11" s="46" t="s">
        <v>135</v>
      </c>
      <c r="I11" s="148"/>
      <c r="J11" s="246" t="s">
        <v>135</v>
      </c>
      <c r="K11" s="148"/>
      <c r="L11" s="51" t="s">
        <v>135</v>
      </c>
      <c r="M11" s="238" t="s">
        <v>135</v>
      </c>
    </row>
    <row r="12" spans="1:13" ht="15" customHeight="1" x14ac:dyDescent="0.2">
      <c r="A12" s="9"/>
      <c r="B12" s="2" t="s">
        <v>7</v>
      </c>
      <c r="C12" s="174">
        <f>SUM(C10:C11)</f>
        <v>725157.47</v>
      </c>
      <c r="D12" s="164">
        <f t="shared" ref="D12:I12" si="1">SUM(D10:D11)</f>
        <v>725157.47</v>
      </c>
      <c r="E12" s="85">
        <f t="shared" si="1"/>
        <v>0</v>
      </c>
      <c r="F12" s="91">
        <f>E12/D12</f>
        <v>0</v>
      </c>
      <c r="G12" s="85">
        <f t="shared" si="1"/>
        <v>0</v>
      </c>
      <c r="H12" s="91">
        <f>G12/D12</f>
        <v>0</v>
      </c>
      <c r="I12" s="85">
        <f t="shared" si="1"/>
        <v>0</v>
      </c>
      <c r="J12" s="183">
        <f>I12/D12</f>
        <v>0</v>
      </c>
      <c r="K12" s="85">
        <f>SUM(K10:K11)</f>
        <v>0</v>
      </c>
      <c r="L12" s="40"/>
      <c r="M12" s="249" t="s">
        <v>135</v>
      </c>
    </row>
    <row r="13" spans="1:13" ht="15" customHeight="1" x14ac:dyDescent="0.2">
      <c r="A13" s="20">
        <v>8</v>
      </c>
      <c r="B13" s="20" t="s">
        <v>8</v>
      </c>
      <c r="C13" s="171">
        <v>0</v>
      </c>
      <c r="D13" s="226"/>
      <c r="E13" s="30"/>
      <c r="F13" s="87" t="s">
        <v>135</v>
      </c>
      <c r="G13" s="30"/>
      <c r="H13" s="87" t="s">
        <v>135</v>
      </c>
      <c r="I13" s="30"/>
      <c r="J13" s="245" t="s">
        <v>135</v>
      </c>
      <c r="K13" s="30"/>
      <c r="L13" s="52" t="s">
        <v>135</v>
      </c>
      <c r="M13" s="237" t="s">
        <v>135</v>
      </c>
    </row>
    <row r="14" spans="1:13" ht="15" customHeight="1" x14ac:dyDescent="0.2">
      <c r="A14" s="24">
        <v>9</v>
      </c>
      <c r="B14" s="24" t="s">
        <v>9</v>
      </c>
      <c r="C14" s="173">
        <v>0</v>
      </c>
      <c r="D14" s="228"/>
      <c r="E14" s="34"/>
      <c r="F14" s="46" t="s">
        <v>135</v>
      </c>
      <c r="G14" s="34"/>
      <c r="H14" s="46" t="s">
        <v>135</v>
      </c>
      <c r="I14" s="34"/>
      <c r="J14" s="246" t="s">
        <v>135</v>
      </c>
      <c r="K14" s="34"/>
      <c r="L14" s="51" t="s">
        <v>135</v>
      </c>
      <c r="M14" s="238" t="s">
        <v>135</v>
      </c>
    </row>
    <row r="15" spans="1:13" ht="15" customHeight="1" thickBot="1" x14ac:dyDescent="0.25">
      <c r="A15" s="9"/>
      <c r="B15" s="2" t="s">
        <v>10</v>
      </c>
      <c r="C15" s="174">
        <f>SUM(C13:C14)</f>
        <v>0</v>
      </c>
      <c r="D15" s="164">
        <f t="shared" ref="D15:I15" si="2">SUM(D13:D14)</f>
        <v>0</v>
      </c>
      <c r="E15" s="85">
        <f t="shared" si="2"/>
        <v>0</v>
      </c>
      <c r="F15" s="57" t="s">
        <v>135</v>
      </c>
      <c r="G15" s="85">
        <f t="shared" si="2"/>
        <v>0</v>
      </c>
      <c r="H15" s="57" t="s">
        <v>135</v>
      </c>
      <c r="I15" s="85">
        <f t="shared" si="2"/>
        <v>0</v>
      </c>
      <c r="J15" s="247" t="s">
        <v>135</v>
      </c>
      <c r="K15" s="85">
        <f>SUM(K13:K14)</f>
        <v>0</v>
      </c>
      <c r="L15" s="100" t="s">
        <v>135</v>
      </c>
      <c r="M15" s="239" t="s">
        <v>135</v>
      </c>
    </row>
    <row r="16" spans="1:13" s="6" customFormat="1" ht="24" customHeight="1" thickBot="1" x14ac:dyDescent="0.25">
      <c r="A16" s="5"/>
      <c r="B16" s="4" t="s">
        <v>11</v>
      </c>
      <c r="C16" s="175">
        <f>+C9+C12+C15</f>
        <v>310628104.76000005</v>
      </c>
      <c r="D16" s="166">
        <f t="shared" ref="D16:I16" si="3">+D9+D12+D15</f>
        <v>310743235.04000008</v>
      </c>
      <c r="E16" s="167">
        <f t="shared" si="3"/>
        <v>63958058.200000003</v>
      </c>
      <c r="F16" s="195">
        <f>E16/D16</f>
        <v>0.20582284982573176</v>
      </c>
      <c r="G16" s="167">
        <f t="shared" si="3"/>
        <v>63958058.200000003</v>
      </c>
      <c r="H16" s="195">
        <f>G16/D16</f>
        <v>0.20582284982573176</v>
      </c>
      <c r="I16" s="167">
        <f t="shared" si="3"/>
        <v>174257.39</v>
      </c>
      <c r="J16" s="187">
        <f>I16/D16</f>
        <v>5.607761339601453E-4</v>
      </c>
      <c r="K16" s="158">
        <f>K9+K12+K15</f>
        <v>723558</v>
      </c>
      <c r="L16" s="204">
        <v>2E-3</v>
      </c>
      <c r="M16" s="240">
        <f>+I16/K16-1</f>
        <v>-0.75916596872676412</v>
      </c>
    </row>
    <row r="20" spans="5:5" x14ac:dyDescent="0.2">
      <c r="E20" s="194"/>
    </row>
  </sheetData>
  <mergeCells count="2">
    <mergeCell ref="K2:L2"/>
    <mergeCell ref="D2:J2"/>
  </mergeCells>
  <printOptions horizontalCentered="1"/>
  <pageMargins left="0.51181102362204722" right="0.51181102362204722" top="1.3385826771653544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Gener&amp;R&amp;"Arial,Negreta"&amp;8&amp;K03+000Direcció de Pressupostos i Política Fiscal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M4" sqref="M4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3" bestFit="1" customWidth="1"/>
    <col min="6" max="6" width="6.28515625" style="98" customWidth="1"/>
    <col min="7" max="7" width="11.5703125" style="43" bestFit="1" customWidth="1"/>
    <col min="8" max="8" width="6.28515625" style="98" customWidth="1"/>
    <col min="9" max="9" width="11.5703125" style="43" bestFit="1" customWidth="1"/>
    <col min="10" max="10" width="6.28515625" style="98" customWidth="1"/>
    <col min="11" max="11" width="8.140625" style="43" customWidth="1"/>
    <col min="12" max="12" width="6.28515625" style="98" customWidth="1"/>
    <col min="13" max="13" width="8" style="98" bestFit="1" customWidth="1"/>
  </cols>
  <sheetData>
    <row r="1" spans="1:13" ht="15.75" thickBot="1" x14ac:dyDescent="0.3">
      <c r="A1" s="7" t="s">
        <v>466</v>
      </c>
    </row>
    <row r="2" spans="1:13" x14ac:dyDescent="0.2">
      <c r="A2" s="8" t="s">
        <v>20</v>
      </c>
      <c r="C2" s="176" t="s">
        <v>512</v>
      </c>
      <c r="D2" s="650" t="s">
        <v>510</v>
      </c>
      <c r="E2" s="648"/>
      <c r="F2" s="648"/>
      <c r="G2" s="648"/>
      <c r="H2" s="648"/>
      <c r="I2" s="648"/>
      <c r="J2" s="649"/>
      <c r="K2" s="644" t="s">
        <v>511</v>
      </c>
      <c r="L2" s="645"/>
      <c r="M2" s="219"/>
    </row>
    <row r="3" spans="1:13" x14ac:dyDescent="0.2">
      <c r="C3" s="169">
        <v>1</v>
      </c>
      <c r="D3" s="243">
        <v>2</v>
      </c>
      <c r="E3" s="241">
        <v>3</v>
      </c>
      <c r="F3" s="89" t="s">
        <v>39</v>
      </c>
      <c r="G3" s="241">
        <v>4</v>
      </c>
      <c r="H3" s="89" t="s">
        <v>40</v>
      </c>
      <c r="I3" s="241">
        <v>5</v>
      </c>
      <c r="J3" s="160" t="s">
        <v>41</v>
      </c>
      <c r="K3" s="241" t="s">
        <v>42</v>
      </c>
      <c r="L3" s="16" t="s">
        <v>43</v>
      </c>
      <c r="M3" s="150" t="s">
        <v>368</v>
      </c>
    </row>
    <row r="4" spans="1:13" ht="25.5" x14ac:dyDescent="0.2">
      <c r="A4" s="1"/>
      <c r="B4" s="2" t="s">
        <v>12</v>
      </c>
      <c r="C4" s="170" t="s">
        <v>13</v>
      </c>
      <c r="D4" s="244" t="s">
        <v>14</v>
      </c>
      <c r="E4" s="242" t="s">
        <v>15</v>
      </c>
      <c r="F4" s="90" t="s">
        <v>18</v>
      </c>
      <c r="G4" s="242" t="s">
        <v>16</v>
      </c>
      <c r="H4" s="90" t="s">
        <v>18</v>
      </c>
      <c r="I4" s="242" t="s">
        <v>17</v>
      </c>
      <c r="J4" s="121" t="s">
        <v>18</v>
      </c>
      <c r="K4" s="242" t="s">
        <v>17</v>
      </c>
      <c r="L4" s="12" t="s">
        <v>18</v>
      </c>
      <c r="M4" s="151" t="s">
        <v>553</v>
      </c>
    </row>
    <row r="5" spans="1:13" ht="15" customHeight="1" x14ac:dyDescent="0.2">
      <c r="A5" s="20">
        <v>1</v>
      </c>
      <c r="B5" s="20" t="s">
        <v>0</v>
      </c>
      <c r="C5" s="172">
        <v>2363481.65</v>
      </c>
      <c r="D5" s="227">
        <v>2140367.4300000002</v>
      </c>
      <c r="E5" s="32">
        <v>156565.07</v>
      </c>
      <c r="F5" s="45">
        <f>E5/D5</f>
        <v>7.3148688307222084E-2</v>
      </c>
      <c r="G5" s="32">
        <v>156565.07</v>
      </c>
      <c r="H5" s="45">
        <f>G5/D5</f>
        <v>7.3148688307222084E-2</v>
      </c>
      <c r="I5" s="32">
        <v>156565.07</v>
      </c>
      <c r="J5" s="165">
        <f>I5/D5</f>
        <v>7.3148688307222084E-2</v>
      </c>
      <c r="K5" s="30">
        <v>194650</v>
      </c>
      <c r="L5" s="49">
        <v>7.6999999999999999E-2</v>
      </c>
      <c r="M5" s="232">
        <f>I5/K5-1</f>
        <v>-0.1956585152838427</v>
      </c>
    </row>
    <row r="6" spans="1:13" ht="15" customHeight="1" x14ac:dyDescent="0.2">
      <c r="A6" s="22">
        <v>2</v>
      </c>
      <c r="B6" s="22" t="s">
        <v>1</v>
      </c>
      <c r="C6" s="172">
        <v>3941110.48</v>
      </c>
      <c r="D6" s="227">
        <v>3941110.48</v>
      </c>
      <c r="E6" s="32">
        <v>219308.6</v>
      </c>
      <c r="F6" s="45">
        <f>E6/D6</f>
        <v>5.564639740827565E-2</v>
      </c>
      <c r="G6" s="32">
        <v>87483</v>
      </c>
      <c r="H6" s="45">
        <f>G6/D6</f>
        <v>2.219755077761738E-2</v>
      </c>
      <c r="I6" s="32">
        <v>0</v>
      </c>
      <c r="J6" s="165">
        <f>I6/D6</f>
        <v>0</v>
      </c>
      <c r="K6" s="32">
        <v>0</v>
      </c>
      <c r="L6" s="50">
        <v>0</v>
      </c>
      <c r="M6" s="233" t="s">
        <v>135</v>
      </c>
    </row>
    <row r="7" spans="1:13" ht="15" customHeight="1" x14ac:dyDescent="0.2">
      <c r="A7" s="22">
        <v>3</v>
      </c>
      <c r="B7" s="22" t="s">
        <v>2</v>
      </c>
      <c r="C7" s="172"/>
      <c r="D7" s="227"/>
      <c r="E7" s="32"/>
      <c r="F7" s="295" t="s">
        <v>135</v>
      </c>
      <c r="G7" s="32"/>
      <c r="H7" s="295" t="s">
        <v>135</v>
      </c>
      <c r="I7" s="32"/>
      <c r="J7" s="192" t="s">
        <v>135</v>
      </c>
      <c r="K7" s="32"/>
      <c r="L7" s="50"/>
      <c r="M7" s="234" t="s">
        <v>135</v>
      </c>
    </row>
    <row r="8" spans="1:13" ht="15" customHeight="1" x14ac:dyDescent="0.2">
      <c r="A8" s="24">
        <v>4</v>
      </c>
      <c r="B8" s="24" t="s">
        <v>3</v>
      </c>
      <c r="C8" s="172">
        <v>300000</v>
      </c>
      <c r="D8" s="227">
        <v>300000</v>
      </c>
      <c r="E8" s="32">
        <v>0</v>
      </c>
      <c r="F8" s="79">
        <f t="shared" ref="F8" si="0">E8/D8</f>
        <v>0</v>
      </c>
      <c r="G8" s="194">
        <v>0</v>
      </c>
      <c r="H8" s="79">
        <f t="shared" ref="H8" si="1">G8/D8</f>
        <v>0</v>
      </c>
      <c r="I8" s="194">
        <v>0</v>
      </c>
      <c r="J8" s="186">
        <f t="shared" ref="J8" si="2">I8/D8</f>
        <v>0</v>
      </c>
      <c r="K8" s="34">
        <v>0</v>
      </c>
      <c r="L8" s="354">
        <v>0</v>
      </c>
      <c r="M8" s="494" t="s">
        <v>135</v>
      </c>
    </row>
    <row r="9" spans="1:13" ht="15" customHeight="1" x14ac:dyDescent="0.2">
      <c r="A9" s="9"/>
      <c r="B9" s="2" t="s">
        <v>4</v>
      </c>
      <c r="C9" s="174">
        <f>SUM(C5:C8)</f>
        <v>6604592.1299999999</v>
      </c>
      <c r="D9" s="164">
        <f t="shared" ref="D9:I9" si="3">SUM(D5:D8)</f>
        <v>6381477.9100000001</v>
      </c>
      <c r="E9" s="85">
        <f t="shared" si="3"/>
        <v>375873.67000000004</v>
      </c>
      <c r="F9" s="91">
        <f>E9/D9</f>
        <v>5.890072414275583E-2</v>
      </c>
      <c r="G9" s="85">
        <f t="shared" si="3"/>
        <v>244048.07</v>
      </c>
      <c r="H9" s="91">
        <f>G9/D9</f>
        <v>3.8243189656359713E-2</v>
      </c>
      <c r="I9" s="85">
        <f t="shared" si="3"/>
        <v>156565.07</v>
      </c>
      <c r="J9" s="183">
        <f>I9/D9</f>
        <v>2.4534296319455567E-2</v>
      </c>
      <c r="K9" s="85">
        <f>SUM(K5:K8)</f>
        <v>194650</v>
      </c>
      <c r="L9" s="40">
        <v>2.5000000000000001E-2</v>
      </c>
      <c r="M9" s="236">
        <f>I9/K9-1</f>
        <v>-0.1956585152838427</v>
      </c>
    </row>
    <row r="10" spans="1:13" ht="15" customHeight="1" x14ac:dyDescent="0.2">
      <c r="A10" s="20">
        <v>6</v>
      </c>
      <c r="B10" s="20" t="s">
        <v>5</v>
      </c>
      <c r="C10" s="171"/>
      <c r="D10" s="226"/>
      <c r="E10" s="30"/>
      <c r="F10" s="45" t="s">
        <v>135</v>
      </c>
      <c r="G10" s="147"/>
      <c r="H10" s="45" t="s">
        <v>135</v>
      </c>
      <c r="I10" s="147"/>
      <c r="J10" s="165" t="s">
        <v>135</v>
      </c>
      <c r="K10" s="147"/>
      <c r="L10" s="49" t="s">
        <v>135</v>
      </c>
      <c r="M10" s="248" t="s">
        <v>135</v>
      </c>
    </row>
    <row r="11" spans="1:13" ht="15" customHeight="1" x14ac:dyDescent="0.2">
      <c r="A11" s="24">
        <v>7</v>
      </c>
      <c r="B11" s="24" t="s">
        <v>6</v>
      </c>
      <c r="C11" s="173"/>
      <c r="D11" s="228"/>
      <c r="E11" s="34"/>
      <c r="F11" s="46" t="s">
        <v>135</v>
      </c>
      <c r="G11" s="148"/>
      <c r="H11" s="46" t="s">
        <v>135</v>
      </c>
      <c r="I11" s="148"/>
      <c r="J11" s="246" t="s">
        <v>135</v>
      </c>
      <c r="K11" s="148"/>
      <c r="L11" s="51" t="s">
        <v>135</v>
      </c>
      <c r="M11" s="238" t="s">
        <v>135</v>
      </c>
    </row>
    <row r="12" spans="1:13" ht="15" customHeight="1" x14ac:dyDescent="0.2">
      <c r="A12" s="9"/>
      <c r="B12" s="2" t="s">
        <v>7</v>
      </c>
      <c r="C12" s="174">
        <f>SUM(C10:C11)</f>
        <v>0</v>
      </c>
      <c r="D12" s="164">
        <f t="shared" ref="D12:I12" si="4">SUM(D10:D11)</f>
        <v>0</v>
      </c>
      <c r="E12" s="85">
        <f t="shared" si="4"/>
        <v>0</v>
      </c>
      <c r="F12" s="91" t="s">
        <v>135</v>
      </c>
      <c r="G12" s="85">
        <f t="shared" si="4"/>
        <v>0</v>
      </c>
      <c r="H12" s="91" t="s">
        <v>135</v>
      </c>
      <c r="I12" s="85">
        <f t="shared" si="4"/>
        <v>0</v>
      </c>
      <c r="J12" s="247" t="s">
        <v>135</v>
      </c>
      <c r="K12" s="85">
        <f>SUM(K10:K11)</f>
        <v>0</v>
      </c>
      <c r="L12" s="40" t="s">
        <v>135</v>
      </c>
      <c r="M12" s="249" t="s">
        <v>135</v>
      </c>
    </row>
    <row r="13" spans="1:13" ht="15" customHeight="1" x14ac:dyDescent="0.2">
      <c r="A13" s="20">
        <v>8</v>
      </c>
      <c r="B13" s="20" t="s">
        <v>8</v>
      </c>
      <c r="C13" s="171"/>
      <c r="D13" s="226"/>
      <c r="E13" s="30"/>
      <c r="F13" s="87" t="s">
        <v>135</v>
      </c>
      <c r="G13" s="30"/>
      <c r="H13" s="87" t="s">
        <v>135</v>
      </c>
      <c r="I13" s="30"/>
      <c r="J13" s="245" t="s">
        <v>135</v>
      </c>
      <c r="K13" s="30"/>
      <c r="L13" s="52" t="s">
        <v>135</v>
      </c>
      <c r="M13" s="237" t="s">
        <v>135</v>
      </c>
    </row>
    <row r="14" spans="1:13" ht="15" customHeight="1" x14ac:dyDescent="0.2">
      <c r="A14" s="24">
        <v>9</v>
      </c>
      <c r="B14" s="24" t="s">
        <v>9</v>
      </c>
      <c r="C14" s="173"/>
      <c r="D14" s="228"/>
      <c r="E14" s="34"/>
      <c r="F14" s="46" t="s">
        <v>135</v>
      </c>
      <c r="G14" s="34"/>
      <c r="H14" s="46" t="s">
        <v>135</v>
      </c>
      <c r="I14" s="34"/>
      <c r="J14" s="246" t="s">
        <v>135</v>
      </c>
      <c r="K14" s="34"/>
      <c r="L14" s="51" t="s">
        <v>135</v>
      </c>
      <c r="M14" s="238" t="s">
        <v>135</v>
      </c>
    </row>
    <row r="15" spans="1:13" ht="15" customHeight="1" thickBot="1" x14ac:dyDescent="0.25">
      <c r="A15" s="9"/>
      <c r="B15" s="2" t="s">
        <v>10</v>
      </c>
      <c r="C15" s="174">
        <f>SUM(C13:C14)</f>
        <v>0</v>
      </c>
      <c r="D15" s="164">
        <f t="shared" ref="D15:I15" si="5">SUM(D13:D14)</f>
        <v>0</v>
      </c>
      <c r="E15" s="85">
        <f t="shared" si="5"/>
        <v>0</v>
      </c>
      <c r="F15" s="57" t="s">
        <v>135</v>
      </c>
      <c r="G15" s="85">
        <f t="shared" si="5"/>
        <v>0</v>
      </c>
      <c r="H15" s="57" t="s">
        <v>135</v>
      </c>
      <c r="I15" s="85">
        <f t="shared" si="5"/>
        <v>0</v>
      </c>
      <c r="J15" s="247" t="s">
        <v>135</v>
      </c>
      <c r="K15" s="85">
        <f>SUM(K13:K14)</f>
        <v>0</v>
      </c>
      <c r="L15" s="100" t="s">
        <v>135</v>
      </c>
      <c r="M15" s="239" t="s">
        <v>135</v>
      </c>
    </row>
    <row r="16" spans="1:13" s="6" customFormat="1" ht="24" customHeight="1" thickBot="1" x14ac:dyDescent="0.25">
      <c r="A16" s="5"/>
      <c r="B16" s="4" t="s">
        <v>11</v>
      </c>
      <c r="C16" s="175">
        <f>+C9+C12+C15</f>
        <v>6604592.1299999999</v>
      </c>
      <c r="D16" s="166">
        <f t="shared" ref="D16:I16" si="6">+D9+D12+D15</f>
        <v>6381477.9100000001</v>
      </c>
      <c r="E16" s="167">
        <f t="shared" si="6"/>
        <v>375873.67000000004</v>
      </c>
      <c r="F16" s="195">
        <f>E16/D16</f>
        <v>5.890072414275583E-2</v>
      </c>
      <c r="G16" s="167">
        <f t="shared" si="6"/>
        <v>244048.07</v>
      </c>
      <c r="H16" s="195">
        <f>G16/D16</f>
        <v>3.8243189656359713E-2</v>
      </c>
      <c r="I16" s="167">
        <f t="shared" si="6"/>
        <v>156565.07</v>
      </c>
      <c r="J16" s="187">
        <f>I16/D16</f>
        <v>2.4534296319455567E-2</v>
      </c>
      <c r="K16" s="158">
        <f>K9+K12+K15</f>
        <v>194650</v>
      </c>
      <c r="L16" s="204">
        <v>2.5000000000000001E-2</v>
      </c>
      <c r="M16" s="240">
        <f>I16/K16-1</f>
        <v>-0.1956585152838427</v>
      </c>
    </row>
    <row r="21" spans="5:5" x14ac:dyDescent="0.2">
      <c r="E21" s="194"/>
    </row>
  </sheetData>
  <mergeCells count="2">
    <mergeCell ref="D2:J2"/>
    <mergeCell ref="K2:L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2015
Execució Pressupostària a Gener&amp;R&amp;"Arial,Negreta"&amp;8&amp;K03+000Direcció de Pressupostos i Política Fiscal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M4" sqref="M4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85546875" customWidth="1"/>
    <col min="4" max="5" width="11.5703125" style="43" bestFit="1" customWidth="1"/>
    <col min="6" max="6" width="6.28515625" style="98" customWidth="1"/>
    <col min="7" max="7" width="11.5703125" style="43" bestFit="1" customWidth="1"/>
    <col min="8" max="8" width="6.28515625" style="98" customWidth="1"/>
    <col min="9" max="9" width="11.5703125" style="43" bestFit="1" customWidth="1"/>
    <col min="10" max="10" width="6.28515625" style="98" customWidth="1"/>
    <col min="11" max="11" width="8.140625" style="43" customWidth="1"/>
    <col min="12" max="12" width="6.28515625" style="98" customWidth="1"/>
    <col min="13" max="13" width="8" style="98" bestFit="1" customWidth="1"/>
  </cols>
  <sheetData>
    <row r="1" spans="1:13" ht="15.75" thickBot="1" x14ac:dyDescent="0.3">
      <c r="A1" s="7" t="s">
        <v>472</v>
      </c>
    </row>
    <row r="2" spans="1:13" x14ac:dyDescent="0.2">
      <c r="A2" s="8" t="s">
        <v>20</v>
      </c>
      <c r="C2" s="176" t="s">
        <v>512</v>
      </c>
      <c r="D2" s="650" t="s">
        <v>510</v>
      </c>
      <c r="E2" s="648"/>
      <c r="F2" s="648"/>
      <c r="G2" s="648"/>
      <c r="H2" s="648"/>
      <c r="I2" s="648"/>
      <c r="J2" s="649"/>
      <c r="K2" s="644" t="s">
        <v>511</v>
      </c>
      <c r="L2" s="645"/>
      <c r="M2" s="219"/>
    </row>
    <row r="3" spans="1:13" x14ac:dyDescent="0.2">
      <c r="C3" s="169">
        <v>1</v>
      </c>
      <c r="D3" s="243">
        <v>2</v>
      </c>
      <c r="E3" s="241">
        <v>3</v>
      </c>
      <c r="F3" s="89" t="s">
        <v>39</v>
      </c>
      <c r="G3" s="241">
        <v>4</v>
      </c>
      <c r="H3" s="89" t="s">
        <v>40</v>
      </c>
      <c r="I3" s="241">
        <v>5</v>
      </c>
      <c r="J3" s="160" t="s">
        <v>41</v>
      </c>
      <c r="K3" s="241" t="s">
        <v>42</v>
      </c>
      <c r="L3" s="16" t="s">
        <v>43</v>
      </c>
      <c r="M3" s="150" t="s">
        <v>368</v>
      </c>
    </row>
    <row r="4" spans="1:13" ht="25.5" x14ac:dyDescent="0.2">
      <c r="A4" s="1"/>
      <c r="B4" s="2" t="s">
        <v>12</v>
      </c>
      <c r="C4" s="170" t="s">
        <v>13</v>
      </c>
      <c r="D4" s="244" t="s">
        <v>14</v>
      </c>
      <c r="E4" s="242" t="s">
        <v>15</v>
      </c>
      <c r="F4" s="90" t="s">
        <v>18</v>
      </c>
      <c r="G4" s="242" t="s">
        <v>16</v>
      </c>
      <c r="H4" s="90" t="s">
        <v>18</v>
      </c>
      <c r="I4" s="242" t="s">
        <v>17</v>
      </c>
      <c r="J4" s="121" t="s">
        <v>18</v>
      </c>
      <c r="K4" s="242" t="s">
        <v>17</v>
      </c>
      <c r="L4" s="12" t="s">
        <v>18</v>
      </c>
      <c r="M4" s="151" t="s">
        <v>553</v>
      </c>
    </row>
    <row r="5" spans="1:13" ht="15" customHeight="1" x14ac:dyDescent="0.2">
      <c r="A5" s="20">
        <v>1</v>
      </c>
      <c r="B5" s="20" t="s">
        <v>0</v>
      </c>
      <c r="C5" s="172">
        <v>2564243.41</v>
      </c>
      <c r="D5" s="227">
        <v>2567210.29</v>
      </c>
      <c r="E5" s="32">
        <v>183556.92</v>
      </c>
      <c r="F5" s="45">
        <f>E5/D5</f>
        <v>7.1500539209820635E-2</v>
      </c>
      <c r="G5" s="32">
        <v>183556.92</v>
      </c>
      <c r="H5" s="45">
        <f>G5/D5</f>
        <v>7.1500539209820635E-2</v>
      </c>
      <c r="I5" s="32">
        <v>183556.92</v>
      </c>
      <c r="J5" s="165">
        <f>I5/D5</f>
        <v>7.1500539209820635E-2</v>
      </c>
      <c r="K5" s="30">
        <v>166362</v>
      </c>
      <c r="L5" s="49">
        <v>7.3999999999999996E-2</v>
      </c>
      <c r="M5" s="232">
        <f>I5/K5-1</f>
        <v>0.10335845926353371</v>
      </c>
    </row>
    <row r="6" spans="1:13" ht="15" customHeight="1" x14ac:dyDescent="0.2">
      <c r="A6" s="22">
        <v>2</v>
      </c>
      <c r="B6" s="22" t="s">
        <v>1</v>
      </c>
      <c r="C6" s="172">
        <v>33849543.229999997</v>
      </c>
      <c r="D6" s="227">
        <v>33849543.229999997</v>
      </c>
      <c r="E6" s="32">
        <v>751605</v>
      </c>
      <c r="F6" s="45">
        <f>E6/D6</f>
        <v>2.2204287806574342E-2</v>
      </c>
      <c r="G6" s="32">
        <v>380286.85</v>
      </c>
      <c r="H6" s="45">
        <f>G6/D6</f>
        <v>1.1234622795824356E-2</v>
      </c>
      <c r="I6" s="32">
        <v>0</v>
      </c>
      <c r="J6" s="192">
        <f>I6/D6</f>
        <v>0</v>
      </c>
      <c r="K6" s="32">
        <v>0</v>
      </c>
      <c r="L6" s="50">
        <v>0</v>
      </c>
      <c r="M6" s="232" t="s">
        <v>135</v>
      </c>
    </row>
    <row r="7" spans="1:13" ht="15" customHeight="1" x14ac:dyDescent="0.2">
      <c r="A7" s="22">
        <v>3</v>
      </c>
      <c r="B7" s="22" t="s">
        <v>2</v>
      </c>
      <c r="C7" s="172"/>
      <c r="D7" s="227"/>
      <c r="E7" s="32"/>
      <c r="F7" s="295" t="s">
        <v>135</v>
      </c>
      <c r="G7" s="32"/>
      <c r="H7" s="295" t="s">
        <v>135</v>
      </c>
      <c r="I7" s="32"/>
      <c r="J7" s="192" t="s">
        <v>135</v>
      </c>
      <c r="K7" s="32"/>
      <c r="L7" s="50"/>
      <c r="M7" s="234" t="s">
        <v>135</v>
      </c>
    </row>
    <row r="8" spans="1:13" ht="15" customHeight="1" x14ac:dyDescent="0.2">
      <c r="A8" s="24">
        <v>4</v>
      </c>
      <c r="B8" s="24" t="s">
        <v>3</v>
      </c>
      <c r="C8" s="172">
        <v>7033702.4500000002</v>
      </c>
      <c r="D8" s="227">
        <v>7033702.4500000002</v>
      </c>
      <c r="E8" s="32">
        <v>1008512.45</v>
      </c>
      <c r="F8" s="79">
        <f>E8/D8</f>
        <v>0.1433828708520361</v>
      </c>
      <c r="G8" s="32">
        <v>1008512.45</v>
      </c>
      <c r="H8" s="79" t="s">
        <v>135</v>
      </c>
      <c r="I8" s="32">
        <v>0</v>
      </c>
      <c r="J8" s="186">
        <f>I8/D8</f>
        <v>0</v>
      </c>
      <c r="K8" s="34"/>
      <c r="L8" s="354"/>
      <c r="M8" s="494" t="s">
        <v>135</v>
      </c>
    </row>
    <row r="9" spans="1:13" ht="15" customHeight="1" x14ac:dyDescent="0.2">
      <c r="A9" s="9"/>
      <c r="B9" s="2" t="s">
        <v>4</v>
      </c>
      <c r="C9" s="174">
        <f>SUM(C5:C8)</f>
        <v>43447489.090000004</v>
      </c>
      <c r="D9" s="164">
        <f t="shared" ref="D9:K9" si="0">SUM(D5:D8)</f>
        <v>43450455.969999999</v>
      </c>
      <c r="E9" s="85">
        <f t="shared" si="0"/>
        <v>1943674.37</v>
      </c>
      <c r="F9" s="91">
        <f>E9/D9</f>
        <v>4.4733117906564521E-2</v>
      </c>
      <c r="G9" s="85">
        <f t="shared" si="0"/>
        <v>1572356.22</v>
      </c>
      <c r="H9" s="91">
        <f>G9/D9</f>
        <v>3.6187335320154522E-2</v>
      </c>
      <c r="I9" s="85">
        <f t="shared" si="0"/>
        <v>183556.92</v>
      </c>
      <c r="J9" s="183">
        <f>I9/D9</f>
        <v>4.2245107882581331E-3</v>
      </c>
      <c r="K9" s="85">
        <f t="shared" si="0"/>
        <v>166362</v>
      </c>
      <c r="L9" s="40">
        <v>5.0000000000000001E-3</v>
      </c>
      <c r="M9" s="236" t="s">
        <v>135</v>
      </c>
    </row>
    <row r="10" spans="1:13" ht="15" customHeight="1" x14ac:dyDescent="0.2">
      <c r="A10" s="20">
        <v>6</v>
      </c>
      <c r="B10" s="20" t="s">
        <v>5</v>
      </c>
      <c r="C10" s="172">
        <v>13187153.26</v>
      </c>
      <c r="D10" s="227">
        <v>13637153.26</v>
      </c>
      <c r="E10" s="30">
        <v>0</v>
      </c>
      <c r="F10" s="45">
        <f>E10/D10</f>
        <v>0</v>
      </c>
      <c r="G10" s="147">
        <v>0</v>
      </c>
      <c r="H10" s="45">
        <f>G10/D10</f>
        <v>0</v>
      </c>
      <c r="I10" s="147">
        <v>0</v>
      </c>
      <c r="J10" s="165">
        <f>I10/D10</f>
        <v>0</v>
      </c>
      <c r="K10" s="147">
        <v>0</v>
      </c>
      <c r="L10" s="49">
        <v>0</v>
      </c>
      <c r="M10" s="248" t="s">
        <v>135</v>
      </c>
    </row>
    <row r="11" spans="1:13" ht="15" customHeight="1" x14ac:dyDescent="0.2">
      <c r="A11" s="24">
        <v>7</v>
      </c>
      <c r="B11" s="24" t="s">
        <v>6</v>
      </c>
      <c r="C11" s="173"/>
      <c r="D11" s="228"/>
      <c r="E11" s="34"/>
      <c r="F11" s="46" t="s">
        <v>135</v>
      </c>
      <c r="G11" s="148"/>
      <c r="H11" s="46" t="s">
        <v>135</v>
      </c>
      <c r="I11" s="148"/>
      <c r="J11" s="246" t="s">
        <v>135</v>
      </c>
      <c r="K11" s="148"/>
      <c r="L11" s="51"/>
      <c r="M11" s="238" t="s">
        <v>135</v>
      </c>
    </row>
    <row r="12" spans="1:13" ht="15" customHeight="1" x14ac:dyDescent="0.2">
      <c r="A12" s="9"/>
      <c r="B12" s="2" t="s">
        <v>7</v>
      </c>
      <c r="C12" s="174">
        <f>SUM(C10:C11)</f>
        <v>13187153.26</v>
      </c>
      <c r="D12" s="164">
        <f t="shared" ref="D12:K12" si="1">SUM(D10:D11)</f>
        <v>13637153.26</v>
      </c>
      <c r="E12" s="85">
        <f t="shared" si="1"/>
        <v>0</v>
      </c>
      <c r="F12" s="91">
        <f>E12/D12</f>
        <v>0</v>
      </c>
      <c r="G12" s="85">
        <f t="shared" si="1"/>
        <v>0</v>
      </c>
      <c r="H12" s="91">
        <f>G12/D12</f>
        <v>0</v>
      </c>
      <c r="I12" s="85">
        <f t="shared" si="1"/>
        <v>0</v>
      </c>
      <c r="J12" s="183">
        <f>I12/D12</f>
        <v>0</v>
      </c>
      <c r="K12" s="85">
        <f t="shared" si="1"/>
        <v>0</v>
      </c>
      <c r="L12" s="40" t="s">
        <v>135</v>
      </c>
      <c r="M12" s="249" t="s">
        <v>135</v>
      </c>
    </row>
    <row r="13" spans="1:13" ht="15" customHeight="1" x14ac:dyDescent="0.2">
      <c r="A13" s="20">
        <v>8</v>
      </c>
      <c r="B13" s="20" t="s">
        <v>8</v>
      </c>
      <c r="C13" s="171"/>
      <c r="D13" s="226"/>
      <c r="E13" s="30"/>
      <c r="F13" s="87" t="s">
        <v>135</v>
      </c>
      <c r="G13" s="30"/>
      <c r="H13" s="87" t="s">
        <v>135</v>
      </c>
      <c r="I13" s="30"/>
      <c r="J13" s="245" t="s">
        <v>135</v>
      </c>
      <c r="K13" s="30"/>
      <c r="L13" s="52" t="s">
        <v>135</v>
      </c>
      <c r="M13" s="237" t="s">
        <v>135</v>
      </c>
    </row>
    <row r="14" spans="1:13" ht="15" customHeight="1" x14ac:dyDescent="0.2">
      <c r="A14" s="24">
        <v>9</v>
      </c>
      <c r="B14" s="24" t="s">
        <v>9</v>
      </c>
      <c r="C14" s="173"/>
      <c r="D14" s="228"/>
      <c r="E14" s="34"/>
      <c r="F14" s="46" t="s">
        <v>135</v>
      </c>
      <c r="G14" s="34"/>
      <c r="H14" s="46" t="s">
        <v>135</v>
      </c>
      <c r="I14" s="34"/>
      <c r="J14" s="246" t="s">
        <v>135</v>
      </c>
      <c r="K14" s="34"/>
      <c r="L14" s="51" t="s">
        <v>135</v>
      </c>
      <c r="M14" s="238" t="s">
        <v>135</v>
      </c>
    </row>
    <row r="15" spans="1:13" ht="15" customHeight="1" thickBot="1" x14ac:dyDescent="0.25">
      <c r="A15" s="9"/>
      <c r="B15" s="2" t="s">
        <v>10</v>
      </c>
      <c r="C15" s="174">
        <f>SUM(C13:C14)</f>
        <v>0</v>
      </c>
      <c r="D15" s="164">
        <f t="shared" ref="D15:K15" si="2">SUM(D13:D14)</f>
        <v>0</v>
      </c>
      <c r="E15" s="85">
        <f t="shared" si="2"/>
        <v>0</v>
      </c>
      <c r="F15" s="57" t="s">
        <v>135</v>
      </c>
      <c r="G15" s="85">
        <f t="shared" si="2"/>
        <v>0</v>
      </c>
      <c r="H15" s="57" t="s">
        <v>135</v>
      </c>
      <c r="I15" s="85">
        <f t="shared" si="2"/>
        <v>0</v>
      </c>
      <c r="J15" s="247" t="s">
        <v>135</v>
      </c>
      <c r="K15" s="85">
        <f t="shared" si="2"/>
        <v>0</v>
      </c>
      <c r="L15" s="100" t="s">
        <v>135</v>
      </c>
      <c r="M15" s="239" t="s">
        <v>135</v>
      </c>
    </row>
    <row r="16" spans="1:13" s="6" customFormat="1" ht="24" customHeight="1" thickBot="1" x14ac:dyDescent="0.25">
      <c r="A16" s="5"/>
      <c r="B16" s="4" t="s">
        <v>11</v>
      </c>
      <c r="C16" s="175">
        <f>+C9+C12+C15</f>
        <v>56634642.350000001</v>
      </c>
      <c r="D16" s="166">
        <f t="shared" ref="D16:K16" si="3">+D9+D12+D15</f>
        <v>57087609.229999997</v>
      </c>
      <c r="E16" s="167">
        <f t="shared" si="3"/>
        <v>1943674.37</v>
      </c>
      <c r="F16" s="195">
        <f>E16/D16</f>
        <v>3.4047219636911749E-2</v>
      </c>
      <c r="G16" s="167">
        <f t="shared" si="3"/>
        <v>1572356.22</v>
      </c>
      <c r="H16" s="195">
        <f>G16/D16</f>
        <v>2.7542863349998448E-2</v>
      </c>
      <c r="I16" s="167">
        <f t="shared" si="3"/>
        <v>183556.92</v>
      </c>
      <c r="J16" s="187">
        <f>I16/D16</f>
        <v>3.215354828759222E-3</v>
      </c>
      <c r="K16" s="158">
        <f t="shared" si="3"/>
        <v>166362</v>
      </c>
      <c r="L16" s="204">
        <v>4.0000000000000001E-3</v>
      </c>
      <c r="M16" s="240" t="s">
        <v>135</v>
      </c>
    </row>
    <row r="21" spans="5:5" x14ac:dyDescent="0.2">
      <c r="E21" s="194"/>
    </row>
    <row r="22" spans="5:5" x14ac:dyDescent="0.2">
      <c r="E22" s="194"/>
    </row>
    <row r="23" spans="5:5" x14ac:dyDescent="0.2">
      <c r="E23" s="194"/>
    </row>
    <row r="24" spans="5:5" x14ac:dyDescent="0.2">
      <c r="E24" s="194"/>
    </row>
  </sheetData>
  <mergeCells count="2">
    <mergeCell ref="D2:J2"/>
    <mergeCell ref="K2:L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2015
Execució Pressupostària a Gener&amp;R&amp;"Arial,Negreta"&amp;8&amp;K03+000Direcció de Pressupostos i Política Fiscal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M16"/>
  <sheetViews>
    <sheetView zoomScaleNormal="100" workbookViewId="0">
      <selection activeCell="M4" sqref="M4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3"/>
    <col min="6" max="6" width="6.28515625" style="98" customWidth="1"/>
    <col min="7" max="7" width="11.42578125" style="43"/>
    <col min="8" max="8" width="6.28515625" style="98" customWidth="1"/>
    <col min="9" max="9" width="11.42578125" style="43"/>
    <col min="10" max="10" width="6.28515625" style="98" customWidth="1"/>
    <col min="11" max="11" width="11.42578125" style="43"/>
    <col min="12" max="12" width="6.28515625" style="98" customWidth="1"/>
    <col min="13" max="13" width="8.140625" style="98" bestFit="1" customWidth="1"/>
    <col min="14" max="14" width="5.5703125" customWidth="1"/>
  </cols>
  <sheetData>
    <row r="1" spans="1:13" ht="15.75" thickBot="1" x14ac:dyDescent="0.3">
      <c r="A1" s="7" t="s">
        <v>439</v>
      </c>
    </row>
    <row r="2" spans="1:13" x14ac:dyDescent="0.2">
      <c r="A2" s="8" t="s">
        <v>20</v>
      </c>
      <c r="C2" s="176" t="s">
        <v>512</v>
      </c>
      <c r="D2" s="650" t="s">
        <v>510</v>
      </c>
      <c r="E2" s="648"/>
      <c r="F2" s="648"/>
      <c r="G2" s="648"/>
      <c r="H2" s="648"/>
      <c r="I2" s="648"/>
      <c r="J2" s="649"/>
      <c r="K2" s="644" t="s">
        <v>511</v>
      </c>
      <c r="L2" s="645"/>
      <c r="M2" s="219"/>
    </row>
    <row r="3" spans="1:13" x14ac:dyDescent="0.2">
      <c r="C3" s="169">
        <v>1</v>
      </c>
      <c r="D3" s="243">
        <v>2</v>
      </c>
      <c r="E3" s="241">
        <v>3</v>
      </c>
      <c r="F3" s="89" t="s">
        <v>39</v>
      </c>
      <c r="G3" s="241">
        <v>4</v>
      </c>
      <c r="H3" s="89" t="s">
        <v>40</v>
      </c>
      <c r="I3" s="241">
        <v>5</v>
      </c>
      <c r="J3" s="160" t="s">
        <v>41</v>
      </c>
      <c r="K3" s="241" t="s">
        <v>42</v>
      </c>
      <c r="L3" s="16" t="s">
        <v>43</v>
      </c>
      <c r="M3" s="150" t="s">
        <v>368</v>
      </c>
    </row>
    <row r="4" spans="1:13" ht="25.5" x14ac:dyDescent="0.2">
      <c r="A4" s="1"/>
      <c r="B4" s="2" t="s">
        <v>12</v>
      </c>
      <c r="C4" s="170" t="s">
        <v>13</v>
      </c>
      <c r="D4" s="244" t="s">
        <v>14</v>
      </c>
      <c r="E4" s="242" t="s">
        <v>15</v>
      </c>
      <c r="F4" s="90" t="s">
        <v>18</v>
      </c>
      <c r="G4" s="242" t="s">
        <v>16</v>
      </c>
      <c r="H4" s="90" t="s">
        <v>18</v>
      </c>
      <c r="I4" s="242" t="s">
        <v>17</v>
      </c>
      <c r="J4" s="121" t="s">
        <v>18</v>
      </c>
      <c r="K4" s="242" t="s">
        <v>17</v>
      </c>
      <c r="L4" s="12" t="s">
        <v>18</v>
      </c>
      <c r="M4" s="151" t="s">
        <v>553</v>
      </c>
    </row>
    <row r="5" spans="1:13" ht="15" customHeight="1" x14ac:dyDescent="0.2">
      <c r="A5" s="20">
        <v>1</v>
      </c>
      <c r="B5" s="20" t="s">
        <v>0</v>
      </c>
      <c r="C5" s="173">
        <v>5713163.5999999996</v>
      </c>
      <c r="D5" s="227">
        <v>5657579.0300000003</v>
      </c>
      <c r="E5" s="32">
        <v>431691.64</v>
      </c>
      <c r="F5" s="45">
        <f>E5/D5</f>
        <v>7.6303245206280401E-2</v>
      </c>
      <c r="G5" s="32">
        <v>411691.64</v>
      </c>
      <c r="H5" s="45">
        <f>G5/D5</f>
        <v>7.2768164230133603E-2</v>
      </c>
      <c r="I5" s="32">
        <v>411691.64</v>
      </c>
      <c r="J5" s="165">
        <f>I5/D5</f>
        <v>7.2768164230133603E-2</v>
      </c>
      <c r="K5" s="30">
        <v>401345</v>
      </c>
      <c r="L5" s="49">
        <v>7.2999999999999995E-2</v>
      </c>
      <c r="M5" s="232">
        <f>+I5/K5-1</f>
        <v>2.5779915035692547E-2</v>
      </c>
    </row>
    <row r="6" spans="1:13" ht="15" customHeight="1" x14ac:dyDescent="0.2">
      <c r="A6" s="22">
        <v>2</v>
      </c>
      <c r="B6" s="22" t="s">
        <v>1</v>
      </c>
      <c r="C6" s="173">
        <v>22783832.760000002</v>
      </c>
      <c r="D6" s="227">
        <v>22783832.760000002</v>
      </c>
      <c r="E6" s="32">
        <v>17304912.690000001</v>
      </c>
      <c r="F6" s="45">
        <f>E6/D6</f>
        <v>0.75952597055492077</v>
      </c>
      <c r="G6" s="32">
        <v>16329286.76</v>
      </c>
      <c r="H6" s="45">
        <f>G6/D6</f>
        <v>0.71670499568747703</v>
      </c>
      <c r="I6" s="32">
        <v>21991.46</v>
      </c>
      <c r="J6" s="165">
        <f>I6/D6</f>
        <v>9.652221481632749E-4</v>
      </c>
      <c r="K6" s="32">
        <v>9207</v>
      </c>
      <c r="L6" s="50">
        <v>1E-3</v>
      </c>
      <c r="M6" s="232">
        <f>+I6/K6-1</f>
        <v>1.3885587053328989</v>
      </c>
    </row>
    <row r="7" spans="1:13" ht="15" customHeight="1" x14ac:dyDescent="0.2">
      <c r="A7" s="22">
        <v>3</v>
      </c>
      <c r="B7" s="22" t="s">
        <v>2</v>
      </c>
      <c r="C7" s="173"/>
      <c r="D7" s="227"/>
      <c r="E7" s="32"/>
      <c r="F7" s="26" t="s">
        <v>135</v>
      </c>
      <c r="G7" s="32"/>
      <c r="H7" s="26" t="s">
        <v>135</v>
      </c>
      <c r="I7" s="32"/>
      <c r="J7" s="255" t="s">
        <v>135</v>
      </c>
      <c r="K7" s="32"/>
      <c r="L7" s="50"/>
      <c r="M7" s="234" t="s">
        <v>135</v>
      </c>
    </row>
    <row r="8" spans="1:13" ht="15" customHeight="1" x14ac:dyDescent="0.2">
      <c r="A8" s="24">
        <v>4</v>
      </c>
      <c r="B8" s="24" t="s">
        <v>3</v>
      </c>
      <c r="C8" s="173">
        <v>100625879.98</v>
      </c>
      <c r="D8" s="227">
        <v>102253379.98</v>
      </c>
      <c r="E8" s="32">
        <v>35326535.039999999</v>
      </c>
      <c r="F8" s="433">
        <f>E8/D8</f>
        <v>0.34548036501981261</v>
      </c>
      <c r="G8" s="32">
        <v>30323655.039999999</v>
      </c>
      <c r="H8" s="433">
        <f>G8/D8</f>
        <v>0.29655406056925532</v>
      </c>
      <c r="I8" s="32">
        <v>4581378.92</v>
      </c>
      <c r="J8" s="434">
        <f>I8/D8</f>
        <v>4.4804180760538999E-2</v>
      </c>
      <c r="K8" s="34">
        <v>5998799</v>
      </c>
      <c r="L8" s="354">
        <v>8.1000000000000003E-2</v>
      </c>
      <c r="M8" s="494">
        <f>+I8/K8-1</f>
        <v>-0.23628397617589791</v>
      </c>
    </row>
    <row r="9" spans="1:13" ht="15" customHeight="1" x14ac:dyDescent="0.2">
      <c r="A9" s="9"/>
      <c r="B9" s="2" t="s">
        <v>4</v>
      </c>
      <c r="C9" s="174">
        <f>SUM(C5:C8)</f>
        <v>129122876.34</v>
      </c>
      <c r="D9" s="164">
        <f t="shared" ref="D9:I9" si="0">SUM(D5:D8)</f>
        <v>130694791.77000001</v>
      </c>
      <c r="E9" s="85">
        <f t="shared" si="0"/>
        <v>53063139.370000005</v>
      </c>
      <c r="F9" s="91">
        <f>E9/D9</f>
        <v>0.40600806391261446</v>
      </c>
      <c r="G9" s="85">
        <f t="shared" si="0"/>
        <v>47064633.439999998</v>
      </c>
      <c r="H9" s="91">
        <f>G9/D9</f>
        <v>0.36011100980080007</v>
      </c>
      <c r="I9" s="85">
        <f t="shared" si="0"/>
        <v>5015062.0199999996</v>
      </c>
      <c r="J9" s="183">
        <f>I9/D9</f>
        <v>3.8372317305693654E-2</v>
      </c>
      <c r="K9" s="85">
        <f>SUM(K5:K8)</f>
        <v>6409351</v>
      </c>
      <c r="L9" s="40">
        <v>7.3999999999999996E-2</v>
      </c>
      <c r="M9" s="236">
        <f>+I9/K9-1</f>
        <v>-0.21753980707251019</v>
      </c>
    </row>
    <row r="10" spans="1:13" ht="15" customHeight="1" x14ac:dyDescent="0.2">
      <c r="A10" s="20">
        <v>6</v>
      </c>
      <c r="B10" s="20" t="s">
        <v>5</v>
      </c>
      <c r="C10" s="173">
        <v>35600</v>
      </c>
      <c r="D10" s="227">
        <v>35600</v>
      </c>
      <c r="E10" s="34">
        <v>0</v>
      </c>
      <c r="F10" s="45">
        <f>E10/D10</f>
        <v>0</v>
      </c>
      <c r="G10" s="148">
        <v>0</v>
      </c>
      <c r="H10" s="45">
        <f>G10/D10</f>
        <v>0</v>
      </c>
      <c r="I10" s="148">
        <v>0</v>
      </c>
      <c r="J10" s="165">
        <f>I10/D10</f>
        <v>0</v>
      </c>
      <c r="K10" s="147"/>
      <c r="L10" s="49"/>
      <c r="M10" s="232" t="s">
        <v>135</v>
      </c>
    </row>
    <row r="11" spans="1:13" ht="15" customHeight="1" x14ac:dyDescent="0.2">
      <c r="A11" s="24">
        <v>7</v>
      </c>
      <c r="B11" s="24" t="s">
        <v>6</v>
      </c>
      <c r="C11" s="173"/>
      <c r="D11" s="228"/>
      <c r="E11" s="34"/>
      <c r="F11" s="46" t="s">
        <v>135</v>
      </c>
      <c r="G11" s="148"/>
      <c r="H11" s="46" t="s">
        <v>135</v>
      </c>
      <c r="I11" s="148"/>
      <c r="J11" s="246" t="s">
        <v>135</v>
      </c>
      <c r="K11" s="148"/>
      <c r="L11" s="51"/>
      <c r="M11" s="238" t="s">
        <v>135</v>
      </c>
    </row>
    <row r="12" spans="1:13" ht="15" customHeight="1" x14ac:dyDescent="0.2">
      <c r="A12" s="9"/>
      <c r="B12" s="2" t="s">
        <v>7</v>
      </c>
      <c r="C12" s="174">
        <f>SUM(C10:C11)</f>
        <v>35600</v>
      </c>
      <c r="D12" s="164">
        <f t="shared" ref="D12:I12" si="1">SUM(D10:D11)</f>
        <v>35600</v>
      </c>
      <c r="E12" s="85">
        <f t="shared" si="1"/>
        <v>0</v>
      </c>
      <c r="F12" s="91">
        <f>E12/D12</f>
        <v>0</v>
      </c>
      <c r="G12" s="85">
        <f t="shared" si="1"/>
        <v>0</v>
      </c>
      <c r="H12" s="91">
        <f>G12/D12</f>
        <v>0</v>
      </c>
      <c r="I12" s="85">
        <f t="shared" si="1"/>
        <v>0</v>
      </c>
      <c r="J12" s="183">
        <f>I12/D12</f>
        <v>0</v>
      </c>
      <c r="K12" s="85">
        <f>SUM(K10:K11)</f>
        <v>0</v>
      </c>
      <c r="L12" s="40" t="s">
        <v>135</v>
      </c>
      <c r="M12" s="236" t="s">
        <v>135</v>
      </c>
    </row>
    <row r="13" spans="1:13" ht="15" customHeight="1" x14ac:dyDescent="0.2">
      <c r="A13" s="20">
        <v>8</v>
      </c>
      <c r="B13" s="20" t="s">
        <v>8</v>
      </c>
      <c r="C13" s="171"/>
      <c r="D13" s="226"/>
      <c r="E13" s="30"/>
      <c r="F13" s="45" t="s">
        <v>135</v>
      </c>
      <c r="G13" s="30"/>
      <c r="H13" s="45" t="s">
        <v>135</v>
      </c>
      <c r="I13" s="30"/>
      <c r="J13" s="165" t="s">
        <v>135</v>
      </c>
      <c r="K13" s="30"/>
      <c r="L13" s="49" t="s">
        <v>135</v>
      </c>
      <c r="M13" s="232" t="s">
        <v>135</v>
      </c>
    </row>
    <row r="14" spans="1:13" ht="15" customHeight="1" x14ac:dyDescent="0.2">
      <c r="A14" s="24">
        <v>9</v>
      </c>
      <c r="B14" s="24" t="s">
        <v>9</v>
      </c>
      <c r="C14" s="173"/>
      <c r="D14" s="228"/>
      <c r="E14" s="34"/>
      <c r="F14" s="28" t="s">
        <v>135</v>
      </c>
      <c r="G14" s="34"/>
      <c r="H14" s="28" t="s">
        <v>135</v>
      </c>
      <c r="I14" s="34"/>
      <c r="J14" s="251" t="s">
        <v>135</v>
      </c>
      <c r="K14" s="34"/>
      <c r="L14" s="51" t="s">
        <v>135</v>
      </c>
      <c r="M14" s="238" t="s">
        <v>135</v>
      </c>
    </row>
    <row r="15" spans="1:13" ht="15" customHeight="1" thickBot="1" x14ac:dyDescent="0.25">
      <c r="A15" s="9"/>
      <c r="B15" s="2" t="s">
        <v>10</v>
      </c>
      <c r="C15" s="174">
        <f>SUM(C13:C14)</f>
        <v>0</v>
      </c>
      <c r="D15" s="164">
        <f t="shared" ref="D15:I15" si="2">SUM(D13:D14)</f>
        <v>0</v>
      </c>
      <c r="E15" s="362">
        <f>E13+E14</f>
        <v>0</v>
      </c>
      <c r="F15" s="91" t="s">
        <v>135</v>
      </c>
      <c r="G15" s="101">
        <f t="shared" si="2"/>
        <v>0</v>
      </c>
      <c r="H15" s="91" t="s">
        <v>135</v>
      </c>
      <c r="I15" s="85">
        <f t="shared" si="2"/>
        <v>0</v>
      </c>
      <c r="J15" s="183" t="s">
        <v>135</v>
      </c>
      <c r="K15" s="85">
        <f>SUM(K13:K14)</f>
        <v>0</v>
      </c>
      <c r="L15" s="40" t="s">
        <v>135</v>
      </c>
      <c r="M15" s="256" t="s">
        <v>135</v>
      </c>
    </row>
    <row r="16" spans="1:13" s="6" customFormat="1" ht="19.5" customHeight="1" thickBot="1" x14ac:dyDescent="0.25">
      <c r="A16" s="5"/>
      <c r="B16" s="4" t="s">
        <v>11</v>
      </c>
      <c r="C16" s="175">
        <f>+C9+C12+C15</f>
        <v>129158476.34</v>
      </c>
      <c r="D16" s="166">
        <f t="shared" ref="D16:I16" si="3">+D9+D12+D15</f>
        <v>130730391.77000001</v>
      </c>
      <c r="E16" s="167">
        <f t="shared" si="3"/>
        <v>53063139.370000005</v>
      </c>
      <c r="F16" s="195">
        <f>E16/D16</f>
        <v>0.40589750135038549</v>
      </c>
      <c r="G16" s="167">
        <f t="shared" si="3"/>
        <v>47064633.439999998</v>
      </c>
      <c r="H16" s="195">
        <f>G16/D16</f>
        <v>0.36001294574870524</v>
      </c>
      <c r="I16" s="167">
        <f t="shared" si="3"/>
        <v>5015062.0199999996</v>
      </c>
      <c r="J16" s="187">
        <f>I16/D16</f>
        <v>3.8361867903090423E-2</v>
      </c>
      <c r="K16" s="158">
        <f>K9+K12+K15</f>
        <v>6409351</v>
      </c>
      <c r="L16" s="492">
        <v>7.3999999999999996E-2</v>
      </c>
      <c r="M16" s="201">
        <f>+I16/K16-1</f>
        <v>-0.21753980707251019</v>
      </c>
    </row>
  </sheetData>
  <mergeCells count="2">
    <mergeCell ref="K2:L2"/>
    <mergeCell ref="D2:J2"/>
  </mergeCells>
  <printOptions horizontalCentered="1"/>
  <pageMargins left="0.51181102362204722" right="0.51181102362204722" top="1.3385826771653544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Gener
&amp;R&amp;"Arial,Negreta"&amp;8&amp;K03+000Direcció de Pressupostos i Política Fiscal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M17"/>
  <sheetViews>
    <sheetView topLeftCell="A4" zoomScaleNormal="100" workbookViewId="0">
      <selection activeCell="M4" sqref="M4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3" bestFit="1" customWidth="1"/>
    <col min="6" max="6" width="6.28515625" style="98" customWidth="1"/>
    <col min="7" max="7" width="11.5703125" style="43" bestFit="1" customWidth="1"/>
    <col min="8" max="8" width="6.28515625" style="98" customWidth="1"/>
    <col min="9" max="9" width="12.28515625" style="43" customWidth="1"/>
    <col min="10" max="10" width="6.28515625" style="98" customWidth="1"/>
    <col min="11" max="11" width="11.5703125" style="43" bestFit="1" customWidth="1"/>
    <col min="12" max="12" width="6.28515625" style="98" customWidth="1"/>
    <col min="13" max="13" width="8.42578125" style="98" bestFit="1" customWidth="1"/>
  </cols>
  <sheetData>
    <row r="1" spans="1:13" ht="15.75" thickBot="1" x14ac:dyDescent="0.3">
      <c r="A1" s="7" t="s">
        <v>133</v>
      </c>
    </row>
    <row r="2" spans="1:13" x14ac:dyDescent="0.2">
      <c r="A2" s="8" t="s">
        <v>20</v>
      </c>
      <c r="C2" s="176" t="s">
        <v>512</v>
      </c>
      <c r="D2" s="650" t="s">
        <v>510</v>
      </c>
      <c r="E2" s="648"/>
      <c r="F2" s="648"/>
      <c r="G2" s="648"/>
      <c r="H2" s="648"/>
      <c r="I2" s="648"/>
      <c r="J2" s="649"/>
      <c r="K2" s="644" t="s">
        <v>511</v>
      </c>
      <c r="L2" s="645"/>
      <c r="M2" s="219"/>
    </row>
    <row r="3" spans="1:13" x14ac:dyDescent="0.2">
      <c r="C3" s="169">
        <v>1</v>
      </c>
      <c r="D3" s="243">
        <v>2</v>
      </c>
      <c r="E3" s="241">
        <v>3</v>
      </c>
      <c r="F3" s="89" t="s">
        <v>39</v>
      </c>
      <c r="G3" s="241">
        <v>4</v>
      </c>
      <c r="H3" s="89" t="s">
        <v>40</v>
      </c>
      <c r="I3" s="241">
        <v>5</v>
      </c>
      <c r="J3" s="160" t="s">
        <v>41</v>
      </c>
      <c r="K3" s="241" t="s">
        <v>42</v>
      </c>
      <c r="L3" s="16" t="s">
        <v>43</v>
      </c>
      <c r="M3" s="150" t="s">
        <v>368</v>
      </c>
    </row>
    <row r="4" spans="1:13" ht="25.5" x14ac:dyDescent="0.2">
      <c r="A4" s="1"/>
      <c r="B4" s="2" t="s">
        <v>12</v>
      </c>
      <c r="C4" s="170" t="s">
        <v>13</v>
      </c>
      <c r="D4" s="244" t="s">
        <v>14</v>
      </c>
      <c r="E4" s="242" t="s">
        <v>15</v>
      </c>
      <c r="F4" s="90" t="s">
        <v>18</v>
      </c>
      <c r="G4" s="242" t="s">
        <v>16</v>
      </c>
      <c r="H4" s="90" t="s">
        <v>18</v>
      </c>
      <c r="I4" s="242" t="s">
        <v>17</v>
      </c>
      <c r="J4" s="121" t="s">
        <v>18</v>
      </c>
      <c r="K4" s="242" t="s">
        <v>17</v>
      </c>
      <c r="L4" s="12" t="s">
        <v>18</v>
      </c>
      <c r="M4" s="151" t="s">
        <v>553</v>
      </c>
    </row>
    <row r="5" spans="1:13" ht="15" customHeight="1" x14ac:dyDescent="0.2">
      <c r="A5" s="20">
        <v>1</v>
      </c>
      <c r="B5" s="20" t="s">
        <v>0</v>
      </c>
      <c r="C5" s="171">
        <v>10444917.35</v>
      </c>
      <c r="D5" s="226">
        <v>9094887.6400000006</v>
      </c>
      <c r="E5" s="30">
        <v>130976.22</v>
      </c>
      <c r="F5" s="45">
        <f>E5/D5</f>
        <v>1.4401081704842259E-2</v>
      </c>
      <c r="G5" s="30">
        <v>130976.22</v>
      </c>
      <c r="H5" s="45">
        <f>G5/D5</f>
        <v>1.4401081704842259E-2</v>
      </c>
      <c r="I5" s="30">
        <v>130976.22</v>
      </c>
      <c r="J5" s="165">
        <f>I5/D5</f>
        <v>1.4401081704842259E-2</v>
      </c>
      <c r="K5" s="30">
        <v>123694</v>
      </c>
      <c r="L5" s="49">
        <v>1.9E-2</v>
      </c>
      <c r="M5" s="232">
        <f>+I5/K5-1</f>
        <v>5.8872863679725773E-2</v>
      </c>
    </row>
    <row r="6" spans="1:13" ht="15" customHeight="1" x14ac:dyDescent="0.2">
      <c r="A6" s="22">
        <v>2</v>
      </c>
      <c r="B6" s="22" t="s">
        <v>1</v>
      </c>
      <c r="C6" s="171">
        <v>4077215.92</v>
      </c>
      <c r="D6" s="226">
        <v>4077215.92</v>
      </c>
      <c r="E6" s="30">
        <v>868641.49</v>
      </c>
      <c r="F6" s="45">
        <f t="shared" ref="F6:F17" si="0">E6/D6</f>
        <v>0.21304770388515504</v>
      </c>
      <c r="G6" s="30">
        <v>868641.49</v>
      </c>
      <c r="H6" s="295">
        <f t="shared" ref="H6:H17" si="1">G6/D6</f>
        <v>0.21304770388515504</v>
      </c>
      <c r="I6" s="30">
        <v>18641.490000000002</v>
      </c>
      <c r="J6" s="192">
        <f t="shared" ref="J6:J17" si="2">I6/D6</f>
        <v>4.572112531141103E-3</v>
      </c>
      <c r="K6" s="32">
        <v>0</v>
      </c>
      <c r="L6" s="354">
        <v>0</v>
      </c>
      <c r="M6" s="233"/>
    </row>
    <row r="7" spans="1:13" ht="15" customHeight="1" x14ac:dyDescent="0.2">
      <c r="A7" s="22">
        <v>3</v>
      </c>
      <c r="B7" s="22" t="s">
        <v>2</v>
      </c>
      <c r="C7" s="171">
        <v>34707752.200000003</v>
      </c>
      <c r="D7" s="226">
        <v>34707752.200000003</v>
      </c>
      <c r="E7" s="30">
        <v>4002291.22</v>
      </c>
      <c r="F7" s="45">
        <f t="shared" si="0"/>
        <v>0.11531404272270908</v>
      </c>
      <c r="G7" s="30">
        <v>4002291.22</v>
      </c>
      <c r="H7" s="295">
        <f t="shared" si="1"/>
        <v>0.11531404272270908</v>
      </c>
      <c r="I7" s="30">
        <v>4002291.22</v>
      </c>
      <c r="J7" s="192">
        <f t="shared" si="2"/>
        <v>0.11531404272270908</v>
      </c>
      <c r="K7" s="32">
        <v>7758690</v>
      </c>
      <c r="L7" s="49">
        <v>0.187</v>
      </c>
      <c r="M7" s="234">
        <f t="shared" ref="M7:M17" si="3">+I7/K7-1</f>
        <v>-0.48415373987103494</v>
      </c>
    </row>
    <row r="8" spans="1:13" ht="15" customHeight="1" x14ac:dyDescent="0.2">
      <c r="A8" s="24">
        <v>4</v>
      </c>
      <c r="B8" s="24" t="s">
        <v>3</v>
      </c>
      <c r="C8" s="171">
        <v>280876027.86000001</v>
      </c>
      <c r="D8" s="226">
        <v>280876027.86000001</v>
      </c>
      <c r="E8" s="30">
        <v>192308819.99000001</v>
      </c>
      <c r="F8" s="433">
        <f t="shared" si="0"/>
        <v>0.68467509119665604</v>
      </c>
      <c r="G8" s="30">
        <v>192308819.99000001</v>
      </c>
      <c r="H8" s="433">
        <f t="shared" si="1"/>
        <v>0.68467509119665604</v>
      </c>
      <c r="I8" s="30">
        <v>18673720.84</v>
      </c>
      <c r="J8" s="434">
        <f t="shared" si="2"/>
        <v>6.6483854041498119E-2</v>
      </c>
      <c r="K8" s="34">
        <v>19450489</v>
      </c>
      <c r="L8" s="354">
        <v>7.9000000000000001E-2</v>
      </c>
      <c r="M8" s="494">
        <f t="shared" si="3"/>
        <v>-3.9935662285919937E-2</v>
      </c>
    </row>
    <row r="9" spans="1:13" ht="15" customHeight="1" x14ac:dyDescent="0.2">
      <c r="A9" s="54">
        <v>5</v>
      </c>
      <c r="B9" s="54" t="s">
        <v>487</v>
      </c>
      <c r="C9" s="171">
        <v>3627500</v>
      </c>
      <c r="D9" s="226">
        <v>1500000</v>
      </c>
      <c r="E9" s="30">
        <v>0</v>
      </c>
      <c r="F9" s="79">
        <f t="shared" si="0"/>
        <v>0</v>
      </c>
      <c r="G9" s="30">
        <v>0</v>
      </c>
      <c r="H9" s="79">
        <f t="shared" si="1"/>
        <v>0</v>
      </c>
      <c r="I9" s="30">
        <v>0</v>
      </c>
      <c r="J9" s="186">
        <f t="shared" si="2"/>
        <v>0</v>
      </c>
      <c r="K9" s="241">
        <v>0</v>
      </c>
      <c r="L9" s="56">
        <v>0</v>
      </c>
      <c r="M9" s="274" t="s">
        <v>135</v>
      </c>
    </row>
    <row r="10" spans="1:13" ht="15" customHeight="1" x14ac:dyDescent="0.2">
      <c r="A10" s="9"/>
      <c r="B10" s="2" t="s">
        <v>4</v>
      </c>
      <c r="C10" s="174">
        <f>SUM(C5:C9)</f>
        <v>333733413.33000004</v>
      </c>
      <c r="D10" s="164">
        <f t="shared" ref="D10:E10" si="4">SUM(D5:D9)</f>
        <v>330255883.62</v>
      </c>
      <c r="E10" s="85">
        <f t="shared" si="4"/>
        <v>197310728.92000002</v>
      </c>
      <c r="F10" s="91">
        <f t="shared" si="0"/>
        <v>0.597448035617831</v>
      </c>
      <c r="G10" s="85">
        <f>SUM(G5:G9)</f>
        <v>197310728.92000002</v>
      </c>
      <c r="H10" s="91">
        <f t="shared" si="1"/>
        <v>0.597448035617831</v>
      </c>
      <c r="I10" s="85">
        <f>SUM(I5:I9)</f>
        <v>22825629.77</v>
      </c>
      <c r="J10" s="183">
        <f t="shared" si="2"/>
        <v>6.9114982963524405E-2</v>
      </c>
      <c r="K10" s="85">
        <f>SUM(K5:K9)</f>
        <v>27332873</v>
      </c>
      <c r="L10" s="40">
        <v>8.3000000000000004E-2</v>
      </c>
      <c r="M10" s="155">
        <f t="shared" si="3"/>
        <v>-0.16490191975062407</v>
      </c>
    </row>
    <row r="11" spans="1:13" ht="15" customHeight="1" x14ac:dyDescent="0.2">
      <c r="A11" s="20">
        <v>6</v>
      </c>
      <c r="B11" s="20" t="s">
        <v>5</v>
      </c>
      <c r="C11" s="171">
        <v>315702537.30000001</v>
      </c>
      <c r="D11" s="226">
        <v>301396925.00999999</v>
      </c>
      <c r="E11" s="30">
        <v>52739955.740000002</v>
      </c>
      <c r="F11" s="45">
        <f t="shared" si="0"/>
        <v>0.17498504916150073</v>
      </c>
      <c r="G11" s="30">
        <v>52739955.740000002</v>
      </c>
      <c r="H11" s="45">
        <f t="shared" si="1"/>
        <v>0.17498504916150073</v>
      </c>
      <c r="I11" s="30">
        <v>20000000</v>
      </c>
      <c r="J11" s="165">
        <f t="shared" si="2"/>
        <v>6.635767766819925E-2</v>
      </c>
      <c r="K11" s="147">
        <v>0</v>
      </c>
      <c r="L11" s="49">
        <v>0</v>
      </c>
      <c r="M11" s="248"/>
    </row>
    <row r="12" spans="1:13" ht="15" customHeight="1" x14ac:dyDescent="0.2">
      <c r="A12" s="24">
        <v>7</v>
      </c>
      <c r="B12" s="24" t="s">
        <v>6</v>
      </c>
      <c r="C12" s="171">
        <v>9655572.5500000007</v>
      </c>
      <c r="D12" s="226">
        <v>8907972.5500000007</v>
      </c>
      <c r="E12" s="30">
        <v>0</v>
      </c>
      <c r="F12" s="433">
        <f t="shared" si="0"/>
        <v>0</v>
      </c>
      <c r="G12" s="30">
        <v>0</v>
      </c>
      <c r="H12" s="433">
        <f t="shared" si="1"/>
        <v>0</v>
      </c>
      <c r="I12" s="30">
        <v>0</v>
      </c>
      <c r="J12" s="434">
        <f t="shared" si="2"/>
        <v>0</v>
      </c>
      <c r="K12" s="148">
        <v>0</v>
      </c>
      <c r="L12" s="354">
        <v>0</v>
      </c>
      <c r="M12" s="248"/>
    </row>
    <row r="13" spans="1:13" ht="15" customHeight="1" x14ac:dyDescent="0.2">
      <c r="A13" s="9"/>
      <c r="B13" s="2" t="s">
        <v>7</v>
      </c>
      <c r="C13" s="174">
        <f>SUM(C11:C12)</f>
        <v>325358109.85000002</v>
      </c>
      <c r="D13" s="164">
        <f t="shared" ref="D13:I13" si="5">SUM(D11:D12)</f>
        <v>310304897.56</v>
      </c>
      <c r="E13" s="85">
        <f t="shared" si="5"/>
        <v>52739955.740000002</v>
      </c>
      <c r="F13" s="91">
        <f t="shared" si="0"/>
        <v>0.16996172524090536</v>
      </c>
      <c r="G13" s="85">
        <f t="shared" si="5"/>
        <v>52739955.740000002</v>
      </c>
      <c r="H13" s="91">
        <f t="shared" si="1"/>
        <v>0.16996172524090536</v>
      </c>
      <c r="I13" s="85">
        <f t="shared" si="5"/>
        <v>20000000</v>
      </c>
      <c r="J13" s="183">
        <f t="shared" si="2"/>
        <v>6.4452737153891798E-2</v>
      </c>
      <c r="K13" s="85">
        <f>SUM(K11:K12)</f>
        <v>0</v>
      </c>
      <c r="L13" s="40">
        <v>0</v>
      </c>
      <c r="M13" s="271"/>
    </row>
    <row r="14" spans="1:13" ht="15" customHeight="1" x14ac:dyDescent="0.2">
      <c r="A14" s="20">
        <v>8</v>
      </c>
      <c r="B14" s="20" t="s">
        <v>8</v>
      </c>
      <c r="C14" s="171">
        <v>21421544.140000001</v>
      </c>
      <c r="D14" s="226">
        <v>21421544.140000001</v>
      </c>
      <c r="E14" s="30">
        <v>0</v>
      </c>
      <c r="F14" s="45">
        <f t="shared" si="0"/>
        <v>0</v>
      </c>
      <c r="G14" s="30">
        <v>0</v>
      </c>
      <c r="H14" s="45">
        <f t="shared" si="1"/>
        <v>0</v>
      </c>
      <c r="I14" s="30">
        <v>0</v>
      </c>
      <c r="J14" s="165">
        <f t="shared" si="2"/>
        <v>0</v>
      </c>
      <c r="K14" s="147">
        <v>7821544</v>
      </c>
      <c r="L14" s="49">
        <v>6.7000000000000004E-2</v>
      </c>
      <c r="M14" s="248">
        <f t="shared" si="3"/>
        <v>-1</v>
      </c>
    </row>
    <row r="15" spans="1:13" ht="15" customHeight="1" x14ac:dyDescent="0.2">
      <c r="A15" s="24">
        <v>9</v>
      </c>
      <c r="B15" s="24" t="s">
        <v>9</v>
      </c>
      <c r="C15" s="171">
        <v>159183736.81</v>
      </c>
      <c r="D15" s="226">
        <v>159183736.81</v>
      </c>
      <c r="E15" s="30">
        <v>82483495.569999993</v>
      </c>
      <c r="F15" s="433">
        <f t="shared" si="0"/>
        <v>0.51816534291094951</v>
      </c>
      <c r="G15" s="30">
        <v>82483495.569999993</v>
      </c>
      <c r="H15" s="433">
        <f t="shared" si="1"/>
        <v>0.51816534291094951</v>
      </c>
      <c r="I15" s="30">
        <v>82483495.569999993</v>
      </c>
      <c r="J15" s="434">
        <f t="shared" si="2"/>
        <v>0.51816534291094951</v>
      </c>
      <c r="K15" s="148">
        <v>24982681</v>
      </c>
      <c r="L15" s="354">
        <v>0.19</v>
      </c>
      <c r="M15" s="154">
        <f t="shared" si="3"/>
        <v>2.3016270579606726</v>
      </c>
    </row>
    <row r="16" spans="1:13" ht="15" customHeight="1" thickBot="1" x14ac:dyDescent="0.25">
      <c r="A16" s="9"/>
      <c r="B16" s="2" t="s">
        <v>10</v>
      </c>
      <c r="C16" s="174">
        <f>SUM(C14:C15)</f>
        <v>180605280.94999999</v>
      </c>
      <c r="D16" s="164">
        <f t="shared" ref="D16:I16" si="6">SUM(D14:D15)</f>
        <v>180605280.94999999</v>
      </c>
      <c r="E16" s="85">
        <f t="shared" si="6"/>
        <v>82483495.569999993</v>
      </c>
      <c r="F16" s="91">
        <f t="shared" si="0"/>
        <v>0.45670588997248257</v>
      </c>
      <c r="G16" s="85">
        <f t="shared" si="6"/>
        <v>82483495.569999993</v>
      </c>
      <c r="H16" s="91">
        <f t="shared" si="1"/>
        <v>0.45670588997248257</v>
      </c>
      <c r="I16" s="85">
        <f t="shared" si="6"/>
        <v>82483495.569999993</v>
      </c>
      <c r="J16" s="183">
        <f t="shared" si="2"/>
        <v>0.45670588997248257</v>
      </c>
      <c r="K16" s="85">
        <f>SUM(K14:K15)</f>
        <v>32804225</v>
      </c>
      <c r="L16" s="40">
        <v>0.13200000000000001</v>
      </c>
      <c r="M16" s="256">
        <f t="shared" si="3"/>
        <v>1.5144168341120694</v>
      </c>
    </row>
    <row r="17" spans="1:13" s="6" customFormat="1" ht="19.5" customHeight="1" thickBot="1" x14ac:dyDescent="0.25">
      <c r="A17" s="5"/>
      <c r="B17" s="4" t="s">
        <v>11</v>
      </c>
      <c r="C17" s="175">
        <f>+C10+C13+C16</f>
        <v>839696804.13000011</v>
      </c>
      <c r="D17" s="166">
        <f t="shared" ref="D17:I17" si="7">+D10+D13+D16</f>
        <v>821166062.13000011</v>
      </c>
      <c r="E17" s="167">
        <f t="shared" si="7"/>
        <v>332534180.23000002</v>
      </c>
      <c r="F17" s="195">
        <f t="shared" si="0"/>
        <v>0.4049536330903018</v>
      </c>
      <c r="G17" s="167">
        <f t="shared" si="7"/>
        <v>332534180.23000002</v>
      </c>
      <c r="H17" s="195">
        <f t="shared" si="1"/>
        <v>0.4049536330903018</v>
      </c>
      <c r="I17" s="167">
        <f t="shared" si="7"/>
        <v>125309125.33999999</v>
      </c>
      <c r="J17" s="187">
        <f t="shared" si="2"/>
        <v>0.15259900660648845</v>
      </c>
      <c r="K17" s="158">
        <f>K10+K13+K16</f>
        <v>60137098</v>
      </c>
      <c r="L17" s="204">
        <v>6.5000000000000002E-2</v>
      </c>
      <c r="M17" s="201">
        <f t="shared" si="3"/>
        <v>1.0837241820348562</v>
      </c>
    </row>
  </sheetData>
  <mergeCells count="2">
    <mergeCell ref="K2:L2"/>
    <mergeCell ref="D2:J2"/>
  </mergeCells>
  <printOptions horizontalCentered="1"/>
  <pageMargins left="0.51181102362204722" right="0.51181102362204722" top="1.3385826771653544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Gener
&amp;R&amp;"Arial,Negreta"&amp;8&amp;K03+000Direcció de Pressupostos i Política Fiscal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M21"/>
  <sheetViews>
    <sheetView zoomScaleNormal="100" workbookViewId="0">
      <selection activeCell="M4" sqref="M4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4" width="11.5703125" style="43" bestFit="1" customWidth="1"/>
    <col min="5" max="5" width="11" style="43" customWidth="1"/>
    <col min="6" max="6" width="6.28515625" style="98" customWidth="1"/>
    <col min="7" max="7" width="11.5703125" style="43" bestFit="1" customWidth="1"/>
    <col min="8" max="8" width="6.28515625" style="98" customWidth="1"/>
    <col min="9" max="9" width="11.5703125" style="43" bestFit="1" customWidth="1"/>
    <col min="10" max="10" width="6.28515625" style="98" customWidth="1"/>
    <col min="11" max="11" width="11.5703125" style="43" bestFit="1" customWidth="1"/>
    <col min="12" max="12" width="6.28515625" style="98" customWidth="1"/>
    <col min="13" max="13" width="8.28515625" style="98" bestFit="1" customWidth="1"/>
  </cols>
  <sheetData>
    <row r="1" spans="1:13" ht="15.75" thickBot="1" x14ac:dyDescent="0.3">
      <c r="A1" s="7" t="s">
        <v>440</v>
      </c>
    </row>
    <row r="2" spans="1:13" x14ac:dyDescent="0.2">
      <c r="A2" s="8" t="s">
        <v>20</v>
      </c>
      <c r="C2" s="176" t="s">
        <v>512</v>
      </c>
      <c r="D2" s="650" t="s">
        <v>510</v>
      </c>
      <c r="E2" s="648"/>
      <c r="F2" s="648"/>
      <c r="G2" s="648"/>
      <c r="H2" s="648"/>
      <c r="I2" s="648"/>
      <c r="J2" s="649"/>
      <c r="K2" s="644" t="s">
        <v>511</v>
      </c>
      <c r="L2" s="645"/>
      <c r="M2" s="219"/>
    </row>
    <row r="3" spans="1:13" x14ac:dyDescent="0.2">
      <c r="C3" s="169">
        <v>1</v>
      </c>
      <c r="D3" s="243">
        <v>2</v>
      </c>
      <c r="E3" s="241">
        <v>3</v>
      </c>
      <c r="F3" s="89" t="s">
        <v>39</v>
      </c>
      <c r="G3" s="241">
        <v>4</v>
      </c>
      <c r="H3" s="89" t="s">
        <v>40</v>
      </c>
      <c r="I3" s="241">
        <v>5</v>
      </c>
      <c r="J3" s="160" t="s">
        <v>41</v>
      </c>
      <c r="K3" s="241" t="s">
        <v>42</v>
      </c>
      <c r="L3" s="16" t="s">
        <v>43</v>
      </c>
      <c r="M3" s="150" t="s">
        <v>368</v>
      </c>
    </row>
    <row r="4" spans="1:13" ht="25.5" x14ac:dyDescent="0.2">
      <c r="A4" s="1"/>
      <c r="B4" s="2" t="s">
        <v>12</v>
      </c>
      <c r="C4" s="170" t="s">
        <v>13</v>
      </c>
      <c r="D4" s="244" t="s">
        <v>14</v>
      </c>
      <c r="E4" s="242" t="s">
        <v>15</v>
      </c>
      <c r="F4" s="90" t="s">
        <v>18</v>
      </c>
      <c r="G4" s="242" t="s">
        <v>16</v>
      </c>
      <c r="H4" s="90" t="s">
        <v>18</v>
      </c>
      <c r="I4" s="242" t="s">
        <v>17</v>
      </c>
      <c r="J4" s="121" t="s">
        <v>18</v>
      </c>
      <c r="K4" s="242" t="s">
        <v>17</v>
      </c>
      <c r="L4" s="12" t="s">
        <v>18</v>
      </c>
      <c r="M4" s="151" t="s">
        <v>553</v>
      </c>
    </row>
    <row r="5" spans="1:13" ht="15" customHeight="1" x14ac:dyDescent="0.2">
      <c r="A5" s="20">
        <v>1</v>
      </c>
      <c r="B5" s="20" t="s">
        <v>0</v>
      </c>
      <c r="C5" s="171">
        <v>348042.97</v>
      </c>
      <c r="D5" s="226">
        <v>317368.88</v>
      </c>
      <c r="E5" s="34">
        <v>31796.13</v>
      </c>
      <c r="F5" s="45">
        <f>E5/D5</f>
        <v>0.10018666606505339</v>
      </c>
      <c r="G5" s="34">
        <v>31796.13</v>
      </c>
      <c r="H5" s="45">
        <f>G5/D5</f>
        <v>0.10018666606505339</v>
      </c>
      <c r="I5" s="34">
        <v>31796.13</v>
      </c>
      <c r="J5" s="165">
        <f>I5/D5</f>
        <v>0.10018666606505339</v>
      </c>
      <c r="K5" s="30">
        <v>26888</v>
      </c>
      <c r="L5" s="49">
        <v>7.6999999999999999E-2</v>
      </c>
      <c r="M5" s="232">
        <f>+I5/K5-1</f>
        <v>0.18253979470395709</v>
      </c>
    </row>
    <row r="6" spans="1:13" ht="15" customHeight="1" x14ac:dyDescent="0.2">
      <c r="A6" s="22">
        <v>2</v>
      </c>
      <c r="B6" s="22" t="s">
        <v>1</v>
      </c>
      <c r="C6" s="171">
        <v>50</v>
      </c>
      <c r="D6" s="226">
        <v>50</v>
      </c>
      <c r="E6" s="34">
        <v>0</v>
      </c>
      <c r="F6" s="45" t="s">
        <v>135</v>
      </c>
      <c r="G6" s="34"/>
      <c r="H6" s="45" t="s">
        <v>135</v>
      </c>
      <c r="I6" s="34"/>
      <c r="J6" s="165" t="s">
        <v>135</v>
      </c>
      <c r="K6" s="32"/>
      <c r="L6" s="50"/>
      <c r="M6" s="232" t="s">
        <v>135</v>
      </c>
    </row>
    <row r="7" spans="1:13" ht="15" customHeight="1" x14ac:dyDescent="0.2">
      <c r="A7" s="22">
        <v>3</v>
      </c>
      <c r="B7" s="22" t="s">
        <v>2</v>
      </c>
      <c r="C7" s="171"/>
      <c r="D7" s="226"/>
      <c r="E7" s="34"/>
      <c r="F7" s="26" t="s">
        <v>135</v>
      </c>
      <c r="G7" s="34"/>
      <c r="H7" s="26" t="s">
        <v>135</v>
      </c>
      <c r="I7" s="34"/>
      <c r="J7" s="255" t="s">
        <v>135</v>
      </c>
      <c r="K7" s="32"/>
      <c r="L7" s="50"/>
      <c r="M7" s="234" t="s">
        <v>135</v>
      </c>
    </row>
    <row r="8" spans="1:13" ht="15" customHeight="1" x14ac:dyDescent="0.2">
      <c r="A8" s="24">
        <v>4</v>
      </c>
      <c r="B8" s="24" t="s">
        <v>3</v>
      </c>
      <c r="C8" s="171">
        <v>209552292.66</v>
      </c>
      <c r="D8" s="226">
        <v>210052292.66</v>
      </c>
      <c r="E8" s="34">
        <v>198283132.55000001</v>
      </c>
      <c r="F8" s="433">
        <f>E8/D8</f>
        <v>0.94397033252548179</v>
      </c>
      <c r="G8" s="34">
        <v>198283132.55000001</v>
      </c>
      <c r="H8" s="433">
        <f>G8/D8</f>
        <v>0.94397033252548179</v>
      </c>
      <c r="I8" s="34">
        <v>36220000</v>
      </c>
      <c r="J8" s="434">
        <f>I8/D8</f>
        <v>0.17243325241218532</v>
      </c>
      <c r="K8" s="34">
        <v>34114713</v>
      </c>
      <c r="L8" s="354">
        <v>0.16600000000000001</v>
      </c>
      <c r="M8" s="494">
        <f>+I8/K8-1</f>
        <v>6.1711995056209279E-2</v>
      </c>
    </row>
    <row r="9" spans="1:13" ht="15" customHeight="1" x14ac:dyDescent="0.2">
      <c r="A9" s="9"/>
      <c r="B9" s="2" t="s">
        <v>4</v>
      </c>
      <c r="C9" s="174">
        <f>SUM(C5:C8)</f>
        <v>209900385.63</v>
      </c>
      <c r="D9" s="164">
        <f>SUM(D5:D8)</f>
        <v>210369711.53999999</v>
      </c>
      <c r="E9" s="85">
        <f>SUM(E5:E8)</f>
        <v>198314928.68000001</v>
      </c>
      <c r="F9" s="91">
        <f>E9/D9</f>
        <v>0.94269715553748867</v>
      </c>
      <c r="G9" s="85">
        <f t="shared" ref="G9:I9" si="0">SUM(G5:G8)</f>
        <v>198314928.68000001</v>
      </c>
      <c r="H9" s="91">
        <f>G9/D9</f>
        <v>0.94269715553748867</v>
      </c>
      <c r="I9" s="85">
        <f t="shared" si="0"/>
        <v>36251796.130000003</v>
      </c>
      <c r="J9" s="183">
        <f>I9/D9</f>
        <v>0.17232421846577015</v>
      </c>
      <c r="K9" s="85">
        <f>SUM(K5:K8)</f>
        <v>34141601</v>
      </c>
      <c r="L9" s="40">
        <v>0.16600000000000001</v>
      </c>
      <c r="M9" s="155">
        <f>+I9/K9-1</f>
        <v>6.1807152218784411E-2</v>
      </c>
    </row>
    <row r="10" spans="1:13" ht="15" customHeight="1" x14ac:dyDescent="0.2">
      <c r="A10" s="20">
        <v>6</v>
      </c>
      <c r="B10" s="20" t="s">
        <v>5</v>
      </c>
      <c r="C10" s="171"/>
      <c r="D10" s="226"/>
      <c r="E10" s="30"/>
      <c r="F10" s="27" t="s">
        <v>135</v>
      </c>
      <c r="G10" s="147"/>
      <c r="H10" s="27" t="s">
        <v>135</v>
      </c>
      <c r="I10" s="147"/>
      <c r="J10" s="250" t="s">
        <v>135</v>
      </c>
      <c r="K10" s="147"/>
      <c r="L10" s="49"/>
      <c r="M10" s="152" t="s">
        <v>135</v>
      </c>
    </row>
    <row r="11" spans="1:13" ht="15" customHeight="1" x14ac:dyDescent="0.2">
      <c r="A11" s="24">
        <v>7</v>
      </c>
      <c r="B11" s="24" t="s">
        <v>6</v>
      </c>
      <c r="C11" s="171">
        <v>5240773</v>
      </c>
      <c r="D11" s="226">
        <v>5240773</v>
      </c>
      <c r="E11" s="30">
        <v>195000</v>
      </c>
      <c r="F11" s="433">
        <f>E11/D11</f>
        <v>3.7208251530833333E-2</v>
      </c>
      <c r="G11" s="30">
        <v>195000</v>
      </c>
      <c r="H11" s="433">
        <f>G11/D11</f>
        <v>3.7208251530833333E-2</v>
      </c>
      <c r="I11" s="148">
        <v>0</v>
      </c>
      <c r="J11" s="434">
        <f>I11/D11</f>
        <v>0</v>
      </c>
      <c r="K11" s="148">
        <v>1000000</v>
      </c>
      <c r="L11" s="354">
        <v>0.19800000000000001</v>
      </c>
      <c r="M11" s="235">
        <f>+I11/K11-1</f>
        <v>-1</v>
      </c>
    </row>
    <row r="12" spans="1:13" ht="15" customHeight="1" x14ac:dyDescent="0.2">
      <c r="A12" s="9"/>
      <c r="B12" s="2" t="s">
        <v>7</v>
      </c>
      <c r="C12" s="174">
        <f>SUM(C10:C11)</f>
        <v>5240773</v>
      </c>
      <c r="D12" s="164">
        <f t="shared" ref="D12:I12" si="1">SUM(D10:D11)</f>
        <v>5240773</v>
      </c>
      <c r="E12" s="85">
        <f t="shared" si="1"/>
        <v>195000</v>
      </c>
      <c r="F12" s="91">
        <f>E12/D12</f>
        <v>3.7208251530833333E-2</v>
      </c>
      <c r="G12" s="85">
        <f t="shared" si="1"/>
        <v>195000</v>
      </c>
      <c r="H12" s="91">
        <f>G12/D12</f>
        <v>3.7208251530833333E-2</v>
      </c>
      <c r="I12" s="85">
        <f t="shared" si="1"/>
        <v>0</v>
      </c>
      <c r="J12" s="183">
        <f>I12/D12</f>
        <v>0</v>
      </c>
      <c r="K12" s="85">
        <f>SUM(K10:K11)</f>
        <v>1000000</v>
      </c>
      <c r="L12" s="40">
        <v>0.19800000000000001</v>
      </c>
      <c r="M12" s="155">
        <f>+I12/K12-1</f>
        <v>-1</v>
      </c>
    </row>
    <row r="13" spans="1:13" ht="15" customHeight="1" x14ac:dyDescent="0.2">
      <c r="A13" s="20">
        <v>8</v>
      </c>
      <c r="B13" s="20" t="s">
        <v>8</v>
      </c>
      <c r="C13" s="171"/>
      <c r="D13" s="226"/>
      <c r="E13" s="30"/>
      <c r="F13" s="27" t="s">
        <v>135</v>
      </c>
      <c r="G13" s="30"/>
      <c r="H13" s="27" t="s">
        <v>135</v>
      </c>
      <c r="I13" s="30"/>
      <c r="J13" s="250" t="s">
        <v>135</v>
      </c>
      <c r="K13" s="30"/>
      <c r="L13" s="52"/>
      <c r="M13" s="237" t="s">
        <v>135</v>
      </c>
    </row>
    <row r="14" spans="1:13" ht="15" customHeight="1" x14ac:dyDescent="0.2">
      <c r="A14" s="24">
        <v>9</v>
      </c>
      <c r="B14" s="24" t="s">
        <v>9</v>
      </c>
      <c r="C14" s="173"/>
      <c r="D14" s="228"/>
      <c r="E14" s="34"/>
      <c r="F14" s="28" t="s">
        <v>135</v>
      </c>
      <c r="G14" s="34"/>
      <c r="H14" s="28" t="s">
        <v>135</v>
      </c>
      <c r="I14" s="34"/>
      <c r="J14" s="251" t="s">
        <v>135</v>
      </c>
      <c r="K14" s="34"/>
      <c r="L14" s="51"/>
      <c r="M14" s="238" t="s">
        <v>135</v>
      </c>
    </row>
    <row r="15" spans="1:13" ht="15" customHeight="1" thickBot="1" x14ac:dyDescent="0.25">
      <c r="A15" s="9"/>
      <c r="B15" s="2" t="s">
        <v>10</v>
      </c>
      <c r="C15" s="174">
        <f>SUM(C13:C14)</f>
        <v>0</v>
      </c>
      <c r="D15" s="164">
        <f t="shared" ref="D15:I15" si="2">SUM(D13:D14)</f>
        <v>0</v>
      </c>
      <c r="E15" s="85">
        <f t="shared" si="2"/>
        <v>0</v>
      </c>
      <c r="F15" s="252" t="s">
        <v>135</v>
      </c>
      <c r="G15" s="85">
        <f t="shared" si="2"/>
        <v>0</v>
      </c>
      <c r="H15" s="252" t="s">
        <v>135</v>
      </c>
      <c r="I15" s="85">
        <f t="shared" si="2"/>
        <v>0</v>
      </c>
      <c r="J15" s="253" t="s">
        <v>135</v>
      </c>
      <c r="K15" s="85">
        <f>SUM(K13:K14)</f>
        <v>0</v>
      </c>
      <c r="L15" s="100"/>
      <c r="M15" s="254" t="s">
        <v>135</v>
      </c>
    </row>
    <row r="16" spans="1:13" s="6" customFormat="1" ht="19.5" customHeight="1" thickBot="1" x14ac:dyDescent="0.25">
      <c r="A16" s="5"/>
      <c r="B16" s="4" t="s">
        <v>11</v>
      </c>
      <c r="C16" s="175">
        <f>+C9+C12+C15</f>
        <v>215141158.63</v>
      </c>
      <c r="D16" s="166">
        <f t="shared" ref="D16:I16" si="3">+D9+D12+D15</f>
        <v>215610484.53999999</v>
      </c>
      <c r="E16" s="167">
        <f t="shared" si="3"/>
        <v>198509928.68000001</v>
      </c>
      <c r="F16" s="195">
        <f>E16/D16</f>
        <v>0.92068773512343971</v>
      </c>
      <c r="G16" s="167">
        <f t="shared" si="3"/>
        <v>198509928.68000001</v>
      </c>
      <c r="H16" s="195">
        <f>G16/D16</f>
        <v>0.92068773512343971</v>
      </c>
      <c r="I16" s="167">
        <f t="shared" si="3"/>
        <v>36251796.130000003</v>
      </c>
      <c r="J16" s="187">
        <f>I16/D16</f>
        <v>0.16813559047159685</v>
      </c>
      <c r="K16" s="158">
        <f>K9+K12+K15</f>
        <v>35141601</v>
      </c>
      <c r="L16" s="204">
        <v>0.16600000000000001</v>
      </c>
      <c r="M16" s="201">
        <f>+I16/K16-1</f>
        <v>3.1592047556399105E-2</v>
      </c>
    </row>
    <row r="21" spans="10:10" x14ac:dyDescent="0.2">
      <c r="J21" s="98" t="s">
        <v>154</v>
      </c>
    </row>
  </sheetData>
  <mergeCells count="2">
    <mergeCell ref="K2:L2"/>
    <mergeCell ref="D2:J2"/>
  </mergeCells>
  <printOptions horizontalCentered="1"/>
  <pageMargins left="0.51181102362204722" right="0.51181102362204722" top="1.3385826771653544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Gener
&amp;R&amp;"Arial,Negreta"&amp;8&amp;K03+000Direcció de Pressupostos i Política Fiscal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M16"/>
  <sheetViews>
    <sheetView zoomScaleNormal="100" workbookViewId="0">
      <selection activeCell="I22" sqref="I22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3" bestFit="1" customWidth="1"/>
    <col min="6" max="6" width="6.28515625" style="98" customWidth="1"/>
    <col min="7" max="7" width="11.5703125" style="43" bestFit="1" customWidth="1"/>
    <col min="8" max="8" width="6.28515625" style="98" customWidth="1"/>
    <col min="9" max="9" width="11.5703125" style="43" bestFit="1" customWidth="1"/>
    <col min="10" max="10" width="6.28515625" style="98" customWidth="1"/>
    <col min="11" max="11" width="11.5703125" style="43" bestFit="1" customWidth="1"/>
    <col min="12" max="12" width="6.28515625" style="493" bestFit="1" customWidth="1"/>
    <col min="13" max="13" width="9" style="98" bestFit="1" customWidth="1"/>
  </cols>
  <sheetData>
    <row r="1" spans="1:13" ht="15.75" thickBot="1" x14ac:dyDescent="0.3">
      <c r="A1" s="7" t="s">
        <v>134</v>
      </c>
    </row>
    <row r="2" spans="1:13" x14ac:dyDescent="0.2">
      <c r="A2" s="8" t="s">
        <v>20</v>
      </c>
      <c r="C2" s="176" t="s">
        <v>512</v>
      </c>
      <c r="D2" s="650" t="s">
        <v>510</v>
      </c>
      <c r="E2" s="648"/>
      <c r="F2" s="648"/>
      <c r="G2" s="648"/>
      <c r="H2" s="648"/>
      <c r="I2" s="648"/>
      <c r="J2" s="649"/>
      <c r="K2" s="644" t="s">
        <v>511</v>
      </c>
      <c r="L2" s="645"/>
      <c r="M2" s="219"/>
    </row>
    <row r="3" spans="1:13" x14ac:dyDescent="0.2">
      <c r="C3" s="169">
        <v>1</v>
      </c>
      <c r="D3" s="243">
        <v>2</v>
      </c>
      <c r="E3" s="241">
        <v>3</v>
      </c>
      <c r="F3" s="89" t="s">
        <v>39</v>
      </c>
      <c r="G3" s="241">
        <v>4</v>
      </c>
      <c r="H3" s="89" t="s">
        <v>40</v>
      </c>
      <c r="I3" s="241">
        <v>5</v>
      </c>
      <c r="J3" s="160" t="s">
        <v>41</v>
      </c>
      <c r="K3" s="241" t="s">
        <v>42</v>
      </c>
      <c r="L3" s="103" t="s">
        <v>43</v>
      </c>
      <c r="M3" s="150" t="s">
        <v>368</v>
      </c>
    </row>
    <row r="4" spans="1:13" ht="25.5" x14ac:dyDescent="0.2">
      <c r="A4" s="1"/>
      <c r="B4" s="2" t="s">
        <v>12</v>
      </c>
      <c r="C4" s="170" t="s">
        <v>13</v>
      </c>
      <c r="D4" s="244" t="s">
        <v>14</v>
      </c>
      <c r="E4" s="242" t="s">
        <v>15</v>
      </c>
      <c r="F4" s="90" t="s">
        <v>18</v>
      </c>
      <c r="G4" s="242" t="s">
        <v>16</v>
      </c>
      <c r="H4" s="90" t="s">
        <v>18</v>
      </c>
      <c r="I4" s="242" t="s">
        <v>17</v>
      </c>
      <c r="J4" s="121" t="s">
        <v>18</v>
      </c>
      <c r="K4" s="242" t="s">
        <v>17</v>
      </c>
      <c r="L4" s="104" t="s">
        <v>18</v>
      </c>
      <c r="M4" s="151" t="s">
        <v>553</v>
      </c>
    </row>
    <row r="5" spans="1:13" ht="15" customHeight="1" x14ac:dyDescent="0.2">
      <c r="A5" s="20">
        <v>1</v>
      </c>
      <c r="B5" s="20" t="s">
        <v>0</v>
      </c>
      <c r="C5" s="172">
        <v>40871849.880000003</v>
      </c>
      <c r="D5" s="227">
        <v>41325824.119999997</v>
      </c>
      <c r="E5" s="32">
        <v>3045718.61</v>
      </c>
      <c r="F5" s="45">
        <f>E5/D5</f>
        <v>7.3700129999972525E-2</v>
      </c>
      <c r="G5" s="32">
        <v>3045718.61</v>
      </c>
      <c r="H5" s="45">
        <f>G5/D5</f>
        <v>7.3700129999972525E-2</v>
      </c>
      <c r="I5" s="32">
        <v>3045718.61</v>
      </c>
      <c r="J5" s="165">
        <f>I5/D5</f>
        <v>7.3700129999972525E-2</v>
      </c>
      <c r="K5" s="30">
        <v>3051665</v>
      </c>
      <c r="L5" s="49">
        <v>7.2999999999999995E-2</v>
      </c>
      <c r="M5" s="232">
        <f>+I5/K5-1</f>
        <v>-1.9485723367408392E-3</v>
      </c>
    </row>
    <row r="6" spans="1:13" ht="15" customHeight="1" x14ac:dyDescent="0.2">
      <c r="A6" s="22">
        <v>2</v>
      </c>
      <c r="B6" s="22" t="s">
        <v>1</v>
      </c>
      <c r="C6" s="172">
        <v>165307406.81</v>
      </c>
      <c r="D6" s="227">
        <v>165307406.81</v>
      </c>
      <c r="E6" s="32">
        <v>24849817.050000001</v>
      </c>
      <c r="F6" s="45">
        <f>E6/D6</f>
        <v>0.15032488579632569</v>
      </c>
      <c r="G6" s="32">
        <v>21070872.670000002</v>
      </c>
      <c r="H6" s="45">
        <f>G6/D6</f>
        <v>0.12746478259270203</v>
      </c>
      <c r="I6" s="32">
        <v>177366.47</v>
      </c>
      <c r="J6" s="165">
        <f>I6/D6</f>
        <v>1.0729493216469143E-3</v>
      </c>
      <c r="K6" s="32">
        <v>146328</v>
      </c>
      <c r="L6" s="50">
        <v>1E-3</v>
      </c>
      <c r="M6" s="232">
        <f>+I6/K6-1</f>
        <v>0.21211572631348741</v>
      </c>
    </row>
    <row r="7" spans="1:13" ht="15" customHeight="1" x14ac:dyDescent="0.2">
      <c r="A7" s="22">
        <v>3</v>
      </c>
      <c r="B7" s="22" t="s">
        <v>2</v>
      </c>
      <c r="C7" s="172"/>
      <c r="D7" s="227"/>
      <c r="E7" s="32"/>
      <c r="F7" s="26" t="s">
        <v>135</v>
      </c>
      <c r="G7" s="32"/>
      <c r="H7" s="26" t="s">
        <v>135</v>
      </c>
      <c r="I7" s="32"/>
      <c r="J7" s="255" t="s">
        <v>135</v>
      </c>
      <c r="K7" s="32"/>
      <c r="L7" s="50"/>
      <c r="M7" s="233" t="s">
        <v>135</v>
      </c>
    </row>
    <row r="8" spans="1:13" ht="15" customHeight="1" x14ac:dyDescent="0.2">
      <c r="A8" s="24">
        <v>4</v>
      </c>
      <c r="B8" s="24" t="s">
        <v>3</v>
      </c>
      <c r="C8" s="172">
        <v>82331024.799999997</v>
      </c>
      <c r="D8" s="227">
        <v>82331024.799999997</v>
      </c>
      <c r="E8" s="32">
        <v>57034687.75</v>
      </c>
      <c r="F8" s="433">
        <f>E8/D8</f>
        <v>0.69274842489267796</v>
      </c>
      <c r="G8" s="32">
        <v>53434883.700000003</v>
      </c>
      <c r="H8" s="433">
        <f>G8/D8</f>
        <v>0.64902488253735435</v>
      </c>
      <c r="I8" s="32">
        <v>347238.38</v>
      </c>
      <c r="J8" s="434">
        <f>I8/D8</f>
        <v>4.2175884588284635E-3</v>
      </c>
      <c r="K8" s="34">
        <v>2329792</v>
      </c>
      <c r="L8" s="354">
        <v>2.9000000000000001E-2</v>
      </c>
      <c r="M8" s="262">
        <f>+I8/K8-1</f>
        <v>-0.85095734726533534</v>
      </c>
    </row>
    <row r="9" spans="1:13" ht="15" customHeight="1" x14ac:dyDescent="0.2">
      <c r="A9" s="9"/>
      <c r="B9" s="2" t="s">
        <v>4</v>
      </c>
      <c r="C9" s="174">
        <f>SUM(C5:C8)</f>
        <v>288510281.49000001</v>
      </c>
      <c r="D9" s="164">
        <f t="shared" ref="D9:I9" si="0">SUM(D5:D8)</f>
        <v>288964255.73000002</v>
      </c>
      <c r="E9" s="85">
        <f t="shared" si="0"/>
        <v>84930223.409999996</v>
      </c>
      <c r="F9" s="91">
        <f>E9/D9</f>
        <v>0.29391255743878708</v>
      </c>
      <c r="G9" s="85">
        <f t="shared" si="0"/>
        <v>77551474.980000004</v>
      </c>
      <c r="H9" s="91">
        <f>G9/D9</f>
        <v>0.26837739769607316</v>
      </c>
      <c r="I9" s="85">
        <f t="shared" si="0"/>
        <v>3570323.46</v>
      </c>
      <c r="J9" s="183">
        <f>I9/D9</f>
        <v>1.2355588586485965E-2</v>
      </c>
      <c r="K9" s="85">
        <f>SUM(K5:K8)</f>
        <v>5527785</v>
      </c>
      <c r="L9" s="40">
        <v>0.02</v>
      </c>
      <c r="M9" s="236">
        <f>+I9/K9-1</f>
        <v>-0.3541131827666959</v>
      </c>
    </row>
    <row r="10" spans="1:13" ht="15" customHeight="1" x14ac:dyDescent="0.2">
      <c r="A10" s="20">
        <v>6</v>
      </c>
      <c r="B10" s="20" t="s">
        <v>5</v>
      </c>
      <c r="C10" s="173">
        <v>14967144.689999999</v>
      </c>
      <c r="D10" s="228">
        <v>17236805.359999999</v>
      </c>
      <c r="E10" s="34">
        <v>2267919.98</v>
      </c>
      <c r="F10" s="45">
        <f>E10/D10</f>
        <v>0.13157426406072731</v>
      </c>
      <c r="G10" s="148">
        <v>547965.52</v>
      </c>
      <c r="H10" s="45">
        <f>G10/D10</f>
        <v>3.1790433816211522E-2</v>
      </c>
      <c r="I10" s="32">
        <v>0</v>
      </c>
      <c r="J10" s="165">
        <f>I10/D10</f>
        <v>0</v>
      </c>
      <c r="K10" s="147">
        <v>178</v>
      </c>
      <c r="L10" s="49">
        <v>0</v>
      </c>
      <c r="M10" s="232">
        <f t="shared" ref="M10" si="1">+I10/K10-1</f>
        <v>-1</v>
      </c>
    </row>
    <row r="11" spans="1:13" ht="15" customHeight="1" x14ac:dyDescent="0.2">
      <c r="A11" s="24">
        <v>7</v>
      </c>
      <c r="B11" s="24" t="s">
        <v>6</v>
      </c>
      <c r="C11" s="173"/>
      <c r="D11" s="228"/>
      <c r="E11" s="34"/>
      <c r="F11" s="433"/>
      <c r="G11" s="148"/>
      <c r="H11" s="433"/>
      <c r="I11" s="148"/>
      <c r="J11" s="434"/>
      <c r="K11" s="148">
        <v>0</v>
      </c>
      <c r="L11" s="354">
        <v>0</v>
      </c>
      <c r="M11" s="154"/>
    </row>
    <row r="12" spans="1:13" ht="15" customHeight="1" x14ac:dyDescent="0.2">
      <c r="A12" s="9"/>
      <c r="B12" s="2" t="s">
        <v>7</v>
      </c>
      <c r="C12" s="174">
        <f>SUM(C10:C11)</f>
        <v>14967144.689999999</v>
      </c>
      <c r="D12" s="164">
        <f t="shared" ref="D12:I12" si="2">SUM(D10:D11)</f>
        <v>17236805.359999999</v>
      </c>
      <c r="E12" s="85">
        <f t="shared" si="2"/>
        <v>2267919.98</v>
      </c>
      <c r="F12" s="91">
        <f>E12/D12</f>
        <v>0.13157426406072731</v>
      </c>
      <c r="G12" s="85">
        <f t="shared" si="2"/>
        <v>547965.52</v>
      </c>
      <c r="H12" s="91">
        <f>G12/D12</f>
        <v>3.1790433816211522E-2</v>
      </c>
      <c r="I12" s="85">
        <f t="shared" si="2"/>
        <v>0</v>
      </c>
      <c r="J12" s="183">
        <f>I12/D12</f>
        <v>0</v>
      </c>
      <c r="K12" s="85">
        <f>SUM(K10:K11)</f>
        <v>178</v>
      </c>
      <c r="L12" s="40">
        <v>0</v>
      </c>
      <c r="M12" s="236">
        <f>+I12/K12-1</f>
        <v>-1</v>
      </c>
    </row>
    <row r="13" spans="1:13" ht="15" customHeight="1" x14ac:dyDescent="0.2">
      <c r="A13" s="20">
        <v>8</v>
      </c>
      <c r="B13" s="20" t="s">
        <v>8</v>
      </c>
      <c r="C13" s="171"/>
      <c r="D13" s="226"/>
      <c r="E13" s="30"/>
      <c r="F13" s="27" t="s">
        <v>135</v>
      </c>
      <c r="G13" s="30"/>
      <c r="H13" s="27" t="s">
        <v>135</v>
      </c>
      <c r="I13" s="30"/>
      <c r="J13" s="250" t="s">
        <v>135</v>
      </c>
      <c r="K13" s="30"/>
      <c r="L13" s="105"/>
      <c r="M13" s="237" t="s">
        <v>135</v>
      </c>
    </row>
    <row r="14" spans="1:13" ht="15" customHeight="1" x14ac:dyDescent="0.2">
      <c r="A14" s="24">
        <v>9</v>
      </c>
      <c r="B14" s="24" t="s">
        <v>9</v>
      </c>
      <c r="C14" s="173"/>
      <c r="D14" s="228"/>
      <c r="E14" s="34"/>
      <c r="F14" s="28" t="s">
        <v>135</v>
      </c>
      <c r="G14" s="34"/>
      <c r="H14" s="28" t="s">
        <v>135</v>
      </c>
      <c r="I14" s="34"/>
      <c r="J14" s="251" t="s">
        <v>135</v>
      </c>
      <c r="K14" s="34"/>
      <c r="L14" s="106"/>
      <c r="M14" s="238" t="s">
        <v>135</v>
      </c>
    </row>
    <row r="15" spans="1:13" ht="15" customHeight="1" thickBot="1" x14ac:dyDescent="0.25">
      <c r="A15" s="9"/>
      <c r="B15" s="2" t="s">
        <v>10</v>
      </c>
      <c r="C15" s="174">
        <f>SUM(C13:C14)</f>
        <v>0</v>
      </c>
      <c r="D15" s="164">
        <f t="shared" ref="D15:I15" si="3">SUM(D13:D14)</f>
        <v>0</v>
      </c>
      <c r="E15" s="85">
        <f t="shared" si="3"/>
        <v>0</v>
      </c>
      <c r="F15" s="252" t="s">
        <v>135</v>
      </c>
      <c r="G15" s="85">
        <f t="shared" si="3"/>
        <v>0</v>
      </c>
      <c r="H15" s="252" t="s">
        <v>135</v>
      </c>
      <c r="I15" s="85">
        <f t="shared" si="3"/>
        <v>0</v>
      </c>
      <c r="J15" s="253" t="s">
        <v>135</v>
      </c>
      <c r="K15" s="85">
        <f>SUM(K13:K14)</f>
        <v>0</v>
      </c>
      <c r="L15" s="107"/>
      <c r="M15" s="256" t="s">
        <v>135</v>
      </c>
    </row>
    <row r="16" spans="1:13" s="6" customFormat="1" ht="19.5" customHeight="1" thickBot="1" x14ac:dyDescent="0.25">
      <c r="A16" s="5"/>
      <c r="B16" s="4" t="s">
        <v>11</v>
      </c>
      <c r="C16" s="175">
        <f>+C9+C12+C15</f>
        <v>303477426.18000001</v>
      </c>
      <c r="D16" s="166">
        <f t="shared" ref="D16:I16" si="4">+D9+D12+D15</f>
        <v>306201061.09000003</v>
      </c>
      <c r="E16" s="167">
        <f t="shared" si="4"/>
        <v>87198143.390000001</v>
      </c>
      <c r="F16" s="195">
        <f>E16/D16</f>
        <v>0.28477413853366862</v>
      </c>
      <c r="G16" s="167">
        <f t="shared" si="4"/>
        <v>78099440.5</v>
      </c>
      <c r="H16" s="195">
        <f>G16/D16</f>
        <v>0.25505933984025175</v>
      </c>
      <c r="I16" s="167">
        <f t="shared" si="4"/>
        <v>3570323.46</v>
      </c>
      <c r="J16" s="187">
        <f>I16/D16</f>
        <v>1.1660062337114481E-2</v>
      </c>
      <c r="K16" s="158">
        <f>K9+K12+K15</f>
        <v>5527963</v>
      </c>
      <c r="L16" s="204">
        <v>1.9E-2</v>
      </c>
      <c r="M16" s="201">
        <f>+I16/K16-1</f>
        <v>-0.35413398027446996</v>
      </c>
    </row>
  </sheetData>
  <mergeCells count="2">
    <mergeCell ref="K2:L2"/>
    <mergeCell ref="D2:J2"/>
  </mergeCells>
  <printOptions horizontalCentered="1"/>
  <pageMargins left="0.51181102362204722" right="0.51181102362204722" top="1.3385826771653544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Gener&amp;R&amp;"Arial,Negreta"&amp;8&amp;K03+000Direcció de Pressupostos i Política Fiscal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92D050"/>
  </sheetPr>
  <dimension ref="A1:N29"/>
  <sheetViews>
    <sheetView workbookViewId="0">
      <selection activeCell="J22" sqref="J22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5.42578125" bestFit="1" customWidth="1"/>
    <col min="4" max="4" width="7.7109375" style="102" customWidth="1"/>
    <col min="5" max="5" width="11.140625" bestFit="1" customWidth="1"/>
    <col min="6" max="6" width="7.7109375" customWidth="1"/>
    <col min="7" max="7" width="10.85546875" bestFit="1" customWidth="1"/>
    <col min="8" max="8" width="7.7109375" customWidth="1"/>
    <col min="9" max="9" width="6.28515625" customWidth="1"/>
    <col min="10" max="10" width="11.7109375" customWidth="1"/>
    <col min="11" max="11" width="6.28515625" style="98" customWidth="1"/>
    <col min="12" max="12" width="10.85546875" customWidth="1"/>
    <col min="13" max="13" width="6.28515625" style="98" customWidth="1"/>
    <col min="14" max="14" width="7.140625" customWidth="1"/>
    <col min="15" max="15" width="4.42578125" customWidth="1"/>
  </cols>
  <sheetData>
    <row r="1" spans="1:14" ht="15.75" thickBot="1" x14ac:dyDescent="0.3">
      <c r="A1" s="7" t="s">
        <v>44</v>
      </c>
    </row>
    <row r="2" spans="1:14" x14ac:dyDescent="0.2">
      <c r="A2" s="8" t="s">
        <v>20</v>
      </c>
      <c r="C2" s="406" t="s">
        <v>512</v>
      </c>
      <c r="D2" s="280"/>
      <c r="E2" s="640" t="s">
        <v>510</v>
      </c>
      <c r="F2" s="641"/>
      <c r="G2" s="642"/>
      <c r="H2" s="642"/>
      <c r="I2" s="642"/>
      <c r="J2" s="642"/>
      <c r="K2" s="643"/>
      <c r="L2" s="638" t="s">
        <v>511</v>
      </c>
      <c r="M2" s="639"/>
      <c r="N2" s="149"/>
    </row>
    <row r="3" spans="1:14" x14ac:dyDescent="0.2">
      <c r="C3" s="169">
        <v>1</v>
      </c>
      <c r="D3" s="281"/>
      <c r="E3" s="159">
        <v>2</v>
      </c>
      <c r="F3" s="88"/>
      <c r="G3" s="88">
        <v>3</v>
      </c>
      <c r="H3" s="88"/>
      <c r="I3" s="89" t="s">
        <v>39</v>
      </c>
      <c r="J3" s="88">
        <v>4</v>
      </c>
      <c r="K3" s="160" t="s">
        <v>49</v>
      </c>
      <c r="L3" s="88" t="s">
        <v>50</v>
      </c>
      <c r="M3" s="16" t="s">
        <v>51</v>
      </c>
      <c r="N3" s="150" t="s">
        <v>366</v>
      </c>
    </row>
    <row r="4" spans="1:14" ht="30" customHeight="1" x14ac:dyDescent="0.2">
      <c r="A4" s="1"/>
      <c r="B4" s="2" t="s">
        <v>12</v>
      </c>
      <c r="C4" s="170" t="s">
        <v>47</v>
      </c>
      <c r="D4" s="282" t="s">
        <v>458</v>
      </c>
      <c r="E4" s="120" t="s">
        <v>48</v>
      </c>
      <c r="F4" s="90" t="s">
        <v>459</v>
      </c>
      <c r="G4" s="90" t="s">
        <v>139</v>
      </c>
      <c r="H4" s="90" t="s">
        <v>460</v>
      </c>
      <c r="I4" s="90" t="s">
        <v>18</v>
      </c>
      <c r="J4" s="90" t="s">
        <v>421</v>
      </c>
      <c r="K4" s="121" t="s">
        <v>18</v>
      </c>
      <c r="L4" s="90" t="s">
        <v>139</v>
      </c>
      <c r="M4" s="12" t="s">
        <v>18</v>
      </c>
      <c r="N4" s="151" t="s">
        <v>553</v>
      </c>
    </row>
    <row r="5" spans="1:14" ht="15" customHeight="1" x14ac:dyDescent="0.2">
      <c r="A5" s="20">
        <v>1</v>
      </c>
      <c r="B5" s="20" t="s">
        <v>52</v>
      </c>
      <c r="C5" s="220">
        <v>943767320</v>
      </c>
      <c r="D5" s="284">
        <f>C5/$C$18</f>
        <v>0.37002266754900592</v>
      </c>
      <c r="E5" s="226">
        <v>943767320</v>
      </c>
      <c r="F5" s="286">
        <f>E5/$E$18</f>
        <v>0.37002266754900592</v>
      </c>
      <c r="G5" s="30">
        <v>24789836.010000002</v>
      </c>
      <c r="H5" s="286">
        <f>G5/$G$18</f>
        <v>0.18388096924353761</v>
      </c>
      <c r="I5" s="145">
        <f>G5/E5</f>
        <v>2.6266893846250156E-2</v>
      </c>
      <c r="J5" s="30">
        <v>18274671.59</v>
      </c>
      <c r="K5" s="165">
        <f>J5/G5</f>
        <v>0.73718404521224579</v>
      </c>
      <c r="L5" s="147">
        <v>21821870.899999999</v>
      </c>
      <c r="M5" s="45">
        <v>2.4812601629132944E-2</v>
      </c>
      <c r="N5" s="152">
        <f>+G5/L5-1</f>
        <v>0.13600873745431263</v>
      </c>
    </row>
    <row r="6" spans="1:14" ht="15" customHeight="1" x14ac:dyDescent="0.2">
      <c r="A6" s="22">
        <v>2</v>
      </c>
      <c r="B6" s="22" t="s">
        <v>53</v>
      </c>
      <c r="C6" s="220">
        <v>55749790</v>
      </c>
      <c r="D6" s="284">
        <f t="shared" ref="D6:D16" si="0">C6/$C$18</f>
        <v>2.1857809201421483E-2</v>
      </c>
      <c r="E6" s="226">
        <v>55749790</v>
      </c>
      <c r="F6" s="286">
        <f t="shared" ref="F6:F9" si="1">E6/$E$18</f>
        <v>2.1857809201421483E-2</v>
      </c>
      <c r="G6" s="30">
        <v>5696628.1500000004</v>
      </c>
      <c r="H6" s="286">
        <f t="shared" ref="H6:H9" si="2">G6/$G$18</f>
        <v>4.2255281770297623E-2</v>
      </c>
      <c r="I6" s="145">
        <f t="shared" ref="I6:I9" si="3">G6/E6</f>
        <v>0.10218205575303513</v>
      </c>
      <c r="J6" s="30">
        <v>2168582.87</v>
      </c>
      <c r="K6" s="165">
        <f t="shared" ref="K6:K9" si="4">J6/G6</f>
        <v>0.38067832635345877</v>
      </c>
      <c r="L6" s="144">
        <v>3766621.21</v>
      </c>
      <c r="M6" s="45">
        <v>7.6614456794312141E-2</v>
      </c>
      <c r="N6" s="153">
        <f t="shared" ref="N6:N18" si="5">+G6/L6-1</f>
        <v>0.51239740669330547</v>
      </c>
    </row>
    <row r="7" spans="1:14" ht="15" customHeight="1" x14ac:dyDescent="0.2">
      <c r="A7" s="22">
        <v>3</v>
      </c>
      <c r="B7" s="22" t="s">
        <v>54</v>
      </c>
      <c r="C7" s="220">
        <v>260080061.91999999</v>
      </c>
      <c r="D7" s="284">
        <f t="shared" si="0"/>
        <v>0.10196953872904714</v>
      </c>
      <c r="E7" s="226">
        <v>260080061.91999999</v>
      </c>
      <c r="F7" s="286">
        <f t="shared" si="1"/>
        <v>0.10196953872904714</v>
      </c>
      <c r="G7" s="30">
        <v>12713777.25</v>
      </c>
      <c r="H7" s="286">
        <f t="shared" si="2"/>
        <v>9.4305653435278136E-2</v>
      </c>
      <c r="I7" s="145">
        <f t="shared" si="3"/>
        <v>4.8884090368721642E-2</v>
      </c>
      <c r="J7" s="30">
        <v>3493945.8</v>
      </c>
      <c r="K7" s="165">
        <f t="shared" si="4"/>
        <v>0.27481571615548006</v>
      </c>
      <c r="L7" s="144">
        <v>13955820.33</v>
      </c>
      <c r="M7" s="45">
        <v>5.182199256149328E-2</v>
      </c>
      <c r="N7" s="153">
        <f t="shared" si="5"/>
        <v>-8.8998213693683992E-2</v>
      </c>
    </row>
    <row r="8" spans="1:14" ht="15" customHeight="1" x14ac:dyDescent="0.2">
      <c r="A8" s="22">
        <v>4</v>
      </c>
      <c r="B8" s="22" t="s">
        <v>3</v>
      </c>
      <c r="C8" s="220">
        <v>1052676699.58</v>
      </c>
      <c r="D8" s="284">
        <f t="shared" si="0"/>
        <v>0.41272274658257413</v>
      </c>
      <c r="E8" s="226">
        <v>1052676699.58</v>
      </c>
      <c r="F8" s="286">
        <f t="shared" si="1"/>
        <v>0.41272274658257413</v>
      </c>
      <c r="G8" s="30">
        <v>90073109.280000001</v>
      </c>
      <c r="H8" s="286">
        <f t="shared" si="2"/>
        <v>0.66812586539516527</v>
      </c>
      <c r="I8" s="145">
        <f t="shared" si="3"/>
        <v>8.5565786072720737E-2</v>
      </c>
      <c r="J8" s="30">
        <v>2526428.5699999998</v>
      </c>
      <c r="K8" s="165">
        <f t="shared" si="4"/>
        <v>2.8048643931524331E-2</v>
      </c>
      <c r="L8" s="144">
        <v>81557623.640000001</v>
      </c>
      <c r="M8" s="462">
        <v>7.5225575779375664E-2</v>
      </c>
      <c r="N8" s="153">
        <f t="shared" si="5"/>
        <v>0.10441066401821408</v>
      </c>
    </row>
    <row r="9" spans="1:14" ht="15" customHeight="1" x14ac:dyDescent="0.2">
      <c r="A9" s="24">
        <v>5</v>
      </c>
      <c r="B9" s="24" t="s">
        <v>45</v>
      </c>
      <c r="C9" s="220">
        <v>42135629</v>
      </c>
      <c r="D9" s="284">
        <f t="shared" si="0"/>
        <v>1.6520107775542865E-2</v>
      </c>
      <c r="E9" s="226">
        <v>42135629</v>
      </c>
      <c r="F9" s="286">
        <f t="shared" si="1"/>
        <v>1.6520107775542865E-2</v>
      </c>
      <c r="G9" s="30">
        <v>1496036.5</v>
      </c>
      <c r="H9" s="286">
        <f t="shared" si="2"/>
        <v>1.1096993200468922E-2</v>
      </c>
      <c r="I9" s="145">
        <f t="shared" si="3"/>
        <v>3.5505260880287319E-2</v>
      </c>
      <c r="J9" s="30">
        <v>512521.86</v>
      </c>
      <c r="K9" s="165">
        <f t="shared" si="4"/>
        <v>0.34258646764300199</v>
      </c>
      <c r="L9" s="148">
        <v>2126077.3199999998</v>
      </c>
      <c r="M9" s="45">
        <v>6.8334573446099056E-2</v>
      </c>
      <c r="N9" s="154">
        <f t="shared" si="5"/>
        <v>-0.29633956115951599</v>
      </c>
    </row>
    <row r="10" spans="1:14" ht="15" customHeight="1" x14ac:dyDescent="0.2">
      <c r="A10" s="9"/>
      <c r="B10" s="2" t="s">
        <v>4</v>
      </c>
      <c r="C10" s="174">
        <f>SUM(C5:C9)</f>
        <v>2354409500.5</v>
      </c>
      <c r="D10" s="380">
        <f t="shared" si="0"/>
        <v>0.92309286983759153</v>
      </c>
      <c r="E10" s="164">
        <f>SUM(E5:E9)</f>
        <v>2354409500.5</v>
      </c>
      <c r="F10" s="287">
        <f>E10/E18</f>
        <v>0.92309286983759153</v>
      </c>
      <c r="G10" s="85">
        <f>SUM(G5:G9)</f>
        <v>134769387.19</v>
      </c>
      <c r="H10" s="287">
        <f>G10/G18</f>
        <v>0.99966476304474761</v>
      </c>
      <c r="I10" s="86">
        <f t="shared" ref="I10:I18" si="6">+G10/E10</f>
        <v>5.7241268845279192E-2</v>
      </c>
      <c r="J10" s="85">
        <f>SUM(J5:J9)</f>
        <v>26976150.690000001</v>
      </c>
      <c r="K10" s="183">
        <f t="shared" ref="K10:K18" si="7">+J10/G10</f>
        <v>0.20016526937210599</v>
      </c>
      <c r="L10" s="85">
        <f>SUM(L5:L9)</f>
        <v>123228013.39999999</v>
      </c>
      <c r="M10" s="40">
        <v>5.3271191328835676E-2</v>
      </c>
      <c r="N10" s="155">
        <f t="shared" si="5"/>
        <v>9.3658685809829167E-2</v>
      </c>
    </row>
    <row r="11" spans="1:14" ht="15" customHeight="1" x14ac:dyDescent="0.2">
      <c r="A11" s="20">
        <v>6</v>
      </c>
      <c r="B11" s="20" t="s">
        <v>46</v>
      </c>
      <c r="C11" s="220">
        <v>500080</v>
      </c>
      <c r="D11" s="284">
        <f t="shared" si="0"/>
        <v>1.9606626725314759E-4</v>
      </c>
      <c r="E11" s="226">
        <v>500080</v>
      </c>
      <c r="F11" s="286">
        <f>E11/E18</f>
        <v>1.9606626725314759E-4</v>
      </c>
      <c r="G11" s="30">
        <v>0</v>
      </c>
      <c r="H11" s="286">
        <f>G11/G18</f>
        <v>0</v>
      </c>
      <c r="I11" s="145">
        <f t="shared" si="6"/>
        <v>0</v>
      </c>
      <c r="J11" s="30">
        <v>0</v>
      </c>
      <c r="K11" s="382"/>
      <c r="L11" s="147">
        <v>0</v>
      </c>
      <c r="M11" s="49">
        <v>0</v>
      </c>
      <c r="N11" s="152"/>
    </row>
    <row r="12" spans="1:14" ht="15" customHeight="1" x14ac:dyDescent="0.2">
      <c r="A12" s="24">
        <v>7</v>
      </c>
      <c r="B12" s="24" t="s">
        <v>6</v>
      </c>
      <c r="C12" s="220">
        <v>29106649</v>
      </c>
      <c r="D12" s="284">
        <f t="shared" si="0"/>
        <v>1.1411838149251242E-2</v>
      </c>
      <c r="E12" s="226">
        <v>29106649</v>
      </c>
      <c r="F12" s="288">
        <f>E12/E18</f>
        <v>1.1411838149251242E-2</v>
      </c>
      <c r="G12" s="30">
        <v>0</v>
      </c>
      <c r="H12" s="288">
        <f>G12/G18</f>
        <v>0</v>
      </c>
      <c r="I12" s="146">
        <f t="shared" si="6"/>
        <v>0</v>
      </c>
      <c r="J12" s="30">
        <v>0</v>
      </c>
      <c r="K12" s="382"/>
      <c r="L12" s="148">
        <v>0</v>
      </c>
      <c r="M12" s="354">
        <v>0</v>
      </c>
      <c r="N12" s="178"/>
    </row>
    <row r="13" spans="1:14" ht="15" customHeight="1" x14ac:dyDescent="0.2">
      <c r="A13" s="9"/>
      <c r="B13" s="2" t="s">
        <v>7</v>
      </c>
      <c r="C13" s="174">
        <f>SUM(C11:C12)</f>
        <v>29606729</v>
      </c>
      <c r="D13" s="380">
        <f t="shared" si="0"/>
        <v>1.160790441650439E-2</v>
      </c>
      <c r="E13" s="164">
        <f>SUM(E11:E12)</f>
        <v>29606729</v>
      </c>
      <c r="F13" s="287">
        <f>E13/E18</f>
        <v>1.160790441650439E-2</v>
      </c>
      <c r="G13" s="85">
        <f>SUM(G11:G12)</f>
        <v>0</v>
      </c>
      <c r="H13" s="287">
        <f>G13/G18</f>
        <v>0</v>
      </c>
      <c r="I13" s="86">
        <f t="shared" si="6"/>
        <v>0</v>
      </c>
      <c r="J13" s="85">
        <f>SUM(J11:J12)</f>
        <v>0</v>
      </c>
      <c r="K13" s="183"/>
      <c r="L13" s="85">
        <f>SUM(L11:L12)</f>
        <v>0</v>
      </c>
      <c r="M13" s="40">
        <v>0</v>
      </c>
      <c r="N13" s="155"/>
    </row>
    <row r="14" spans="1:14" ht="15" customHeight="1" x14ac:dyDescent="0.2">
      <c r="A14" s="20">
        <v>8</v>
      </c>
      <c r="B14" s="20" t="s">
        <v>469</v>
      </c>
      <c r="C14" s="220">
        <v>5000000</v>
      </c>
      <c r="D14" s="284">
        <f t="shared" si="0"/>
        <v>1.9603490166888058E-3</v>
      </c>
      <c r="E14" s="226">
        <v>5000000</v>
      </c>
      <c r="F14" s="288">
        <f>E14/$E$18</f>
        <v>1.9603490166888058E-3</v>
      </c>
      <c r="G14" s="30">
        <v>0</v>
      </c>
      <c r="H14" s="290" t="s">
        <v>135</v>
      </c>
      <c r="I14" s="79" t="s">
        <v>135</v>
      </c>
      <c r="J14" s="30">
        <v>0</v>
      </c>
      <c r="K14" s="165" t="s">
        <v>135</v>
      </c>
      <c r="L14" s="147">
        <v>0</v>
      </c>
      <c r="M14" s="56"/>
      <c r="N14" s="156" t="s">
        <v>135</v>
      </c>
    </row>
    <row r="15" spans="1:14" ht="15" customHeight="1" x14ac:dyDescent="0.2">
      <c r="A15" s="24">
        <v>9</v>
      </c>
      <c r="B15" s="24" t="s">
        <v>9</v>
      </c>
      <c r="C15" s="220">
        <v>161550000</v>
      </c>
      <c r="D15" s="284">
        <f t="shared" si="0"/>
        <v>6.3338876729215315E-2</v>
      </c>
      <c r="E15" s="226">
        <v>161550000</v>
      </c>
      <c r="F15" s="288">
        <f>E15/$E$18</f>
        <v>6.3338876729215315E-2</v>
      </c>
      <c r="G15" s="30">
        <v>45194.83</v>
      </c>
      <c r="H15" s="288">
        <f>G15/G18</f>
        <v>3.3523695525232769E-4</v>
      </c>
      <c r="I15" s="146">
        <f t="shared" si="6"/>
        <v>2.7975753636645001E-4</v>
      </c>
      <c r="J15" s="30">
        <v>45194.83</v>
      </c>
      <c r="K15" s="434">
        <f t="shared" si="7"/>
        <v>1</v>
      </c>
      <c r="L15" s="148">
        <v>119235.89</v>
      </c>
      <c r="M15" s="288">
        <v>1E-3</v>
      </c>
      <c r="N15" s="154">
        <f t="shared" si="5"/>
        <v>-0.6209628661303237</v>
      </c>
    </row>
    <row r="16" spans="1:14" ht="15" customHeight="1" x14ac:dyDescent="0.2">
      <c r="A16" s="9"/>
      <c r="B16" s="2" t="s">
        <v>10</v>
      </c>
      <c r="C16" s="174">
        <f>SUM(C14:C15)</f>
        <v>166550000</v>
      </c>
      <c r="D16" s="389">
        <f t="shared" si="0"/>
        <v>6.5299225745904119E-2</v>
      </c>
      <c r="E16" s="164">
        <f>SUM(E14:E15)</f>
        <v>166550000</v>
      </c>
      <c r="F16" s="287">
        <f>E16/E18</f>
        <v>6.5299225745904119E-2</v>
      </c>
      <c r="G16" s="85">
        <f>SUM(G14:G15)</f>
        <v>45194.83</v>
      </c>
      <c r="H16" s="287">
        <f>G16/G18</f>
        <v>3.3523695525232769E-4</v>
      </c>
      <c r="I16" s="86">
        <f t="shared" si="6"/>
        <v>2.7135893125187631E-4</v>
      </c>
      <c r="J16" s="85">
        <f>SUM(J14:J15)</f>
        <v>45194.83</v>
      </c>
      <c r="K16" s="183">
        <f t="shared" si="7"/>
        <v>1</v>
      </c>
      <c r="L16" s="85">
        <f>SUM(L14:L15)</f>
        <v>119235.89</v>
      </c>
      <c r="M16" s="40">
        <v>1E-3</v>
      </c>
      <c r="N16" s="155">
        <f t="shared" si="5"/>
        <v>-0.6209628661303237</v>
      </c>
    </row>
    <row r="17" spans="1:14" ht="15" customHeight="1" thickBot="1" x14ac:dyDescent="0.25">
      <c r="A17" s="9"/>
      <c r="B17" s="2" t="s">
        <v>449</v>
      </c>
      <c r="C17" s="174">
        <v>0</v>
      </c>
      <c r="D17" s="380" t="s">
        <v>135</v>
      </c>
      <c r="E17" s="164"/>
      <c r="F17" s="287">
        <f>E17/E18</f>
        <v>0</v>
      </c>
      <c r="G17" s="85">
        <v>0</v>
      </c>
      <c r="H17" s="287" t="s">
        <v>135</v>
      </c>
      <c r="I17" s="91" t="s">
        <v>135</v>
      </c>
      <c r="J17" s="85">
        <v>0</v>
      </c>
      <c r="K17" s="183" t="s">
        <v>135</v>
      </c>
      <c r="L17" s="85">
        <v>0</v>
      </c>
      <c r="M17" s="363" t="s">
        <v>135</v>
      </c>
      <c r="N17" s="155"/>
    </row>
    <row r="18" spans="1:14" s="6" customFormat="1" ht="19.5" customHeight="1" thickBot="1" x14ac:dyDescent="0.25">
      <c r="A18" s="5"/>
      <c r="B18" s="4" t="s">
        <v>55</v>
      </c>
      <c r="C18" s="175">
        <f>C10+C13+C16+C17</f>
        <v>2550566229.5</v>
      </c>
      <c r="D18" s="289" t="s">
        <v>135</v>
      </c>
      <c r="E18" s="166">
        <f t="shared" ref="E18:G18" si="8">+E10+E13+E16+E17</f>
        <v>2550566229.5</v>
      </c>
      <c r="F18" s="289" t="s">
        <v>135</v>
      </c>
      <c r="G18" s="167">
        <f t="shared" si="8"/>
        <v>134814582.02000001</v>
      </c>
      <c r="H18" s="289" t="s">
        <v>135</v>
      </c>
      <c r="I18" s="168">
        <f t="shared" si="6"/>
        <v>5.2856726659643874E-2</v>
      </c>
      <c r="J18" s="167">
        <f>+J10+J13+J16+J17</f>
        <v>27021345.52</v>
      </c>
      <c r="K18" s="187">
        <f t="shared" si="7"/>
        <v>0.20043340353190672</v>
      </c>
      <c r="L18" s="158">
        <f>+L10+L13+L16</f>
        <v>123347249.28999999</v>
      </c>
      <c r="M18" s="204">
        <v>4.7920459496188728E-2</v>
      </c>
      <c r="N18" s="157">
        <f t="shared" si="5"/>
        <v>9.2967883726692069E-2</v>
      </c>
    </row>
    <row r="19" spans="1:14" x14ac:dyDescent="0.2">
      <c r="A19" s="276" t="s">
        <v>509</v>
      </c>
      <c r="B19" s="276"/>
    </row>
    <row r="29" spans="1:14" x14ac:dyDescent="0.2">
      <c r="E29" s="43"/>
    </row>
  </sheetData>
  <mergeCells count="2">
    <mergeCell ref="L2:M2"/>
    <mergeCell ref="E2:K2"/>
  </mergeCells>
  <dataValidations count="1">
    <dataValidation type="list" allowBlank="1" showInputMessage="1" showErrorMessage="1" sqref="C23">
      <formula1>"Hola,Adeu"</formula1>
    </dataValidation>
  </dataValidations>
  <printOptions horizontalCentered="1"/>
  <pageMargins left="0.51181102362204722" right="0.51181102362204722" top="1.1417322834645669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Gener&amp;R&amp;"Arial,Negreta"&amp;8&amp;K03+000Direcció de Pressupostos i Política Fiscal</oddHeader>
  </headerFooter>
  <ignoredErrors>
    <ignoredError sqref="F10 K10 D10 F13 D16 D13 F16 K16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M15"/>
  <sheetViews>
    <sheetView workbookViewId="0">
      <selection activeCell="C7" sqref="C7"/>
    </sheetView>
  </sheetViews>
  <sheetFormatPr defaultColWidth="11.42578125" defaultRowHeight="12.75" x14ac:dyDescent="0.2"/>
  <cols>
    <col min="1" max="1" width="23" customWidth="1"/>
    <col min="2" max="2" width="11.42578125" style="43" bestFit="1" customWidth="1"/>
    <col min="3" max="3" width="13.28515625" style="43" bestFit="1" customWidth="1"/>
    <col min="5" max="5" width="2.42578125" bestFit="1" customWidth="1"/>
    <col min="7" max="7" width="2.42578125" bestFit="1" customWidth="1"/>
    <col min="9" max="9" width="2.42578125" bestFit="1" customWidth="1"/>
  </cols>
  <sheetData>
    <row r="1" spans="1:13" ht="15" x14ac:dyDescent="0.25">
      <c r="A1" s="7" t="s">
        <v>140</v>
      </c>
    </row>
    <row r="3" spans="1:13" ht="25.5" x14ac:dyDescent="0.2">
      <c r="A3" s="2" t="s">
        <v>153</v>
      </c>
      <c r="B3" s="44" t="s">
        <v>13</v>
      </c>
      <c r="C3" s="44" t="s">
        <v>14</v>
      </c>
      <c r="D3" s="44" t="s">
        <v>15</v>
      </c>
      <c r="E3" s="44" t="s">
        <v>18</v>
      </c>
      <c r="F3" s="44" t="s">
        <v>16</v>
      </c>
      <c r="G3" s="44" t="s">
        <v>18</v>
      </c>
      <c r="H3" s="44" t="s">
        <v>17</v>
      </c>
      <c r="I3" s="44" t="s">
        <v>18</v>
      </c>
    </row>
    <row r="4" spans="1:13" s="48" customFormat="1" x14ac:dyDescent="0.2">
      <c r="A4" s="47" t="s">
        <v>141</v>
      </c>
      <c r="B4" s="53">
        <f>+DCap!C17-'ICap '!C18</f>
        <v>0</v>
      </c>
      <c r="C4" s="53">
        <f>+DCap!E17-'ICap '!E18</f>
        <v>0</v>
      </c>
      <c r="D4" s="53"/>
      <c r="E4" s="53"/>
      <c r="F4" s="53"/>
      <c r="G4" s="53"/>
      <c r="H4" s="53"/>
      <c r="I4" s="53"/>
    </row>
    <row r="5" spans="1:13" s="48" customFormat="1" x14ac:dyDescent="0.2">
      <c r="A5" s="47" t="s">
        <v>142</v>
      </c>
      <c r="B5" s="53">
        <f>+DProg!C76-DCap!C17</f>
        <v>0</v>
      </c>
      <c r="C5" s="53">
        <f>+DProg!D76-DCap!E17</f>
        <v>0</v>
      </c>
      <c r="D5" s="53">
        <f>+DProg!E76-DCap!G17</f>
        <v>0</v>
      </c>
      <c r="E5" s="53"/>
      <c r="F5" s="53">
        <f>+DProg!G76-DCap!I17</f>
        <v>0</v>
      </c>
      <c r="G5" s="53"/>
      <c r="H5" s="53">
        <f>+DProg!I76-DCap!K17</f>
        <v>0</v>
      </c>
      <c r="I5" s="53"/>
    </row>
    <row r="6" spans="1:13" s="48" customFormat="1" x14ac:dyDescent="0.2">
      <c r="A6" s="47" t="s">
        <v>143</v>
      </c>
      <c r="B6" s="53">
        <f>+DOrg!C27-DCap!C17</f>
        <v>0</v>
      </c>
      <c r="C6" s="53">
        <f>+DOrg!D27-DCap!E17</f>
        <v>0</v>
      </c>
      <c r="D6" s="53">
        <f>+DOrg!E27-DCap!G17</f>
        <v>0</v>
      </c>
      <c r="E6" s="53"/>
      <c r="F6" s="53">
        <f>+DOrg!G27-DCap!I17</f>
        <v>0</v>
      </c>
      <c r="G6" s="53"/>
      <c r="H6" s="53">
        <f>+DOrg!I27-DCap!K17</f>
        <v>0</v>
      </c>
      <c r="I6" s="53"/>
    </row>
    <row r="7" spans="1:13" x14ac:dyDescent="0.2">
      <c r="A7" s="38" t="s">
        <v>144</v>
      </c>
      <c r="B7" s="32">
        <f>+DOrg!C5-'DCap 01'!C16</f>
        <v>0</v>
      </c>
      <c r="C7" s="32">
        <f>+DOrg!D5-'DCap 01'!D16</f>
        <v>0</v>
      </c>
      <c r="D7" s="32">
        <f>+DOrg!E5-'DCap 01'!E16</f>
        <v>0</v>
      </c>
      <c r="E7" s="32"/>
      <c r="F7" s="32">
        <f>+DOrg!G5-'DCap 01'!G16</f>
        <v>0</v>
      </c>
      <c r="G7" s="32"/>
      <c r="H7" s="32">
        <f>+DOrg!I5-'DCap 01'!I16</f>
        <v>0</v>
      </c>
      <c r="I7" s="53"/>
    </row>
    <row r="8" spans="1:13" x14ac:dyDescent="0.2">
      <c r="A8" s="38" t="s">
        <v>145</v>
      </c>
      <c r="B8" s="32">
        <f>+DOrg!C6-'DCap 02'!C17</f>
        <v>0</v>
      </c>
      <c r="C8" s="32">
        <f>+DOrg!D6-'DCap 02'!D17</f>
        <v>0</v>
      </c>
      <c r="D8" s="32">
        <f>+DOrg!E6-'DCap 02'!E17</f>
        <v>0</v>
      </c>
      <c r="E8" s="32"/>
      <c r="F8" s="32">
        <f>+DOrg!G6-'DCap 02'!G17</f>
        <v>0</v>
      </c>
      <c r="G8" s="32"/>
      <c r="H8" s="32">
        <f>+DOrg!I6-'DCap 02'!I17</f>
        <v>0</v>
      </c>
      <c r="I8" s="53"/>
      <c r="M8" s="495"/>
    </row>
    <row r="9" spans="1:13" x14ac:dyDescent="0.2">
      <c r="A9" s="38" t="s">
        <v>146</v>
      </c>
      <c r="B9" s="32">
        <f>+DOrg!C9-'DCap 0502'!C16</f>
        <v>0</v>
      </c>
      <c r="C9" s="32">
        <f>+DOrg!D9-'DCap 0502'!D16</f>
        <v>0</v>
      </c>
      <c r="D9" s="32">
        <f>+DOrg!E9-'DCap 0502'!E16</f>
        <v>0</v>
      </c>
      <c r="E9" s="32"/>
      <c r="F9" s="32">
        <f>+DOrg!G9-'DCap 0502'!G16</f>
        <v>0</v>
      </c>
      <c r="G9" s="32"/>
      <c r="H9" s="32">
        <f>+DOrg!I9-'DCap 0502'!I16</f>
        <v>0</v>
      </c>
      <c r="I9" s="53"/>
    </row>
    <row r="10" spans="1:13" x14ac:dyDescent="0.2">
      <c r="A10" s="38" t="s">
        <v>147</v>
      </c>
      <c r="B10" s="32">
        <f>+DOrg!C7-'DCap 04'!C16</f>
        <v>0</v>
      </c>
      <c r="C10" s="32">
        <f>+DOrg!D7-'DCap 04'!D16</f>
        <v>0</v>
      </c>
      <c r="D10" s="32">
        <f>+DOrg!E7-'DCap 04'!E16</f>
        <v>0</v>
      </c>
      <c r="E10" s="32"/>
      <c r="F10" s="32">
        <f>+DOrg!G7-'DCap 04'!G16</f>
        <v>0</v>
      </c>
      <c r="G10" s="32"/>
      <c r="H10" s="32">
        <f>+DOrg!I7-'DCap 04'!I16</f>
        <v>0</v>
      </c>
      <c r="I10" s="53"/>
    </row>
    <row r="11" spans="1:13" x14ac:dyDescent="0.2">
      <c r="A11" s="38" t="s">
        <v>148</v>
      </c>
      <c r="B11" s="32">
        <f>+DOrg!C8-'DCap 0501'!C16</f>
        <v>0</v>
      </c>
      <c r="C11" s="32">
        <f>+DOrg!D8-'DCap 0501'!D16</f>
        <v>0</v>
      </c>
      <c r="D11" s="32">
        <f>+DOrg!E8-'DCap 0501'!E16</f>
        <v>0</v>
      </c>
      <c r="E11" s="32"/>
      <c r="F11" s="32">
        <f>+DOrg!G8-'DCap 0501'!G16</f>
        <v>0</v>
      </c>
      <c r="G11" s="32"/>
      <c r="H11" s="32">
        <f>+DOrg!I8-'DCap 0501'!I16</f>
        <v>0</v>
      </c>
      <c r="I11" s="53"/>
    </row>
    <row r="12" spans="1:13" x14ac:dyDescent="0.2">
      <c r="A12" s="38" t="s">
        <v>149</v>
      </c>
      <c r="B12" s="32">
        <f>+DOrg!C12-'DCap 07'!C16</f>
        <v>0</v>
      </c>
      <c r="C12" s="32">
        <f>+DOrg!D12-'DCap 07'!D16</f>
        <v>0</v>
      </c>
      <c r="D12" s="32">
        <f>+DOrg!E12-'DCap 07'!E16</f>
        <v>0</v>
      </c>
      <c r="E12" s="32"/>
      <c r="F12" s="32">
        <f>+DOrg!G12-'DCap 07'!G16</f>
        <v>0</v>
      </c>
      <c r="G12" s="32"/>
      <c r="H12" s="32">
        <f>+DOrg!I12-'DCap 07'!I16</f>
        <v>0</v>
      </c>
      <c r="I12" s="53"/>
    </row>
    <row r="13" spans="1:13" x14ac:dyDescent="0.2">
      <c r="A13" s="38" t="s">
        <v>150</v>
      </c>
      <c r="B13" s="32">
        <f>+DOrg!C14-'DCap 08'!C16</f>
        <v>0</v>
      </c>
      <c r="C13" s="32">
        <f>+DOrg!D14-'DCap 08'!D16</f>
        <v>0</v>
      </c>
      <c r="D13" s="32">
        <f>+DOrg!E14-'DCap 08'!E16</f>
        <v>0</v>
      </c>
      <c r="E13" s="32"/>
      <c r="F13" s="32">
        <f>+DOrg!G14-'DCap 08'!G16</f>
        <v>0</v>
      </c>
      <c r="G13" s="32"/>
      <c r="H13" s="32">
        <f>+DOrg!I14-'DCap 08'!I16</f>
        <v>0</v>
      </c>
      <c r="I13" s="53"/>
    </row>
    <row r="14" spans="1:13" x14ac:dyDescent="0.2">
      <c r="A14" s="38" t="s">
        <v>151</v>
      </c>
      <c r="B14" s="32">
        <f>+DOrg!C13-'DCap 0703'!C17</f>
        <v>0</v>
      </c>
      <c r="C14" s="32">
        <f>+DOrg!D13-'DCap 0703'!D17</f>
        <v>0</v>
      </c>
      <c r="D14" s="32">
        <f>+DOrg!E13-'DCap 0703'!E17</f>
        <v>0</v>
      </c>
      <c r="E14" s="32"/>
      <c r="F14" s="32">
        <f>+DOrg!G13-'DCap 0703'!G17</f>
        <v>0</v>
      </c>
      <c r="G14" s="32"/>
      <c r="H14" s="32">
        <f>+DOrg!I13-'DCap 0703'!I17</f>
        <v>0</v>
      </c>
      <c r="I14" s="53"/>
    </row>
    <row r="15" spans="1:13" x14ac:dyDescent="0.2">
      <c r="A15" s="38" t="s">
        <v>152</v>
      </c>
      <c r="B15" s="32">
        <f>+DOrg!C26-'DCap 06'!C16</f>
        <v>0</v>
      </c>
      <c r="C15" s="32">
        <f>+DOrg!D26-'DCap 06'!D16</f>
        <v>0</v>
      </c>
      <c r="D15" s="32">
        <f>+DOrg!E26-'DCap 06'!E16</f>
        <v>0</v>
      </c>
      <c r="E15" s="32"/>
      <c r="F15" s="32">
        <f>+DOrg!G26-'DCap 06'!G16</f>
        <v>0</v>
      </c>
      <c r="G15" s="32"/>
      <c r="H15" s="32">
        <f>+DOrg!I26-'DCap 06'!I16</f>
        <v>0</v>
      </c>
      <c r="I15" s="53"/>
    </row>
  </sheetData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Gener&amp;R&amp;"Arial,Negreta"&amp;8&amp;K03+000Direcció de Serveis de Pressupost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92D050"/>
  </sheetPr>
  <dimension ref="A1:R82"/>
  <sheetViews>
    <sheetView topLeftCell="A48" zoomScaleNormal="100" workbookViewId="0">
      <selection activeCell="G23" sqref="G23"/>
    </sheetView>
  </sheetViews>
  <sheetFormatPr defaultColWidth="11.42578125" defaultRowHeight="12.75" x14ac:dyDescent="0.2"/>
  <cols>
    <col min="1" max="1" width="2.7109375" customWidth="1"/>
    <col min="2" max="2" width="35.28515625" customWidth="1"/>
    <col min="3" max="3" width="13.28515625" bestFit="1" customWidth="1"/>
    <col min="4" max="4" width="11.5703125" bestFit="1" customWidth="1"/>
    <col min="5" max="5" width="10.85546875" customWidth="1"/>
    <col min="6" max="6" width="8" style="98" customWidth="1"/>
    <col min="7" max="7" width="11.140625" bestFit="1" customWidth="1"/>
    <col min="8" max="8" width="6.140625" style="98" customWidth="1"/>
    <col min="9" max="9" width="11.28515625" customWidth="1"/>
    <col min="10" max="10" width="8.5703125" style="98" bestFit="1" customWidth="1"/>
    <col min="11" max="11" width="7.140625" style="98" bestFit="1" customWidth="1"/>
    <col min="12" max="12" width="21.7109375" style="59" bestFit="1" customWidth="1"/>
    <col min="14" max="14" width="12.7109375" bestFit="1" customWidth="1"/>
    <col min="16" max="16" width="12.7109375" bestFit="1" customWidth="1"/>
  </cols>
  <sheetData>
    <row r="1" spans="1:17" ht="15.75" thickBot="1" x14ac:dyDescent="0.3">
      <c r="A1" s="7" t="s">
        <v>234</v>
      </c>
      <c r="E1" t="s">
        <v>154</v>
      </c>
    </row>
    <row r="2" spans="1:17" x14ac:dyDescent="0.2">
      <c r="A2" s="8" t="s">
        <v>297</v>
      </c>
      <c r="C2" s="176" t="s">
        <v>512</v>
      </c>
      <c r="D2" s="647" t="s">
        <v>510</v>
      </c>
      <c r="E2" s="648"/>
      <c r="F2" s="648"/>
      <c r="G2" s="648"/>
      <c r="H2" s="649"/>
      <c r="I2" s="644" t="s">
        <v>511</v>
      </c>
      <c r="J2" s="645"/>
      <c r="K2" s="219"/>
    </row>
    <row r="3" spans="1:17" x14ac:dyDescent="0.2">
      <c r="C3" s="169">
        <v>1</v>
      </c>
      <c r="D3" s="159">
        <v>2</v>
      </c>
      <c r="E3" s="88">
        <v>3</v>
      </c>
      <c r="F3" s="89" t="s">
        <v>39</v>
      </c>
      <c r="G3" s="88">
        <v>4</v>
      </c>
      <c r="H3" s="160" t="s">
        <v>49</v>
      </c>
      <c r="I3" s="88" t="s">
        <v>50</v>
      </c>
      <c r="J3" s="16" t="s">
        <v>51</v>
      </c>
      <c r="K3" s="150" t="s">
        <v>366</v>
      </c>
      <c r="M3" s="368"/>
      <c r="O3" s="368"/>
    </row>
    <row r="4" spans="1:17" ht="25.5" x14ac:dyDescent="0.2">
      <c r="A4" s="1"/>
      <c r="B4" s="2" t="s">
        <v>156</v>
      </c>
      <c r="C4" s="170" t="s">
        <v>47</v>
      </c>
      <c r="D4" s="120" t="s">
        <v>48</v>
      </c>
      <c r="E4" s="90" t="s">
        <v>139</v>
      </c>
      <c r="F4" s="90" t="s">
        <v>18</v>
      </c>
      <c r="G4" s="90" t="s">
        <v>422</v>
      </c>
      <c r="H4" s="121" t="s">
        <v>18</v>
      </c>
      <c r="I4" s="90" t="s">
        <v>139</v>
      </c>
      <c r="J4" s="12" t="s">
        <v>18</v>
      </c>
      <c r="K4" s="151" t="s">
        <v>553</v>
      </c>
      <c r="L4" s="57" t="s">
        <v>169</v>
      </c>
      <c r="M4" s="368"/>
      <c r="O4" s="368"/>
    </row>
    <row r="5" spans="1:17" s="302" customFormat="1" ht="15" customHeight="1" x14ac:dyDescent="0.2">
      <c r="A5" s="296"/>
      <c r="B5" s="296" t="s">
        <v>157</v>
      </c>
      <c r="C5" s="306">
        <v>623411010</v>
      </c>
      <c r="D5" s="307">
        <v>623411010</v>
      </c>
      <c r="E5" s="143">
        <v>844936.06</v>
      </c>
      <c r="F5" s="416">
        <f>+E5/D5</f>
        <v>1.3553434996279583E-3</v>
      </c>
      <c r="G5" s="143">
        <v>391661.17</v>
      </c>
      <c r="H5" s="407">
        <f>+G5/E5</f>
        <v>0.46353941859221864</v>
      </c>
      <c r="I5" s="299">
        <v>1376378.18</v>
      </c>
      <c r="J5" s="416">
        <v>2.3256349046768578E-3</v>
      </c>
      <c r="K5" s="300">
        <f>+E5/I5-1</f>
        <v>-0.38611635066751782</v>
      </c>
      <c r="L5" s="301" t="s">
        <v>170</v>
      </c>
      <c r="M5" s="368"/>
      <c r="N5"/>
      <c r="O5" s="370"/>
    </row>
    <row r="6" spans="1:17" s="302" customFormat="1" ht="15" customHeight="1" x14ac:dyDescent="0.2">
      <c r="A6" s="303"/>
      <c r="B6" s="303" t="s">
        <v>159</v>
      </c>
      <c r="C6" s="306">
        <v>58620000</v>
      </c>
      <c r="D6" s="307">
        <v>58620000</v>
      </c>
      <c r="E6" s="143">
        <v>243103.6</v>
      </c>
      <c r="F6" s="352">
        <f t="shared" ref="F6:F67" si="0">+E6/D6</f>
        <v>4.1471102012964863E-3</v>
      </c>
      <c r="G6" s="143">
        <v>235164.38</v>
      </c>
      <c r="H6" s="407">
        <f t="shared" ref="H6:H11" si="1">+G6/E6</f>
        <v>0.96734223598498748</v>
      </c>
      <c r="I6" s="143">
        <v>221654.81</v>
      </c>
      <c r="J6" s="352">
        <v>3.7812147731149776E-3</v>
      </c>
      <c r="K6" s="308">
        <f t="shared" ref="K6:K67" si="2">+E6/I6-1</f>
        <v>9.6766634570213172E-2</v>
      </c>
      <c r="L6" s="304">
        <v>115</v>
      </c>
      <c r="M6" s="368"/>
      <c r="N6"/>
      <c r="O6" s="368"/>
    </row>
    <row r="7" spans="1:17" s="302" customFormat="1" ht="15" customHeight="1" x14ac:dyDescent="0.2">
      <c r="A7" s="303"/>
      <c r="B7" s="303" t="s">
        <v>158</v>
      </c>
      <c r="C7" s="306">
        <v>120814000</v>
      </c>
      <c r="D7" s="307">
        <v>120814000</v>
      </c>
      <c r="E7" s="143">
        <v>17999865.27</v>
      </c>
      <c r="F7" s="352">
        <f t="shared" si="0"/>
        <v>0.14898824035293923</v>
      </c>
      <c r="G7" s="143">
        <v>17540149.579999998</v>
      </c>
      <c r="H7" s="407">
        <f t="shared" si="1"/>
        <v>0.97446004827790578</v>
      </c>
      <c r="I7" s="143">
        <v>14816191.27</v>
      </c>
      <c r="J7" s="352">
        <v>0.16904390646570902</v>
      </c>
      <c r="K7" s="308">
        <f t="shared" si="2"/>
        <v>0.21487803052639731</v>
      </c>
      <c r="L7" s="304">
        <v>116</v>
      </c>
      <c r="M7" s="368"/>
      <c r="N7"/>
      <c r="O7" s="368"/>
    </row>
    <row r="8" spans="1:17" s="302" customFormat="1" ht="15" customHeight="1" x14ac:dyDescent="0.2">
      <c r="A8" s="303"/>
      <c r="B8" s="303" t="s">
        <v>160</v>
      </c>
      <c r="C8" s="306">
        <v>89678010</v>
      </c>
      <c r="D8" s="307">
        <v>89678010</v>
      </c>
      <c r="E8" s="143">
        <v>1431573.9</v>
      </c>
      <c r="F8" s="352">
        <f t="shared" si="0"/>
        <v>1.596348870810135E-2</v>
      </c>
      <c r="G8" s="143">
        <v>107696.46</v>
      </c>
      <c r="H8" s="407">
        <f t="shared" si="1"/>
        <v>7.5229410091927504E-2</v>
      </c>
      <c r="I8" s="143">
        <v>1358655.73</v>
      </c>
      <c r="J8" s="352">
        <v>1.4876008203476525E-2</v>
      </c>
      <c r="K8" s="308">
        <f t="shared" si="2"/>
        <v>5.3669350071485766E-2</v>
      </c>
      <c r="L8" s="304">
        <v>130</v>
      </c>
      <c r="M8" s="496"/>
      <c r="N8"/>
      <c r="O8" s="368"/>
    </row>
    <row r="9" spans="1:17" s="302" customFormat="1" ht="15" customHeight="1" x14ac:dyDescent="0.2">
      <c r="A9" s="305"/>
      <c r="B9" s="305" t="s">
        <v>363</v>
      </c>
      <c r="C9" s="306">
        <v>10</v>
      </c>
      <c r="D9" s="307">
        <v>10</v>
      </c>
      <c r="E9" s="143">
        <v>0</v>
      </c>
      <c r="F9" s="352" t="s">
        <v>135</v>
      </c>
      <c r="G9" s="143">
        <v>0</v>
      </c>
      <c r="H9" s="407" t="s">
        <v>135</v>
      </c>
      <c r="I9" s="442">
        <v>9.06</v>
      </c>
      <c r="J9" s="352">
        <v>1.4876008203476525E-2</v>
      </c>
      <c r="K9" s="308">
        <f>E9/I9-1</f>
        <v>-1</v>
      </c>
      <c r="L9" s="304">
        <v>180</v>
      </c>
      <c r="M9" s="368"/>
      <c r="N9" s="368"/>
      <c r="O9" s="368"/>
    </row>
    <row r="10" spans="1:17" s="302" customFormat="1" ht="15" customHeight="1" x14ac:dyDescent="0.2">
      <c r="A10" s="305"/>
      <c r="B10" s="305" t="s">
        <v>161</v>
      </c>
      <c r="C10" s="306">
        <v>16767000</v>
      </c>
      <c r="D10" s="307">
        <v>16767000</v>
      </c>
      <c r="E10" s="143">
        <v>2451813.46</v>
      </c>
      <c r="F10" s="417">
        <f t="shared" si="0"/>
        <v>0.14622851195801276</v>
      </c>
      <c r="G10" s="143">
        <v>2168582.87</v>
      </c>
      <c r="H10" s="407">
        <f t="shared" si="1"/>
        <v>0.88448118316472579</v>
      </c>
      <c r="I10" s="309">
        <v>1046462.69</v>
      </c>
      <c r="J10" s="417">
        <v>7.0232395302013417E-2</v>
      </c>
      <c r="K10" s="310">
        <f t="shared" si="2"/>
        <v>1.3429535361647726</v>
      </c>
      <c r="L10" s="304">
        <v>290</v>
      </c>
      <c r="M10" s="368"/>
      <c r="N10" s="368"/>
      <c r="O10" s="368"/>
    </row>
    <row r="11" spans="1:17" ht="15" customHeight="1" x14ac:dyDescent="0.2">
      <c r="A11" s="9"/>
      <c r="B11" s="2" t="s">
        <v>162</v>
      </c>
      <c r="C11" s="174">
        <f>SUM(C5:C10)</f>
        <v>909290030</v>
      </c>
      <c r="D11" s="164">
        <f>SUM(D5:D10)</f>
        <v>909290030</v>
      </c>
      <c r="E11" s="85">
        <f>SUM(E5:E10)</f>
        <v>22971292.289999999</v>
      </c>
      <c r="F11" s="91">
        <f t="shared" si="0"/>
        <v>2.526288811282798E-2</v>
      </c>
      <c r="G11" s="85">
        <f>SUM(G5:G10)</f>
        <v>20443254.460000001</v>
      </c>
      <c r="H11" s="91">
        <f t="shared" si="1"/>
        <v>0.88994794902764274</v>
      </c>
      <c r="I11" s="85">
        <f>SUM(I5:I10)</f>
        <v>18819351.739999998</v>
      </c>
      <c r="J11" s="40">
        <v>2.1999999999999999E-2</v>
      </c>
      <c r="K11" s="155">
        <f t="shared" si="2"/>
        <v>0.22062080603845513</v>
      </c>
      <c r="M11" s="368"/>
      <c r="N11" s="368"/>
      <c r="O11" s="368"/>
      <c r="P11" s="302"/>
      <c r="Q11" s="302"/>
    </row>
    <row r="12" spans="1:17" s="302" customFormat="1" ht="15" customHeight="1" x14ac:dyDescent="0.2">
      <c r="A12" s="296"/>
      <c r="B12" s="296" t="s">
        <v>163</v>
      </c>
      <c r="C12" s="306">
        <v>90227080</v>
      </c>
      <c r="D12" s="307">
        <v>90227080</v>
      </c>
      <c r="E12" s="143">
        <v>7515171.8699999992</v>
      </c>
      <c r="F12" s="416">
        <f t="shared" si="0"/>
        <v>8.3291755313371546E-2</v>
      </c>
      <c r="G12" s="299">
        <v>0</v>
      </c>
      <c r="H12" s="390">
        <f t="shared" ref="H12:H67" si="3">+G12/E12</f>
        <v>0</v>
      </c>
      <c r="I12" s="299">
        <v>6769140.3700000001</v>
      </c>
      <c r="J12" s="416">
        <v>0.08</v>
      </c>
      <c r="K12" s="300">
        <f t="shared" si="2"/>
        <v>0.11021067066452317</v>
      </c>
      <c r="L12" s="301" t="s">
        <v>171</v>
      </c>
      <c r="M12" s="368"/>
      <c r="N12" s="368"/>
      <c r="O12" s="368"/>
    </row>
    <row r="13" spans="1:17" s="302" customFormat="1" ht="15" customHeight="1" x14ac:dyDescent="0.2">
      <c r="A13" s="305"/>
      <c r="B13" s="305" t="s">
        <v>164</v>
      </c>
      <c r="C13" s="306">
        <v>936468101.54999995</v>
      </c>
      <c r="D13" s="307">
        <v>936468101.54999995</v>
      </c>
      <c r="E13" s="143">
        <v>82764912.539999992</v>
      </c>
      <c r="F13" s="417">
        <f t="shared" si="0"/>
        <v>8.8379852344154838E-2</v>
      </c>
      <c r="G13" s="309">
        <v>0</v>
      </c>
      <c r="H13" s="408">
        <f t="shared" si="3"/>
        <v>0</v>
      </c>
      <c r="I13" s="309">
        <v>78336918.230000004</v>
      </c>
      <c r="J13" s="417">
        <v>8.2000000000000003E-2</v>
      </c>
      <c r="K13" s="310">
        <f t="shared" si="2"/>
        <v>5.6525000089986177E-2</v>
      </c>
      <c r="L13" s="301" t="s">
        <v>192</v>
      </c>
      <c r="M13" s="368"/>
      <c r="N13" s="368"/>
      <c r="O13" s="368"/>
    </row>
    <row r="14" spans="1:17" ht="15" customHeight="1" x14ac:dyDescent="0.2">
      <c r="A14" s="9"/>
      <c r="B14" s="2" t="s">
        <v>165</v>
      </c>
      <c r="C14" s="174">
        <f>SUM(C12:C13)</f>
        <v>1026695181.55</v>
      </c>
      <c r="D14" s="164">
        <f>SUM(D12:D13)</f>
        <v>1026695181.55</v>
      </c>
      <c r="E14" s="85">
        <f>SUM(E12:E13)</f>
        <v>90280084.409999996</v>
      </c>
      <c r="F14" s="91">
        <f t="shared" si="0"/>
        <v>8.7932704888810623E-2</v>
      </c>
      <c r="G14" s="85">
        <f>SUM(G12:G13)</f>
        <v>0</v>
      </c>
      <c r="H14" s="184">
        <f t="shared" si="3"/>
        <v>0</v>
      </c>
      <c r="I14" s="85">
        <f>SUM(I12:I13)</f>
        <v>85106058.600000009</v>
      </c>
      <c r="J14" s="40">
        <v>8.2000000000000003E-2</v>
      </c>
      <c r="K14" s="155">
        <f t="shared" si="2"/>
        <v>6.0795034984735929E-2</v>
      </c>
      <c r="M14" s="368"/>
      <c r="N14" s="368"/>
      <c r="O14" s="368"/>
      <c r="P14" s="302"/>
      <c r="Q14" s="302"/>
    </row>
    <row r="15" spans="1:17" s="302" customFormat="1" ht="15" customHeight="1" x14ac:dyDescent="0.2">
      <c r="A15" s="296"/>
      <c r="B15" s="296" t="s">
        <v>166</v>
      </c>
      <c r="C15" s="306">
        <v>16001258</v>
      </c>
      <c r="D15" s="299">
        <v>16001258</v>
      </c>
      <c r="E15" s="299">
        <v>0</v>
      </c>
      <c r="F15" s="418">
        <f t="shared" si="0"/>
        <v>0</v>
      </c>
      <c r="G15" s="299">
        <v>0</v>
      </c>
      <c r="H15" s="404" t="s">
        <v>135</v>
      </c>
      <c r="I15" s="299">
        <v>0</v>
      </c>
      <c r="J15" s="364" t="s">
        <v>135</v>
      </c>
      <c r="K15" s="300" t="s">
        <v>135</v>
      </c>
      <c r="L15" s="304">
        <v>32600</v>
      </c>
      <c r="M15" s="368"/>
      <c r="N15" s="368"/>
      <c r="O15" s="368"/>
    </row>
    <row r="16" spans="1:17" s="302" customFormat="1" ht="15" customHeight="1" x14ac:dyDescent="0.2">
      <c r="A16" s="296"/>
      <c r="B16" s="296" t="s">
        <v>172</v>
      </c>
      <c r="C16" s="306">
        <v>35354767</v>
      </c>
      <c r="D16" s="299">
        <v>35354767</v>
      </c>
      <c r="E16" s="299">
        <v>0</v>
      </c>
      <c r="F16" s="418">
        <f t="shared" si="0"/>
        <v>0</v>
      </c>
      <c r="G16" s="299">
        <v>0</v>
      </c>
      <c r="H16" s="404" t="s">
        <v>135</v>
      </c>
      <c r="I16" s="299">
        <v>0</v>
      </c>
      <c r="J16" s="364" t="s">
        <v>135</v>
      </c>
      <c r="K16" s="310" t="s">
        <v>135</v>
      </c>
      <c r="L16" s="304">
        <v>33000</v>
      </c>
      <c r="M16" s="368"/>
      <c r="N16" s="368"/>
      <c r="O16" s="368"/>
    </row>
    <row r="17" spans="1:15" s="302" customFormat="1" ht="15" customHeight="1" x14ac:dyDescent="0.2">
      <c r="A17" s="296"/>
      <c r="B17" s="296" t="s">
        <v>167</v>
      </c>
      <c r="C17" s="347">
        <v>12029885</v>
      </c>
      <c r="D17" s="349">
        <v>12029885</v>
      </c>
      <c r="E17" s="299">
        <v>0</v>
      </c>
      <c r="F17" s="418">
        <f>+E17/D17</f>
        <v>0</v>
      </c>
      <c r="G17" s="299">
        <v>0</v>
      </c>
      <c r="H17" s="412" t="s">
        <v>135</v>
      </c>
      <c r="I17" s="312">
        <v>0</v>
      </c>
      <c r="J17" s="364" t="s">
        <v>135</v>
      </c>
      <c r="K17" s="310" t="s">
        <v>135</v>
      </c>
      <c r="L17" s="304">
        <v>30903</v>
      </c>
      <c r="M17" s="368"/>
      <c r="N17" s="368"/>
      <c r="O17" s="368"/>
    </row>
    <row r="18" spans="1:15" s="302" customFormat="1" ht="15" customHeight="1" x14ac:dyDescent="0.2">
      <c r="A18" s="296"/>
      <c r="B18" s="378" t="s">
        <v>168</v>
      </c>
      <c r="C18" s="435">
        <v>15500000</v>
      </c>
      <c r="D18" s="413">
        <v>15500000</v>
      </c>
      <c r="E18" s="371">
        <v>865387.28</v>
      </c>
      <c r="F18" s="419">
        <f t="shared" si="0"/>
        <v>5.583143741935484E-2</v>
      </c>
      <c r="G18" s="371">
        <v>0</v>
      </c>
      <c r="H18" s="390" t="s">
        <v>135</v>
      </c>
      <c r="I18" s="371">
        <v>748312.55</v>
      </c>
      <c r="J18" s="444">
        <v>4.7E-2</v>
      </c>
      <c r="K18" s="427">
        <f t="shared" si="2"/>
        <v>0.15645164577287929</v>
      </c>
      <c r="L18" s="304">
        <v>301</v>
      </c>
      <c r="M18" s="368"/>
      <c r="N18" s="368"/>
      <c r="O18" s="368"/>
    </row>
    <row r="19" spans="1:15" s="302" customFormat="1" ht="15" customHeight="1" x14ac:dyDescent="0.2">
      <c r="A19" s="296"/>
      <c r="B19" s="377" t="s">
        <v>173</v>
      </c>
      <c r="C19" s="306">
        <v>6068000</v>
      </c>
      <c r="D19" s="307">
        <v>6068000</v>
      </c>
      <c r="E19" s="299">
        <v>459861.06</v>
      </c>
      <c r="F19" s="418">
        <f t="shared" si="0"/>
        <v>7.5784617666446938E-2</v>
      </c>
      <c r="G19" s="299">
        <v>422900.61</v>
      </c>
      <c r="H19" s="390">
        <f>+G19/E19</f>
        <v>0.91962691948737729</v>
      </c>
      <c r="I19" s="299">
        <v>441125.63</v>
      </c>
      <c r="J19" s="364">
        <v>8.7999999999999995E-2</v>
      </c>
      <c r="K19" s="428">
        <f t="shared" si="2"/>
        <v>4.2471869068228862E-2</v>
      </c>
      <c r="L19" s="304">
        <v>321</v>
      </c>
      <c r="M19" s="368"/>
      <c r="N19" s="368"/>
      <c r="O19" s="368"/>
    </row>
    <row r="20" spans="1:15" s="302" customFormat="1" ht="15" customHeight="1" x14ac:dyDescent="0.2">
      <c r="A20" s="296"/>
      <c r="B20" s="377" t="s">
        <v>174</v>
      </c>
      <c r="C20" s="306">
        <v>16757000.01</v>
      </c>
      <c r="D20" s="307">
        <v>16757000.01</v>
      </c>
      <c r="E20" s="299">
        <v>21631.38</v>
      </c>
      <c r="F20" s="418">
        <f t="shared" si="0"/>
        <v>1.2908861960429158E-3</v>
      </c>
      <c r="G20" s="299">
        <v>10192.01</v>
      </c>
      <c r="H20" s="390">
        <f>+G20/E20</f>
        <v>0.47116781268693908</v>
      </c>
      <c r="I20" s="299">
        <v>33757.9</v>
      </c>
      <c r="J20" s="364">
        <v>2E-3</v>
      </c>
      <c r="K20" s="428">
        <f t="shared" si="2"/>
        <v>-0.3592202121577468</v>
      </c>
      <c r="L20" s="304">
        <v>331</v>
      </c>
      <c r="M20" s="368"/>
      <c r="N20" s="368"/>
      <c r="O20" s="368"/>
    </row>
    <row r="21" spans="1:15" s="302" customFormat="1" ht="15" customHeight="1" x14ac:dyDescent="0.2">
      <c r="A21" s="296"/>
      <c r="B21" s="377" t="s">
        <v>175</v>
      </c>
      <c r="C21" s="306">
        <v>30559000</v>
      </c>
      <c r="D21" s="307">
        <v>30559000</v>
      </c>
      <c r="E21" s="299">
        <v>0</v>
      </c>
      <c r="F21" s="418">
        <f t="shared" si="0"/>
        <v>0</v>
      </c>
      <c r="G21" s="299">
        <v>0</v>
      </c>
      <c r="H21" s="390"/>
      <c r="I21" s="299">
        <v>0</v>
      </c>
      <c r="J21" s="364" t="s">
        <v>135</v>
      </c>
      <c r="K21" s="428"/>
      <c r="L21" s="332" t="s">
        <v>176</v>
      </c>
      <c r="M21" s="368"/>
      <c r="N21" s="368"/>
      <c r="O21" s="368"/>
    </row>
    <row r="22" spans="1:15" s="302" customFormat="1" ht="15" customHeight="1" x14ac:dyDescent="0.2">
      <c r="A22" s="296"/>
      <c r="B22" s="377" t="s">
        <v>177</v>
      </c>
      <c r="C22" s="306">
        <v>8526999.9900000002</v>
      </c>
      <c r="D22" s="307">
        <v>8526999.9900000002</v>
      </c>
      <c r="E22" s="299">
        <v>380250.87</v>
      </c>
      <c r="F22" s="418">
        <f t="shared" si="0"/>
        <v>4.4593745801095042E-2</v>
      </c>
      <c r="G22" s="299">
        <v>242536.44</v>
      </c>
      <c r="H22" s="390">
        <f t="shared" ref="H22:H25" si="4">+G22/E22</f>
        <v>0.63783270239460599</v>
      </c>
      <c r="I22" s="299">
        <v>505037.85</v>
      </c>
      <c r="J22" s="364">
        <v>6.3E-2</v>
      </c>
      <c r="K22" s="428">
        <f t="shared" si="2"/>
        <v>-0.24708441159410133</v>
      </c>
      <c r="L22" s="332">
        <v>335</v>
      </c>
      <c r="M22" s="368"/>
      <c r="N22" s="368"/>
      <c r="O22" s="368"/>
    </row>
    <row r="23" spans="1:15" s="302" customFormat="1" ht="15" customHeight="1" x14ac:dyDescent="0.2">
      <c r="A23" s="337"/>
      <c r="B23" s="602" t="s">
        <v>178</v>
      </c>
      <c r="C23" s="347">
        <v>3029617.1200000048</v>
      </c>
      <c r="D23" s="348">
        <v>3029617.1200000048</v>
      </c>
      <c r="E23" s="349">
        <v>194455.35000000033</v>
      </c>
      <c r="F23" s="423">
        <f t="shared" si="0"/>
        <v>6.4184793753740088E-2</v>
      </c>
      <c r="G23" s="349">
        <v>71196.809999999939</v>
      </c>
      <c r="H23" s="603">
        <f t="shared" si="4"/>
        <v>0.36613448794286102</v>
      </c>
      <c r="I23" s="443">
        <v>311100.7799999998</v>
      </c>
      <c r="J23" s="445">
        <v>6.8000000000000005E-2</v>
      </c>
      <c r="K23" s="429">
        <f t="shared" si="2"/>
        <v>-0.37494419011099733</v>
      </c>
      <c r="L23" s="336" t="s">
        <v>179</v>
      </c>
      <c r="M23" s="368"/>
      <c r="N23" s="368"/>
      <c r="O23" s="368"/>
    </row>
    <row r="24" spans="1:15" s="302" customFormat="1" ht="15" customHeight="1" x14ac:dyDescent="0.2">
      <c r="A24" s="296"/>
      <c r="B24" s="296" t="s">
        <v>180</v>
      </c>
      <c r="C24" s="306">
        <v>17635000</v>
      </c>
      <c r="D24" s="307">
        <v>17635000</v>
      </c>
      <c r="E24" s="299">
        <v>37394.550000000003</v>
      </c>
      <c r="F24" s="418">
        <f t="shared" si="0"/>
        <v>2.1204734902183159E-3</v>
      </c>
      <c r="G24" s="299">
        <v>38409.22</v>
      </c>
      <c r="H24" s="390">
        <f t="shared" si="4"/>
        <v>1.0271341679469335</v>
      </c>
      <c r="I24" s="299">
        <v>103804.85</v>
      </c>
      <c r="J24" s="364">
        <v>6.0000000000000001E-3</v>
      </c>
      <c r="K24" s="300">
        <f t="shared" si="2"/>
        <v>-0.6397610516271639</v>
      </c>
      <c r="L24" s="332">
        <v>34920</v>
      </c>
      <c r="M24" s="368"/>
      <c r="N24" s="368"/>
      <c r="O24" s="368"/>
    </row>
    <row r="25" spans="1:15" s="302" customFormat="1" ht="15" customHeight="1" x14ac:dyDescent="0.2">
      <c r="A25" s="296"/>
      <c r="B25" s="296" t="s">
        <v>181</v>
      </c>
      <c r="C25" s="306">
        <v>6259000</v>
      </c>
      <c r="D25" s="307">
        <v>6259000</v>
      </c>
      <c r="E25" s="299">
        <v>8565.49</v>
      </c>
      <c r="F25" s="418">
        <f t="shared" si="0"/>
        <v>1.3685077488416681E-3</v>
      </c>
      <c r="G25" s="299">
        <v>8582.6299999999992</v>
      </c>
      <c r="H25" s="390">
        <f t="shared" si="4"/>
        <v>1.0020010530629304</v>
      </c>
      <c r="I25" s="299">
        <v>37295.58</v>
      </c>
      <c r="J25" s="364">
        <v>6.0000000000000001E-3</v>
      </c>
      <c r="K25" s="300">
        <f t="shared" si="2"/>
        <v>-0.77033498339481521</v>
      </c>
      <c r="L25" s="332">
        <v>34921</v>
      </c>
      <c r="M25" s="368"/>
      <c r="N25" s="368"/>
      <c r="O25" s="368"/>
    </row>
    <row r="26" spans="1:15" s="302" customFormat="1" ht="15" customHeight="1" x14ac:dyDescent="0.2">
      <c r="A26" s="296"/>
      <c r="B26" s="296" t="s">
        <v>182</v>
      </c>
      <c r="C26" s="306">
        <v>3873362.86</v>
      </c>
      <c r="D26" s="307">
        <v>3873362.86</v>
      </c>
      <c r="E26" s="299">
        <v>209883.24</v>
      </c>
      <c r="F26" s="418">
        <f t="shared" si="0"/>
        <v>5.4186309825875696E-2</v>
      </c>
      <c r="G26" s="299">
        <v>207361.63</v>
      </c>
      <c r="H26" s="390">
        <f t="shared" si="3"/>
        <v>0.98798565335659971</v>
      </c>
      <c r="I26" s="348">
        <v>204589.4</v>
      </c>
      <c r="J26" s="364">
        <v>2.5000000000000001E-2</v>
      </c>
      <c r="K26" s="300">
        <f t="shared" si="2"/>
        <v>2.587543636180567E-2</v>
      </c>
      <c r="L26" s="379" t="s">
        <v>357</v>
      </c>
      <c r="M26" s="368"/>
      <c r="N26" s="368"/>
      <c r="O26" s="368"/>
    </row>
    <row r="27" spans="1:15" s="302" customFormat="1" ht="15" customHeight="1" x14ac:dyDescent="0.2">
      <c r="A27" s="314"/>
      <c r="B27" s="314" t="s">
        <v>555</v>
      </c>
      <c r="C27" s="315">
        <v>10</v>
      </c>
      <c r="D27" s="316">
        <v>10</v>
      </c>
      <c r="E27" s="317">
        <v>0</v>
      </c>
      <c r="F27" s="398">
        <f t="shared" si="0"/>
        <v>0</v>
      </c>
      <c r="G27" s="317">
        <v>0</v>
      </c>
      <c r="H27" s="318" t="s">
        <v>135</v>
      </c>
      <c r="I27" s="316">
        <v>0</v>
      </c>
      <c r="J27" s="446" t="s">
        <v>135</v>
      </c>
      <c r="K27" s="319" t="s">
        <v>135</v>
      </c>
      <c r="L27" s="332">
        <v>35</v>
      </c>
      <c r="M27" s="368"/>
      <c r="N27" s="368"/>
      <c r="O27" s="368"/>
    </row>
    <row r="28" spans="1:15" s="302" customFormat="1" ht="15" customHeight="1" x14ac:dyDescent="0.2">
      <c r="A28" s="296"/>
      <c r="B28" s="296" t="s">
        <v>183</v>
      </c>
      <c r="C28" s="306">
        <v>6100000</v>
      </c>
      <c r="D28" s="307">
        <v>6100000</v>
      </c>
      <c r="E28" s="299">
        <v>0</v>
      </c>
      <c r="F28" s="418">
        <f t="shared" si="0"/>
        <v>0</v>
      </c>
      <c r="G28" s="299">
        <v>0</v>
      </c>
      <c r="H28" s="390" t="s">
        <v>135</v>
      </c>
      <c r="I28" s="299">
        <v>1015510.46</v>
      </c>
      <c r="J28" s="364">
        <v>0.129</v>
      </c>
      <c r="K28" s="300">
        <f t="shared" si="2"/>
        <v>-1</v>
      </c>
      <c r="L28" s="332">
        <v>36500</v>
      </c>
      <c r="M28" s="368"/>
      <c r="N28" s="368"/>
      <c r="O28" s="368"/>
    </row>
    <row r="29" spans="1:15" s="302" customFormat="1" ht="15" customHeight="1" x14ac:dyDescent="0.2">
      <c r="A29" s="311"/>
      <c r="B29" s="311" t="s">
        <v>184</v>
      </c>
      <c r="C29" s="347">
        <v>390340</v>
      </c>
      <c r="D29" s="348">
        <v>390340</v>
      </c>
      <c r="E29" s="349">
        <v>6597.13</v>
      </c>
      <c r="F29" s="381">
        <f t="shared" si="0"/>
        <v>1.6900983757749656E-2</v>
      </c>
      <c r="G29" s="312">
        <v>0</v>
      </c>
      <c r="H29" s="409" t="s">
        <v>135</v>
      </c>
      <c r="I29" s="312">
        <v>5895.7399999999907</v>
      </c>
      <c r="J29" s="445">
        <v>1.4999999999999999E-2</v>
      </c>
      <c r="K29" s="313">
        <f t="shared" si="2"/>
        <v>0.11896555818268961</v>
      </c>
      <c r="L29" s="336" t="s">
        <v>186</v>
      </c>
      <c r="N29"/>
    </row>
    <row r="30" spans="1:15" s="302" customFormat="1" ht="15" customHeight="1" x14ac:dyDescent="0.2">
      <c r="A30" s="296"/>
      <c r="B30" s="296" t="s">
        <v>185</v>
      </c>
      <c r="C30" s="321">
        <v>870323.98</v>
      </c>
      <c r="D30" s="209">
        <v>870323.98</v>
      </c>
      <c r="E30" s="326">
        <v>314031.83</v>
      </c>
      <c r="F30" s="418">
        <f t="shared" si="0"/>
        <v>0.36082175973135894</v>
      </c>
      <c r="G30" s="134">
        <v>314031.83</v>
      </c>
      <c r="H30" s="410">
        <f t="shared" si="3"/>
        <v>1</v>
      </c>
      <c r="I30" s="299">
        <v>221670.84</v>
      </c>
      <c r="J30" s="444">
        <v>0.22500000000000001</v>
      </c>
      <c r="K30" s="430">
        <f t="shared" si="2"/>
        <v>0.41665827584719772</v>
      </c>
      <c r="L30" s="304">
        <v>38</v>
      </c>
      <c r="N30"/>
    </row>
    <row r="31" spans="1:15" s="302" customFormat="1" ht="15" customHeight="1" x14ac:dyDescent="0.2">
      <c r="A31" s="296"/>
      <c r="B31" s="296" t="s">
        <v>187</v>
      </c>
      <c r="C31" s="321">
        <v>51560750.68</v>
      </c>
      <c r="D31" s="209">
        <v>51560750.68</v>
      </c>
      <c r="E31" s="326">
        <v>9082685.9299999997</v>
      </c>
      <c r="F31" s="418">
        <f t="shared" si="0"/>
        <v>0.17615503673268088</v>
      </c>
      <c r="G31" s="134">
        <v>1406815.83</v>
      </c>
      <c r="H31" s="410">
        <f t="shared" si="3"/>
        <v>0.1548898465544542</v>
      </c>
      <c r="I31" s="299">
        <v>9059608.7799999993</v>
      </c>
      <c r="J31" s="364">
        <v>0.17</v>
      </c>
      <c r="K31" s="300">
        <f t="shared" si="2"/>
        <v>2.547256792251984E-3</v>
      </c>
      <c r="L31" s="304">
        <v>391</v>
      </c>
      <c r="N31"/>
    </row>
    <row r="32" spans="1:15" s="302" customFormat="1" ht="15" customHeight="1" x14ac:dyDescent="0.2">
      <c r="A32" s="296"/>
      <c r="B32" s="296" t="s">
        <v>188</v>
      </c>
      <c r="C32" s="321">
        <v>10708000</v>
      </c>
      <c r="D32" s="209">
        <v>10708000</v>
      </c>
      <c r="E32" s="326">
        <v>440392.28</v>
      </c>
      <c r="F32" s="418">
        <f t="shared" si="0"/>
        <v>4.1127407545760185E-2</v>
      </c>
      <c r="G32" s="134">
        <v>440392.28</v>
      </c>
      <c r="H32" s="410">
        <f t="shared" si="3"/>
        <v>1</v>
      </c>
      <c r="I32" s="299">
        <v>634755.86</v>
      </c>
      <c r="J32" s="364">
        <v>6.2E-2</v>
      </c>
      <c r="K32" s="300">
        <f t="shared" si="2"/>
        <v>-0.30620210422318894</v>
      </c>
      <c r="L32" s="304">
        <v>392</v>
      </c>
    </row>
    <row r="33" spans="1:18" s="302" customFormat="1" ht="15" customHeight="1" x14ac:dyDescent="0.2">
      <c r="A33" s="296"/>
      <c r="B33" s="320" t="s">
        <v>189</v>
      </c>
      <c r="C33" s="321">
        <v>7163000</v>
      </c>
      <c r="D33" s="209">
        <v>7163000</v>
      </c>
      <c r="E33" s="326">
        <v>486225.31</v>
      </c>
      <c r="F33" s="335">
        <f t="shared" si="0"/>
        <v>6.7880121457489881E-2</v>
      </c>
      <c r="G33" s="134">
        <v>295989.51</v>
      </c>
      <c r="H33" s="410">
        <f t="shared" si="3"/>
        <v>0.60874969671981904</v>
      </c>
      <c r="I33" s="134">
        <v>443543.84</v>
      </c>
      <c r="J33" s="364">
        <v>6.9000000000000006E-2</v>
      </c>
      <c r="K33" s="300">
        <f t="shared" si="2"/>
        <v>9.6228300679364498E-2</v>
      </c>
      <c r="L33" s="304">
        <v>393</v>
      </c>
      <c r="N33"/>
    </row>
    <row r="34" spans="1:18" s="302" customFormat="1" ht="15" customHeight="1" x14ac:dyDescent="0.2">
      <c r="A34" s="296"/>
      <c r="B34" s="322" t="s">
        <v>367</v>
      </c>
      <c r="C34" s="321">
        <v>10</v>
      </c>
      <c r="D34" s="209">
        <v>10</v>
      </c>
      <c r="E34" s="326">
        <v>0</v>
      </c>
      <c r="F34" s="323" t="s">
        <v>135</v>
      </c>
      <c r="G34" s="134">
        <v>0</v>
      </c>
      <c r="H34" s="324" t="s">
        <v>135</v>
      </c>
      <c r="I34" s="134">
        <v>0</v>
      </c>
      <c r="J34" s="364" t="s">
        <v>135</v>
      </c>
      <c r="K34" s="300" t="s">
        <v>135</v>
      </c>
      <c r="L34" s="304">
        <v>396</v>
      </c>
      <c r="N34" s="6"/>
    </row>
    <row r="35" spans="1:18" s="302" customFormat="1" ht="15" customHeight="1" x14ac:dyDescent="0.2">
      <c r="A35" s="325"/>
      <c r="B35" s="257" t="s">
        <v>424</v>
      </c>
      <c r="C35" s="321">
        <v>10</v>
      </c>
      <c r="D35" s="209">
        <v>10</v>
      </c>
      <c r="E35" s="326">
        <v>0</v>
      </c>
      <c r="F35" s="327" t="s">
        <v>135</v>
      </c>
      <c r="G35" s="134">
        <v>0</v>
      </c>
      <c r="H35" s="328" t="s">
        <v>135</v>
      </c>
      <c r="I35" s="326">
        <v>0</v>
      </c>
      <c r="J35" s="364" t="s">
        <v>135</v>
      </c>
      <c r="K35" s="300" t="s">
        <v>135</v>
      </c>
      <c r="L35" s="304">
        <v>397</v>
      </c>
      <c r="N35"/>
    </row>
    <row r="36" spans="1:18" s="302" customFormat="1" ht="15" customHeight="1" x14ac:dyDescent="0.2">
      <c r="A36" s="325"/>
      <c r="B36" s="276" t="s">
        <v>190</v>
      </c>
      <c r="C36" s="321">
        <v>11693727.279999999</v>
      </c>
      <c r="D36" s="209">
        <v>11693727.279999999</v>
      </c>
      <c r="E36" s="326">
        <v>206415.55</v>
      </c>
      <c r="F36" s="420">
        <f t="shared" si="0"/>
        <v>1.7651818368728023E-2</v>
      </c>
      <c r="G36" s="134">
        <v>35537</v>
      </c>
      <c r="H36" s="411">
        <f t="shared" si="3"/>
        <v>0.17216241702720556</v>
      </c>
      <c r="I36" s="329">
        <v>189810.27</v>
      </c>
      <c r="J36" s="447">
        <v>1.4999999999999999E-2</v>
      </c>
      <c r="K36" s="330">
        <f t="shared" si="2"/>
        <v>8.7483569777336179E-2</v>
      </c>
      <c r="L36" s="304">
        <v>399</v>
      </c>
      <c r="N36"/>
    </row>
    <row r="37" spans="1:18" ht="15" customHeight="1" thickBot="1" x14ac:dyDescent="0.25">
      <c r="A37" s="9"/>
      <c r="B37" s="2" t="s">
        <v>191</v>
      </c>
      <c r="C37" s="179">
        <f>SUM(C15:C36)</f>
        <v>260080061.92000002</v>
      </c>
      <c r="D37" s="182">
        <f>SUM(D15:D36)</f>
        <v>260080061.92000002</v>
      </c>
      <c r="E37" s="188">
        <f>SUM(E15:E36)</f>
        <v>12713777.25</v>
      </c>
      <c r="F37" s="421">
        <f>+E37/D37</f>
        <v>4.8884090368721635E-2</v>
      </c>
      <c r="G37" s="188">
        <f>SUM(G15:G36)</f>
        <v>3493945.8</v>
      </c>
      <c r="H37" s="189">
        <f t="shared" si="3"/>
        <v>0.27481571615548006</v>
      </c>
      <c r="I37" s="164">
        <f>+SUM(I15:I36)</f>
        <v>13955820.329999998</v>
      </c>
      <c r="J37" s="40">
        <v>5.1999999999999998E-2</v>
      </c>
      <c r="K37" s="201">
        <f t="shared" si="2"/>
        <v>-8.8998213693683881E-2</v>
      </c>
    </row>
    <row r="38" spans="1:18" ht="15.75" thickBot="1" x14ac:dyDescent="0.3">
      <c r="A38" s="7" t="s">
        <v>234</v>
      </c>
    </row>
    <row r="39" spans="1:18" x14ac:dyDescent="0.2">
      <c r="A39" s="8" t="s">
        <v>296</v>
      </c>
      <c r="C39" s="176" t="s">
        <v>512</v>
      </c>
      <c r="D39" s="650" t="s">
        <v>510</v>
      </c>
      <c r="E39" s="648"/>
      <c r="F39" s="648"/>
      <c r="G39" s="648"/>
      <c r="H39" s="649"/>
      <c r="I39" s="646" t="s">
        <v>511</v>
      </c>
      <c r="J39" s="645"/>
      <c r="K39" s="219"/>
    </row>
    <row r="40" spans="1:18" x14ac:dyDescent="0.2">
      <c r="C40" s="169">
        <v>1</v>
      </c>
      <c r="D40" s="159">
        <v>2</v>
      </c>
      <c r="E40" s="88">
        <v>3</v>
      </c>
      <c r="F40" s="89" t="s">
        <v>39</v>
      </c>
      <c r="G40" s="88">
        <v>4</v>
      </c>
      <c r="H40" s="160" t="s">
        <v>49</v>
      </c>
      <c r="I40" s="88" t="s">
        <v>50</v>
      </c>
      <c r="J40" s="16" t="s">
        <v>51</v>
      </c>
      <c r="K40" s="150" t="s">
        <v>366</v>
      </c>
    </row>
    <row r="41" spans="1:18" ht="25.5" x14ac:dyDescent="0.2">
      <c r="A41" s="1"/>
      <c r="B41" s="2" t="s">
        <v>156</v>
      </c>
      <c r="C41" s="170" t="s">
        <v>47</v>
      </c>
      <c r="D41" s="120" t="s">
        <v>48</v>
      </c>
      <c r="E41" s="90" t="s">
        <v>139</v>
      </c>
      <c r="F41" s="90" t="s">
        <v>18</v>
      </c>
      <c r="G41" s="90" t="s">
        <v>422</v>
      </c>
      <c r="H41" s="121" t="s">
        <v>18</v>
      </c>
      <c r="I41" s="90" t="s">
        <v>139</v>
      </c>
      <c r="J41" s="12" t="s">
        <v>18</v>
      </c>
      <c r="K41" s="151" t="s">
        <v>553</v>
      </c>
      <c r="L41" s="57" t="s">
        <v>169</v>
      </c>
    </row>
    <row r="42" spans="1:18" s="302" customFormat="1" ht="15" customHeight="1" x14ac:dyDescent="0.2">
      <c r="A42" s="311"/>
      <c r="B42" s="311" t="s">
        <v>193</v>
      </c>
      <c r="C42" s="315">
        <v>6038467.5799999982</v>
      </c>
      <c r="D42" s="369">
        <v>6038467.5799999982</v>
      </c>
      <c r="E42" s="312">
        <v>341730.33000000753</v>
      </c>
      <c r="F42" s="381">
        <f t="shared" ref="F42:F58" si="5">+E42/D42</f>
        <v>5.659222732798172E-2</v>
      </c>
      <c r="G42" s="414">
        <v>0</v>
      </c>
      <c r="H42" s="338" t="s">
        <v>135</v>
      </c>
      <c r="I42" s="312">
        <v>0</v>
      </c>
      <c r="J42" s="445" t="s">
        <v>135</v>
      </c>
      <c r="K42" s="313" t="s">
        <v>135</v>
      </c>
      <c r="L42" s="301" t="s">
        <v>194</v>
      </c>
      <c r="N42"/>
      <c r="O42"/>
      <c r="P42"/>
      <c r="Q42"/>
      <c r="R42"/>
    </row>
    <row r="43" spans="1:18" s="302" customFormat="1" ht="15" customHeight="1" x14ac:dyDescent="0.2">
      <c r="A43" s="311"/>
      <c r="B43" s="311" t="s">
        <v>195</v>
      </c>
      <c r="C43" s="315">
        <v>170</v>
      </c>
      <c r="D43" s="369">
        <v>170</v>
      </c>
      <c r="E43" s="312">
        <v>0</v>
      </c>
      <c r="F43" s="381" t="s">
        <v>135</v>
      </c>
      <c r="G43" s="312">
        <v>0</v>
      </c>
      <c r="H43" s="339" t="s">
        <v>135</v>
      </c>
      <c r="I43" s="312">
        <v>0</v>
      </c>
      <c r="J43" s="445" t="s">
        <v>135</v>
      </c>
      <c r="K43" s="313" t="s">
        <v>135</v>
      </c>
      <c r="L43" s="301" t="s">
        <v>207</v>
      </c>
      <c r="N43"/>
      <c r="O43"/>
      <c r="P43"/>
      <c r="Q43"/>
      <c r="R43"/>
    </row>
    <row r="44" spans="1:18" s="302" customFormat="1" ht="15" customHeight="1" x14ac:dyDescent="0.2">
      <c r="A44" s="296"/>
      <c r="B44" s="296" t="s">
        <v>196</v>
      </c>
      <c r="C44" s="415">
        <v>3390000</v>
      </c>
      <c r="D44" s="299">
        <v>3390000</v>
      </c>
      <c r="E44" s="299">
        <v>0</v>
      </c>
      <c r="F44" s="418" t="s">
        <v>135</v>
      </c>
      <c r="G44" s="299">
        <v>0</v>
      </c>
      <c r="H44" s="333" t="s">
        <v>135</v>
      </c>
      <c r="I44" s="299">
        <v>0</v>
      </c>
      <c r="J44" s="364" t="s">
        <v>135</v>
      </c>
      <c r="K44" s="313" t="s">
        <v>135</v>
      </c>
      <c r="L44" s="304">
        <v>45010</v>
      </c>
      <c r="M44" s="351"/>
      <c r="N44"/>
      <c r="O44"/>
      <c r="P44"/>
      <c r="Q44"/>
      <c r="R44"/>
    </row>
    <row r="45" spans="1:18" s="302" customFormat="1" ht="15" customHeight="1" x14ac:dyDescent="0.2">
      <c r="A45" s="296"/>
      <c r="B45" s="296" t="s">
        <v>197</v>
      </c>
      <c r="C45" s="321">
        <v>1214040</v>
      </c>
      <c r="D45" s="299">
        <v>1214040</v>
      </c>
      <c r="E45" s="299">
        <v>0</v>
      </c>
      <c r="F45" s="418" t="s">
        <v>135</v>
      </c>
      <c r="G45" s="299">
        <v>0</v>
      </c>
      <c r="H45" s="333" t="s">
        <v>135</v>
      </c>
      <c r="I45" s="299">
        <v>0</v>
      </c>
      <c r="J45" s="364" t="s">
        <v>135</v>
      </c>
      <c r="K45" s="313" t="s">
        <v>135</v>
      </c>
      <c r="L45" s="304">
        <v>45030</v>
      </c>
      <c r="M45" s="351"/>
      <c r="N45"/>
      <c r="O45"/>
      <c r="P45"/>
      <c r="Q45"/>
      <c r="R45"/>
    </row>
    <row r="46" spans="1:18" s="302" customFormat="1" ht="15" customHeight="1" x14ac:dyDescent="0.2">
      <c r="A46" s="296"/>
      <c r="B46" s="320" t="s">
        <v>198</v>
      </c>
      <c r="C46" s="321">
        <v>2404294</v>
      </c>
      <c r="D46" s="299">
        <v>2404294</v>
      </c>
      <c r="E46" s="134">
        <v>0</v>
      </c>
      <c r="F46" s="335" t="s">
        <v>135</v>
      </c>
      <c r="G46" s="134">
        <v>0</v>
      </c>
      <c r="H46" s="333" t="s">
        <v>135</v>
      </c>
      <c r="I46" s="134">
        <v>0</v>
      </c>
      <c r="J46" s="353" t="s">
        <v>135</v>
      </c>
      <c r="K46" s="313" t="s">
        <v>135</v>
      </c>
      <c r="L46" s="332">
        <v>45043</v>
      </c>
      <c r="M46" s="329"/>
      <c r="N46"/>
      <c r="O46"/>
      <c r="P46"/>
      <c r="Q46"/>
      <c r="R46"/>
    </row>
    <row r="47" spans="1:18" s="302" customFormat="1" ht="15" customHeight="1" x14ac:dyDescent="0.2">
      <c r="A47" s="296"/>
      <c r="B47" s="320" t="s">
        <v>199</v>
      </c>
      <c r="C47" s="321">
        <v>44997477</v>
      </c>
      <c r="D47" s="299">
        <v>44997477</v>
      </c>
      <c r="E47" s="134">
        <v>308714.21000000002</v>
      </c>
      <c r="F47" s="335">
        <f t="shared" si="5"/>
        <v>6.8607004343821327E-3</v>
      </c>
      <c r="G47" s="134">
        <v>308714.21000000002</v>
      </c>
      <c r="H47" s="333">
        <f t="shared" si="3"/>
        <v>1</v>
      </c>
      <c r="I47" s="134">
        <v>254952.95999999999</v>
      </c>
      <c r="J47" s="353">
        <v>6.0000000000000001E-3</v>
      </c>
      <c r="K47" s="431">
        <f t="shared" si="2"/>
        <v>0.21086733019298953</v>
      </c>
      <c r="L47" s="334" t="s">
        <v>445</v>
      </c>
      <c r="M47" s="329"/>
      <c r="N47"/>
      <c r="O47"/>
      <c r="P47"/>
      <c r="Q47"/>
      <c r="R47"/>
    </row>
    <row r="48" spans="1:18" s="302" customFormat="1" ht="15" customHeight="1" x14ac:dyDescent="0.2">
      <c r="A48" s="296"/>
      <c r="B48" s="320" t="s">
        <v>426</v>
      </c>
      <c r="C48" s="321"/>
      <c r="D48" s="299"/>
      <c r="E48" s="134"/>
      <c r="F48" s="335"/>
      <c r="G48" s="134"/>
      <c r="H48" s="333"/>
      <c r="I48" s="134"/>
      <c r="J48" s="353"/>
      <c r="K48" s="330"/>
      <c r="L48" s="336">
        <v>45050</v>
      </c>
      <c r="M48" s="329"/>
      <c r="N48"/>
      <c r="O48"/>
      <c r="P48"/>
      <c r="Q48"/>
      <c r="R48"/>
    </row>
    <row r="49" spans="1:18" s="302" customFormat="1" ht="15" customHeight="1" x14ac:dyDescent="0.2">
      <c r="A49" s="296"/>
      <c r="B49" s="320" t="s">
        <v>208</v>
      </c>
      <c r="C49" s="321">
        <v>20</v>
      </c>
      <c r="D49" s="134">
        <v>20</v>
      </c>
      <c r="E49" s="134">
        <v>0</v>
      </c>
      <c r="F49" s="335" t="s">
        <v>135</v>
      </c>
      <c r="G49" s="134">
        <v>0</v>
      </c>
      <c r="H49" s="333" t="s">
        <v>135</v>
      </c>
      <c r="I49" s="134">
        <v>0</v>
      </c>
      <c r="J49" s="353" t="s">
        <v>135</v>
      </c>
      <c r="K49" s="331" t="s">
        <v>135</v>
      </c>
      <c r="L49" s="336">
        <v>45051</v>
      </c>
      <c r="M49" s="329"/>
      <c r="N49"/>
      <c r="O49"/>
      <c r="P49"/>
      <c r="Q49"/>
      <c r="R49"/>
    </row>
    <row r="50" spans="1:18" s="302" customFormat="1" ht="15" customHeight="1" x14ac:dyDescent="0.2">
      <c r="A50" s="296"/>
      <c r="B50" s="320" t="s">
        <v>200</v>
      </c>
      <c r="C50" s="321">
        <v>550701.15</v>
      </c>
      <c r="D50" s="134">
        <v>550701.15</v>
      </c>
      <c r="E50" s="134">
        <v>0</v>
      </c>
      <c r="F50" s="335" t="s">
        <v>135</v>
      </c>
      <c r="G50" s="134">
        <v>0</v>
      </c>
      <c r="H50" s="333" t="s">
        <v>135</v>
      </c>
      <c r="I50" s="134">
        <v>0</v>
      </c>
      <c r="J50" s="353" t="s">
        <v>135</v>
      </c>
      <c r="K50" s="331" t="s">
        <v>135</v>
      </c>
      <c r="L50" s="332">
        <v>45070</v>
      </c>
      <c r="M50" s="329"/>
      <c r="N50"/>
      <c r="O50"/>
      <c r="P50"/>
      <c r="Q50"/>
      <c r="R50"/>
    </row>
    <row r="51" spans="1:18" s="92" customFormat="1" ht="15" customHeight="1" x14ac:dyDescent="0.2">
      <c r="A51" s="610"/>
      <c r="B51" s="610" t="s">
        <v>201</v>
      </c>
      <c r="C51" s="321">
        <f>52943027.15-C44-C45-C46-C47-C48-C49-C50</f>
        <v>386494.99999999849</v>
      </c>
      <c r="D51" s="134">
        <f>52943027.15-D44-D45-D46-D47-D48-D49-D50</f>
        <v>386494.99999999849</v>
      </c>
      <c r="E51" s="611">
        <f>2524928.57-E44-E45-E46-E47-E48-E49-E50</f>
        <v>2216214.36</v>
      </c>
      <c r="F51" s="612">
        <f t="shared" si="5"/>
        <v>5.7341346201115373</v>
      </c>
      <c r="G51" s="134">
        <f>2524928.57-G44-G45-G46-G47-G48-G49-G50</f>
        <v>2216214.36</v>
      </c>
      <c r="H51" s="613">
        <f>G51/E51</f>
        <v>1</v>
      </c>
      <c r="I51" s="611">
        <f>254952.96-(SUM(I44:I50))</f>
        <v>0</v>
      </c>
      <c r="J51" s="353" t="s">
        <v>135</v>
      </c>
      <c r="K51" s="614" t="s">
        <v>135</v>
      </c>
      <c r="L51" s="336" t="s">
        <v>209</v>
      </c>
      <c r="M51" s="615"/>
      <c r="N51" s="616"/>
      <c r="O51" s="616"/>
      <c r="P51" s="616"/>
      <c r="Q51" s="616"/>
      <c r="R51" s="616"/>
    </row>
    <row r="52" spans="1:18" s="302" customFormat="1" ht="15" customHeight="1" x14ac:dyDescent="0.2">
      <c r="A52" s="314"/>
      <c r="B52" s="314" t="s">
        <v>202</v>
      </c>
      <c r="C52" s="315">
        <v>70</v>
      </c>
      <c r="D52" s="316">
        <v>70</v>
      </c>
      <c r="E52" s="134">
        <v>0</v>
      </c>
      <c r="F52" s="398" t="s">
        <v>135</v>
      </c>
      <c r="G52" s="317">
        <v>0</v>
      </c>
      <c r="H52" s="333" t="s">
        <v>135</v>
      </c>
      <c r="I52" s="317">
        <v>0</v>
      </c>
      <c r="J52" s="446" t="s">
        <v>135</v>
      </c>
      <c r="K52" s="331" t="s">
        <v>135</v>
      </c>
      <c r="L52" s="304">
        <v>461</v>
      </c>
      <c r="M52" s="368"/>
      <c r="N52"/>
      <c r="O52"/>
      <c r="P52"/>
      <c r="Q52"/>
      <c r="R52"/>
    </row>
    <row r="53" spans="1:18" s="302" customFormat="1" ht="15" customHeight="1" x14ac:dyDescent="0.2">
      <c r="A53" s="325"/>
      <c r="B53" s="340" t="s">
        <v>417</v>
      </c>
      <c r="C53" s="341">
        <v>10</v>
      </c>
      <c r="D53" s="342">
        <v>10</v>
      </c>
      <c r="E53" s="343">
        <v>0</v>
      </c>
      <c r="F53" s="422" t="s">
        <v>135</v>
      </c>
      <c r="G53" s="343">
        <v>0</v>
      </c>
      <c r="H53" s="344" t="s">
        <v>135</v>
      </c>
      <c r="I53" s="343">
        <v>0</v>
      </c>
      <c r="J53" s="365" t="s">
        <v>135</v>
      </c>
      <c r="K53" s="345" t="s">
        <v>135</v>
      </c>
      <c r="L53" s="304">
        <v>462</v>
      </c>
      <c r="N53"/>
      <c r="O53"/>
      <c r="P53"/>
      <c r="Q53"/>
      <c r="R53"/>
    </row>
    <row r="54" spans="1:18" s="302" customFormat="1" ht="15" customHeight="1" x14ac:dyDescent="0.2">
      <c r="A54" s="296"/>
      <c r="B54" s="296" t="s">
        <v>427</v>
      </c>
      <c r="C54" s="297"/>
      <c r="D54" s="298"/>
      <c r="E54" s="299"/>
      <c r="F54" s="418"/>
      <c r="G54" s="299"/>
      <c r="H54" s="346"/>
      <c r="I54" s="299">
        <v>0</v>
      </c>
      <c r="J54" s="364" t="s">
        <v>135</v>
      </c>
      <c r="K54" s="345" t="s">
        <v>135</v>
      </c>
      <c r="L54" s="304">
        <v>46403</v>
      </c>
      <c r="N54"/>
      <c r="O54"/>
      <c r="P54"/>
      <c r="Q54"/>
      <c r="R54"/>
    </row>
    <row r="55" spans="1:18" s="302" customFormat="1" ht="15" customHeight="1" x14ac:dyDescent="0.2">
      <c r="A55" s="296"/>
      <c r="B55" s="296" t="s">
        <v>205</v>
      </c>
      <c r="C55" s="321">
        <v>56078421</v>
      </c>
      <c r="D55" s="134">
        <v>56078421</v>
      </c>
      <c r="E55" s="299">
        <v>4435537.84</v>
      </c>
      <c r="F55" s="418">
        <f t="shared" si="5"/>
        <v>7.909526981867053E-2</v>
      </c>
      <c r="G55" s="299">
        <v>0</v>
      </c>
      <c r="H55" s="390" t="s">
        <v>135</v>
      </c>
      <c r="I55" s="299">
        <v>2959459.34</v>
      </c>
      <c r="J55" s="364">
        <v>5.2999999999999999E-2</v>
      </c>
      <c r="K55" s="300">
        <f t="shared" si="2"/>
        <v>0.49876627127440121</v>
      </c>
      <c r="L55" s="304">
        <v>46401</v>
      </c>
      <c r="N55"/>
      <c r="O55"/>
      <c r="P55"/>
      <c r="Q55"/>
      <c r="R55"/>
    </row>
    <row r="56" spans="1:18" s="302" customFormat="1" ht="15" customHeight="1" x14ac:dyDescent="0.2">
      <c r="A56" s="337"/>
      <c r="B56" s="337" t="s">
        <v>206</v>
      </c>
      <c r="C56" s="321">
        <v>448000</v>
      </c>
      <c r="D56" s="134">
        <v>448000</v>
      </c>
      <c r="E56" s="349">
        <v>0</v>
      </c>
      <c r="F56" s="423" t="s">
        <v>135</v>
      </c>
      <c r="G56" s="349">
        <v>0</v>
      </c>
      <c r="H56" s="390" t="s">
        <v>135</v>
      </c>
      <c r="I56" s="349">
        <v>6293.11</v>
      </c>
      <c r="J56" s="448">
        <v>4.0000000000000001E-3</v>
      </c>
      <c r="K56" s="300">
        <f>E56/I56-1</f>
        <v>-1</v>
      </c>
      <c r="L56" s="304">
        <v>46402</v>
      </c>
      <c r="N56"/>
    </row>
    <row r="57" spans="1:18" s="302" customFormat="1" ht="15" customHeight="1" x14ac:dyDescent="0.2">
      <c r="A57" s="314"/>
      <c r="B57" s="314" t="s">
        <v>203</v>
      </c>
      <c r="C57" s="315">
        <v>590384</v>
      </c>
      <c r="D57" s="316">
        <v>590384</v>
      </c>
      <c r="E57" s="317">
        <v>0</v>
      </c>
      <c r="F57" s="398" t="s">
        <v>135</v>
      </c>
      <c r="G57" s="317">
        <v>0</v>
      </c>
      <c r="H57" s="391" t="s">
        <v>135</v>
      </c>
      <c r="I57" s="317">
        <v>0</v>
      </c>
      <c r="J57" s="446" t="s">
        <v>135</v>
      </c>
      <c r="K57" s="350"/>
      <c r="L57" s="304">
        <v>49</v>
      </c>
      <c r="N57"/>
    </row>
    <row r="58" spans="1:18" s="302" customFormat="1" ht="15" customHeight="1" x14ac:dyDescent="0.2">
      <c r="A58" s="325"/>
      <c r="B58" s="325" t="s">
        <v>204</v>
      </c>
      <c r="C58" s="436">
        <v>110048.3</v>
      </c>
      <c r="D58" s="436">
        <v>110048.3</v>
      </c>
      <c r="E58" s="351">
        <v>6000</v>
      </c>
      <c r="F58" s="424">
        <f t="shared" si="5"/>
        <v>5.4521514644024487E-2</v>
      </c>
      <c r="G58" s="351">
        <v>1500</v>
      </c>
      <c r="H58" s="392">
        <f>G58/E58</f>
        <v>0.25</v>
      </c>
      <c r="I58" s="351">
        <v>0</v>
      </c>
      <c r="J58" s="447" t="s">
        <v>135</v>
      </c>
      <c r="K58" s="330"/>
      <c r="L58" s="304" t="s">
        <v>478</v>
      </c>
      <c r="N58"/>
    </row>
    <row r="59" spans="1:18" ht="15" customHeight="1" x14ac:dyDescent="0.2">
      <c r="A59" s="9"/>
      <c r="B59" s="2" t="s">
        <v>210</v>
      </c>
      <c r="C59" s="174">
        <f>SUM(C42:C58)</f>
        <v>116208598.02999999</v>
      </c>
      <c r="D59" s="164">
        <f>SUM(D42:D58)</f>
        <v>116208598.02999999</v>
      </c>
      <c r="E59" s="85">
        <f>SUM(E42:E58)</f>
        <v>7308196.7400000077</v>
      </c>
      <c r="F59" s="91">
        <f t="shared" si="0"/>
        <v>6.2888606040263473E-2</v>
      </c>
      <c r="G59" s="85">
        <f>SUM(G42:G58)</f>
        <v>2526428.5699999998</v>
      </c>
      <c r="H59" s="183">
        <f t="shared" si="3"/>
        <v>0.34569794162383172</v>
      </c>
      <c r="I59" s="85">
        <f>SUM(I42:I58)</f>
        <v>3220705.4099999997</v>
      </c>
      <c r="J59" s="40">
        <v>2.5000000000000001E-2</v>
      </c>
      <c r="K59" s="155">
        <f t="shared" si="2"/>
        <v>1.2691292153913598</v>
      </c>
      <c r="O59" s="302"/>
    </row>
    <row r="60" spans="1:18" s="302" customFormat="1" ht="15" customHeight="1" x14ac:dyDescent="0.2">
      <c r="A60" s="296"/>
      <c r="B60" s="296" t="s">
        <v>212</v>
      </c>
      <c r="C60" s="297">
        <v>3700000</v>
      </c>
      <c r="D60" s="298">
        <v>3700000</v>
      </c>
      <c r="E60" s="299">
        <v>203929.82</v>
      </c>
      <c r="F60" s="418">
        <f t="shared" ref="F60:F64" si="6">+E60/D60</f>
        <v>5.511616756756757E-2</v>
      </c>
      <c r="G60" s="299">
        <v>203929.82</v>
      </c>
      <c r="H60" s="390">
        <f t="shared" ref="H60:H64" si="7">+G60/E60</f>
        <v>1</v>
      </c>
      <c r="I60" s="299">
        <f>275729.44+805567.23</f>
        <v>1081296.67</v>
      </c>
      <c r="J60" s="364">
        <v>0.501</v>
      </c>
      <c r="K60" s="300">
        <f t="shared" si="2"/>
        <v>-0.81140252656100387</v>
      </c>
      <c r="L60" s="304" t="s">
        <v>213</v>
      </c>
      <c r="N60"/>
    </row>
    <row r="61" spans="1:18" s="302" customFormat="1" ht="15" customHeight="1" x14ac:dyDescent="0.2">
      <c r="A61" s="296"/>
      <c r="B61" s="296" t="s">
        <v>214</v>
      </c>
      <c r="C61" s="297">
        <v>2021540</v>
      </c>
      <c r="D61" s="298">
        <v>2021540</v>
      </c>
      <c r="E61" s="299">
        <v>201237.41</v>
      </c>
      <c r="F61" s="418">
        <f t="shared" si="6"/>
        <v>9.9546588244605605E-2</v>
      </c>
      <c r="G61" s="299">
        <v>938.28</v>
      </c>
      <c r="H61" s="390">
        <f t="shared" si="7"/>
        <v>4.6625525542194164E-3</v>
      </c>
      <c r="I61" s="299">
        <v>244983.9</v>
      </c>
      <c r="J61" s="364">
        <v>0.109</v>
      </c>
      <c r="K61" s="300">
        <f t="shared" si="2"/>
        <v>-0.17856883656436195</v>
      </c>
      <c r="L61" s="304">
        <v>54</v>
      </c>
      <c r="N61"/>
    </row>
    <row r="62" spans="1:18" s="302" customFormat="1" ht="15" customHeight="1" x14ac:dyDescent="0.2">
      <c r="A62" s="296"/>
      <c r="B62" s="296" t="s">
        <v>215</v>
      </c>
      <c r="C62" s="297">
        <v>3056000</v>
      </c>
      <c r="D62" s="298">
        <v>3056000</v>
      </c>
      <c r="E62" s="299">
        <v>33208.379999999997</v>
      </c>
      <c r="F62" s="418">
        <f t="shared" si="6"/>
        <v>1.0866616492146597E-2</v>
      </c>
      <c r="G62" s="299">
        <v>33208.379999999997</v>
      </c>
      <c r="H62" s="390" t="s">
        <v>135</v>
      </c>
      <c r="I62" s="299">
        <v>33061.800000000003</v>
      </c>
      <c r="J62" s="364">
        <v>8.9999999999999993E-3</v>
      </c>
      <c r="K62" s="300">
        <f t="shared" si="2"/>
        <v>4.4335154165833224E-3</v>
      </c>
      <c r="L62" s="304">
        <v>55000</v>
      </c>
      <c r="N62"/>
    </row>
    <row r="63" spans="1:18" s="302" customFormat="1" ht="15" customHeight="1" x14ac:dyDescent="0.2">
      <c r="A63" s="296"/>
      <c r="B63" s="296" t="s">
        <v>216</v>
      </c>
      <c r="C63" s="297">
        <v>30692029</v>
      </c>
      <c r="D63" s="298">
        <v>30692029</v>
      </c>
      <c r="E63" s="299">
        <v>842249.03999999992</v>
      </c>
      <c r="F63" s="418">
        <f t="shared" si="6"/>
        <v>2.7441947223495713E-2</v>
      </c>
      <c r="G63" s="299">
        <v>150309.06</v>
      </c>
      <c r="H63" s="390">
        <f t="shared" si="7"/>
        <v>0.17846153911911852</v>
      </c>
      <c r="I63" s="299">
        <v>568351.12999999989</v>
      </c>
      <c r="J63" s="364">
        <v>2.8000000000000001E-2</v>
      </c>
      <c r="K63" s="300">
        <f t="shared" si="2"/>
        <v>0.48191671581615414</v>
      </c>
      <c r="L63" s="304" t="s">
        <v>425</v>
      </c>
      <c r="N63"/>
    </row>
    <row r="64" spans="1:18" s="302" customFormat="1" ht="15" customHeight="1" x14ac:dyDescent="0.2">
      <c r="A64" s="296"/>
      <c r="B64" s="296" t="s">
        <v>217</v>
      </c>
      <c r="C64" s="297">
        <v>2666040</v>
      </c>
      <c r="D64" s="298">
        <v>2666040</v>
      </c>
      <c r="E64" s="299">
        <v>215411.85</v>
      </c>
      <c r="F64" s="418">
        <f t="shared" si="6"/>
        <v>8.079843138137463E-2</v>
      </c>
      <c r="G64" s="299">
        <v>124136.32000000001</v>
      </c>
      <c r="H64" s="390">
        <f t="shared" si="7"/>
        <v>0.57627433216881985</v>
      </c>
      <c r="I64" s="299">
        <v>198383.82</v>
      </c>
      <c r="J64" s="364">
        <v>7.4999999999999997E-2</v>
      </c>
      <c r="K64" s="300">
        <f t="shared" si="2"/>
        <v>8.5833764064024987E-2</v>
      </c>
      <c r="L64" s="304" t="s">
        <v>218</v>
      </c>
      <c r="N64"/>
    </row>
    <row r="65" spans="1:12" s="302" customFormat="1" ht="15" customHeight="1" x14ac:dyDescent="0.2">
      <c r="A65" s="296"/>
      <c r="B65" s="296" t="s">
        <v>219</v>
      </c>
      <c r="C65" s="297">
        <v>20</v>
      </c>
      <c r="D65" s="298">
        <v>20</v>
      </c>
      <c r="E65" s="299">
        <v>0</v>
      </c>
      <c r="F65" s="418" t="s">
        <v>135</v>
      </c>
      <c r="G65" s="299">
        <v>0</v>
      </c>
      <c r="H65" s="390" t="s">
        <v>135</v>
      </c>
      <c r="I65" s="299">
        <v>0</v>
      </c>
      <c r="J65" s="364" t="s">
        <v>135</v>
      </c>
      <c r="K65" s="300" t="s">
        <v>135</v>
      </c>
      <c r="L65" s="301" t="s">
        <v>220</v>
      </c>
    </row>
    <row r="66" spans="1:12" ht="15" customHeight="1" thickBot="1" x14ac:dyDescent="0.25">
      <c r="A66" s="9"/>
      <c r="B66" s="2" t="s">
        <v>45</v>
      </c>
      <c r="C66" s="174">
        <f>SUM(C60:C65)</f>
        <v>42135629</v>
      </c>
      <c r="D66" s="164">
        <f>SUM(D60:D65)</f>
        <v>42135629</v>
      </c>
      <c r="E66" s="85">
        <f>SUM(E60:E65)</f>
        <v>1496036.5</v>
      </c>
      <c r="F66" s="91">
        <f t="shared" si="0"/>
        <v>3.5505260880287319E-2</v>
      </c>
      <c r="G66" s="85">
        <f>SUM(G60:G65)</f>
        <v>512521.86000000004</v>
      </c>
      <c r="H66" s="183">
        <f t="shared" si="3"/>
        <v>0.34258646764300205</v>
      </c>
      <c r="I66" s="85">
        <f>SUM(I60:I65)</f>
        <v>2126077.3199999998</v>
      </c>
      <c r="J66" s="40">
        <v>6.8000000000000005E-2</v>
      </c>
      <c r="K66" s="155">
        <f>+E66/I66-1</f>
        <v>-0.29633956115951599</v>
      </c>
    </row>
    <row r="67" spans="1:12" s="6" customFormat="1" ht="19.5" customHeight="1" thickBot="1" x14ac:dyDescent="0.25">
      <c r="A67" s="5"/>
      <c r="B67" s="4" t="s">
        <v>211</v>
      </c>
      <c r="C67" s="175">
        <f>+C11+C14+C37+C59+C66</f>
        <v>2354409500.5</v>
      </c>
      <c r="D67" s="166">
        <f>+D11+D14+D37+D59+D66</f>
        <v>2354409500.5</v>
      </c>
      <c r="E67" s="167">
        <f>+E11+E14+E37+E59+E66</f>
        <v>134769387.19</v>
      </c>
      <c r="F67" s="195">
        <f t="shared" si="0"/>
        <v>5.7241268845279192E-2</v>
      </c>
      <c r="G67" s="167">
        <f>+G11+G14+G37+G59+G66</f>
        <v>26976150.690000001</v>
      </c>
      <c r="H67" s="187">
        <f t="shared" si="3"/>
        <v>0.20016526937210599</v>
      </c>
      <c r="I67" s="158">
        <f>I11+I14+I37+I59+I66</f>
        <v>123228013.39999999</v>
      </c>
      <c r="J67" s="204">
        <v>5.2999999999999999E-2</v>
      </c>
      <c r="K67" s="157">
        <f t="shared" si="2"/>
        <v>9.3658685809829167E-2</v>
      </c>
      <c r="L67" s="14"/>
    </row>
    <row r="68" spans="1:12" x14ac:dyDescent="0.2">
      <c r="D68" s="43"/>
      <c r="F68" s="425"/>
    </row>
    <row r="72" spans="1:12" x14ac:dyDescent="0.2">
      <c r="E72" s="43"/>
    </row>
    <row r="73" spans="1:12" x14ac:dyDescent="0.2">
      <c r="E73" s="43"/>
    </row>
    <row r="74" spans="1:12" x14ac:dyDescent="0.2">
      <c r="E74" s="279"/>
    </row>
    <row r="75" spans="1:12" x14ac:dyDescent="0.2">
      <c r="E75" s="43"/>
    </row>
    <row r="76" spans="1:12" x14ac:dyDescent="0.2">
      <c r="E76" s="43"/>
    </row>
    <row r="79" spans="1:12" x14ac:dyDescent="0.2">
      <c r="C79" s="279"/>
      <c r="E79" s="43"/>
    </row>
    <row r="80" spans="1:12" x14ac:dyDescent="0.2">
      <c r="E80" s="43"/>
    </row>
    <row r="81" spans="5:5" x14ac:dyDescent="0.2">
      <c r="E81" s="43"/>
    </row>
    <row r="82" spans="5:5" x14ac:dyDescent="0.2">
      <c r="E82" s="279"/>
    </row>
  </sheetData>
  <mergeCells count="4">
    <mergeCell ref="I2:J2"/>
    <mergeCell ref="I39:J39"/>
    <mergeCell ref="D2:H2"/>
    <mergeCell ref="D39:H39"/>
  </mergeCells>
  <printOptions horizontalCentered="1"/>
  <pageMargins left="0.51181102362204722" right="0.51181102362204722" top="0.6692913385826772" bottom="0.74803149606299213" header="0.31496062992125984" footer="0.59055118110236227"/>
  <pageSetup paperSize="9" scale="85" fitToHeight="2" orientation="landscape" r:id="rId1"/>
  <headerFooter>
    <oddHeader>&amp;L&amp;"Arial,Negreta"&amp;8&amp;K03+000Ajuntament de Barcelona&amp;C&amp;"Arial,Negreta"&amp;8&amp;K03+000Pressupost 2015
Execució Pressupostària a Gener&amp;R&amp;"Arial,Negreta"&amp;8&amp;K03+000Direcció de Pressupostos i Política Fiscal</oddHeader>
  </headerFooter>
  <rowBreaks count="1" manualBreakCount="1">
    <brk id="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92D050"/>
  </sheetPr>
  <dimension ref="A1:Q36"/>
  <sheetViews>
    <sheetView zoomScaleNormal="100" workbookViewId="0">
      <selection activeCell="B27" sqref="B27"/>
    </sheetView>
  </sheetViews>
  <sheetFormatPr defaultColWidth="11.42578125" defaultRowHeight="12.75" x14ac:dyDescent="0.2"/>
  <cols>
    <col min="1" max="1" width="2.7109375" customWidth="1"/>
    <col min="2" max="2" width="45.85546875" customWidth="1"/>
    <col min="3" max="3" width="11.7109375" customWidth="1"/>
    <col min="4" max="4" width="9.5703125" bestFit="1" customWidth="1"/>
    <col min="5" max="5" width="10.140625" bestFit="1" customWidth="1"/>
    <col min="6" max="6" width="9.5703125" style="98" bestFit="1" customWidth="1"/>
    <col min="7" max="7" width="11.140625" bestFit="1" customWidth="1"/>
    <col min="8" max="8" width="7.42578125" style="98" bestFit="1" customWidth="1"/>
    <col min="9" max="9" width="10.42578125" bestFit="1" customWidth="1"/>
    <col min="10" max="10" width="10.5703125" style="98" bestFit="1" customWidth="1"/>
    <col min="11" max="11" width="6.85546875" style="98" customWidth="1"/>
    <col min="12" max="12" width="14.5703125" style="59" bestFit="1" customWidth="1"/>
  </cols>
  <sheetData>
    <row r="1" spans="1:13" ht="15.75" thickBot="1" x14ac:dyDescent="0.3">
      <c r="A1" s="7" t="s">
        <v>235</v>
      </c>
    </row>
    <row r="2" spans="1:13" x14ac:dyDescent="0.2">
      <c r="A2" s="8" t="s">
        <v>155</v>
      </c>
      <c r="C2" s="176" t="s">
        <v>512</v>
      </c>
      <c r="D2" s="650" t="s">
        <v>510</v>
      </c>
      <c r="E2" s="648"/>
      <c r="F2" s="648"/>
      <c r="G2" s="648"/>
      <c r="H2" s="649"/>
      <c r="I2" s="644" t="s">
        <v>511</v>
      </c>
      <c r="J2" s="645"/>
      <c r="K2" s="219"/>
    </row>
    <row r="3" spans="1:13" x14ac:dyDescent="0.2">
      <c r="C3" s="169">
        <v>1</v>
      </c>
      <c r="D3" s="159">
        <v>2</v>
      </c>
      <c r="E3" s="88">
        <v>3</v>
      </c>
      <c r="F3" s="89" t="s">
        <v>39</v>
      </c>
      <c r="G3" s="88">
        <v>4</v>
      </c>
      <c r="H3" s="160" t="s">
        <v>49</v>
      </c>
      <c r="I3" s="88" t="s">
        <v>50</v>
      </c>
      <c r="J3" s="16" t="s">
        <v>51</v>
      </c>
      <c r="K3" s="150" t="s">
        <v>366</v>
      </c>
    </row>
    <row r="4" spans="1:13" ht="25.5" x14ac:dyDescent="0.2">
      <c r="A4" s="1"/>
      <c r="B4" s="2" t="s">
        <v>156</v>
      </c>
      <c r="C4" s="170" t="s">
        <v>47</v>
      </c>
      <c r="D4" s="120" t="s">
        <v>48</v>
      </c>
      <c r="E4" s="90" t="s">
        <v>139</v>
      </c>
      <c r="F4" s="90" t="s">
        <v>18</v>
      </c>
      <c r="G4" s="90" t="s">
        <v>422</v>
      </c>
      <c r="H4" s="121" t="s">
        <v>18</v>
      </c>
      <c r="I4" s="90" t="s">
        <v>139</v>
      </c>
      <c r="J4" s="12" t="s">
        <v>18</v>
      </c>
      <c r="K4" s="151" t="s">
        <v>553</v>
      </c>
      <c r="L4" s="57" t="s">
        <v>169</v>
      </c>
    </row>
    <row r="5" spans="1:13" ht="15" customHeight="1" x14ac:dyDescent="0.2">
      <c r="A5" s="20"/>
      <c r="B5" s="20" t="s">
        <v>221</v>
      </c>
      <c r="C5" s="172">
        <v>500020</v>
      </c>
      <c r="D5" s="162">
        <v>500020</v>
      </c>
      <c r="E5" s="147">
        <v>0</v>
      </c>
      <c r="F5" s="295" t="s">
        <v>135</v>
      </c>
      <c r="G5" s="147">
        <v>0</v>
      </c>
      <c r="H5" s="165" t="s">
        <v>135</v>
      </c>
      <c r="I5" s="30">
        <v>0</v>
      </c>
      <c r="J5" s="49" t="s">
        <v>135</v>
      </c>
      <c r="K5" s="152"/>
      <c r="L5" s="58">
        <v>60</v>
      </c>
    </row>
    <row r="6" spans="1:13" ht="15" customHeight="1" x14ac:dyDescent="0.2">
      <c r="A6" s="22"/>
      <c r="B6" s="22" t="s">
        <v>222</v>
      </c>
      <c r="C6" s="172">
        <v>10</v>
      </c>
      <c r="D6" s="162">
        <v>10</v>
      </c>
      <c r="E6" s="144">
        <v>0</v>
      </c>
      <c r="F6" s="295" t="s">
        <v>135</v>
      </c>
      <c r="G6" s="144">
        <v>0</v>
      </c>
      <c r="H6" s="165" t="s">
        <v>135</v>
      </c>
      <c r="I6" s="32">
        <v>0</v>
      </c>
      <c r="J6" s="49" t="s">
        <v>135</v>
      </c>
      <c r="K6" s="152"/>
      <c r="L6" s="59">
        <v>61901</v>
      </c>
    </row>
    <row r="7" spans="1:13" ht="15" customHeight="1" x14ac:dyDescent="0.2">
      <c r="A7" s="22"/>
      <c r="B7" s="22" t="s">
        <v>223</v>
      </c>
      <c r="C7" s="172">
        <v>50</v>
      </c>
      <c r="D7" s="162">
        <v>50</v>
      </c>
      <c r="E7" s="144">
        <v>0</v>
      </c>
      <c r="F7" s="295" t="s">
        <v>135</v>
      </c>
      <c r="G7" s="144">
        <v>0</v>
      </c>
      <c r="H7" s="192" t="s">
        <v>135</v>
      </c>
      <c r="I7" s="32">
        <v>0</v>
      </c>
      <c r="J7" s="49" t="s">
        <v>135</v>
      </c>
      <c r="K7" s="152"/>
      <c r="L7" s="59" t="s">
        <v>231</v>
      </c>
    </row>
    <row r="8" spans="1:13" ht="15" customHeight="1" x14ac:dyDescent="0.2">
      <c r="A8" s="9"/>
      <c r="B8" s="2" t="s">
        <v>224</v>
      </c>
      <c r="C8" s="174">
        <f>SUM(C5:C7)</f>
        <v>500080</v>
      </c>
      <c r="D8" s="164">
        <f>SUM(D5:D7)</f>
        <v>500080</v>
      </c>
      <c r="E8" s="85">
        <f>SUM(E5:E7)</f>
        <v>0</v>
      </c>
      <c r="F8" s="91" t="s">
        <v>135</v>
      </c>
      <c r="G8" s="85" t="s">
        <v>135</v>
      </c>
      <c r="H8" s="405"/>
      <c r="I8" s="85">
        <f>SUM(I5:I7)</f>
        <v>0</v>
      </c>
      <c r="J8" s="40" t="s">
        <v>135</v>
      </c>
      <c r="K8" s="155"/>
      <c r="M8" s="495"/>
    </row>
    <row r="9" spans="1:13" ht="15" customHeight="1" x14ac:dyDescent="0.2">
      <c r="A9" s="20"/>
      <c r="B9" s="20" t="s">
        <v>225</v>
      </c>
      <c r="C9" s="171"/>
      <c r="D9" s="161"/>
      <c r="E9" s="97"/>
      <c r="F9" s="45"/>
      <c r="G9" s="97"/>
      <c r="H9" s="165"/>
      <c r="I9" s="147"/>
      <c r="J9" s="49"/>
      <c r="K9" s="152"/>
      <c r="L9" s="58">
        <v>72</v>
      </c>
    </row>
    <row r="10" spans="1:13" ht="15" customHeight="1" x14ac:dyDescent="0.2">
      <c r="A10" s="20"/>
      <c r="B10" s="20" t="s">
        <v>226</v>
      </c>
      <c r="C10" s="171"/>
      <c r="D10" s="161"/>
      <c r="E10" s="147"/>
      <c r="F10" s="45"/>
      <c r="G10" s="147"/>
      <c r="H10" s="165"/>
      <c r="I10" s="147"/>
      <c r="J10" s="49"/>
      <c r="K10" s="152"/>
      <c r="L10" s="58">
        <v>75031</v>
      </c>
    </row>
    <row r="11" spans="1:13" ht="15" customHeight="1" x14ac:dyDescent="0.2">
      <c r="A11" s="20"/>
      <c r="B11" s="20" t="s">
        <v>227</v>
      </c>
      <c r="C11" s="171">
        <v>1939869</v>
      </c>
      <c r="D11" s="161">
        <v>1939869</v>
      </c>
      <c r="E11" s="147">
        <v>0</v>
      </c>
      <c r="F11" s="45" t="s">
        <v>135</v>
      </c>
      <c r="G11" s="147">
        <v>0</v>
      </c>
      <c r="H11" s="165" t="s">
        <v>135</v>
      </c>
      <c r="I11" s="147"/>
      <c r="J11" s="49"/>
      <c r="K11" s="152"/>
      <c r="L11" s="58">
        <v>75070</v>
      </c>
    </row>
    <row r="12" spans="1:13" ht="15" customHeight="1" x14ac:dyDescent="0.2">
      <c r="A12" s="20"/>
      <c r="B12" s="20" t="s">
        <v>228</v>
      </c>
      <c r="C12" s="171">
        <v>11973956</v>
      </c>
      <c r="D12" s="161">
        <v>11973956</v>
      </c>
      <c r="E12" s="147">
        <v>0</v>
      </c>
      <c r="F12" s="45" t="s">
        <v>135</v>
      </c>
      <c r="G12" s="147">
        <v>0</v>
      </c>
      <c r="H12" s="165" t="s">
        <v>135</v>
      </c>
      <c r="I12" s="147"/>
      <c r="J12" s="49"/>
      <c r="K12" s="152"/>
      <c r="L12" s="59" t="s">
        <v>232</v>
      </c>
    </row>
    <row r="13" spans="1:13" ht="15" customHeight="1" x14ac:dyDescent="0.2">
      <c r="A13" s="20"/>
      <c r="B13" s="20" t="s">
        <v>229</v>
      </c>
      <c r="C13" s="171">
        <v>14388310</v>
      </c>
      <c r="D13" s="161">
        <v>14388310</v>
      </c>
      <c r="E13" s="147">
        <v>0</v>
      </c>
      <c r="F13" s="45" t="s">
        <v>135</v>
      </c>
      <c r="G13" s="147">
        <v>0</v>
      </c>
      <c r="H13" s="165" t="s">
        <v>135</v>
      </c>
      <c r="I13" s="147"/>
      <c r="J13" s="49"/>
      <c r="K13" s="152"/>
      <c r="L13" s="58">
        <v>761</v>
      </c>
    </row>
    <row r="14" spans="1:13" ht="15" customHeight="1" x14ac:dyDescent="0.2">
      <c r="A14" s="20"/>
      <c r="B14" s="20" t="s">
        <v>203</v>
      </c>
      <c r="C14" s="171">
        <v>804514</v>
      </c>
      <c r="D14" s="161">
        <v>804514</v>
      </c>
      <c r="E14" s="147">
        <v>0</v>
      </c>
      <c r="F14" s="45" t="s">
        <v>135</v>
      </c>
      <c r="G14" s="147">
        <v>0</v>
      </c>
      <c r="H14" s="165" t="s">
        <v>135</v>
      </c>
      <c r="I14" s="147"/>
      <c r="J14" s="49"/>
      <c r="K14" s="152"/>
      <c r="L14" s="58">
        <v>79</v>
      </c>
    </row>
    <row r="15" spans="1:13" ht="15" customHeight="1" x14ac:dyDescent="0.2">
      <c r="A15" s="20"/>
      <c r="B15" s="20" t="s">
        <v>230</v>
      </c>
      <c r="C15" s="171"/>
      <c r="D15" s="161"/>
      <c r="E15" s="147"/>
      <c r="F15" s="45"/>
      <c r="G15" s="147"/>
      <c r="H15" s="165" t="s">
        <v>154</v>
      </c>
      <c r="I15" s="147"/>
      <c r="J15" s="49"/>
      <c r="K15" s="152"/>
      <c r="L15" s="59" t="s">
        <v>233</v>
      </c>
    </row>
    <row r="16" spans="1:13" ht="15" customHeight="1" thickBot="1" x14ac:dyDescent="0.25">
      <c r="A16" s="9"/>
      <c r="B16" s="2" t="s">
        <v>6</v>
      </c>
      <c r="C16" s="174">
        <f>SUM(C9:C15)</f>
        <v>29106649</v>
      </c>
      <c r="D16" s="164">
        <f>SUM(D9:D15)</f>
        <v>29106649</v>
      </c>
      <c r="E16" s="85">
        <f>SUM(E9:E15)</f>
        <v>0</v>
      </c>
      <c r="F16" s="91" t="s">
        <v>135</v>
      </c>
      <c r="G16" s="85" t="s">
        <v>135</v>
      </c>
      <c r="H16" s="405"/>
      <c r="I16" s="85">
        <f>SUM(I9:I15)</f>
        <v>0</v>
      </c>
      <c r="J16" s="40" t="s">
        <v>135</v>
      </c>
      <c r="K16" s="359"/>
    </row>
    <row r="17" spans="1:17" s="6" customFormat="1" ht="19.5" customHeight="1" thickBot="1" x14ac:dyDescent="0.25">
      <c r="A17" s="5"/>
      <c r="B17" s="4" t="s">
        <v>358</v>
      </c>
      <c r="C17" s="175">
        <f>+C8+C16</f>
        <v>29606729</v>
      </c>
      <c r="D17" s="166">
        <f>+D8+D16</f>
        <v>29606729</v>
      </c>
      <c r="E17" s="167">
        <f t="shared" ref="E17" si="0">+E8+E16</f>
        <v>0</v>
      </c>
      <c r="F17" s="195" t="s">
        <v>135</v>
      </c>
      <c r="G17" s="167" t="s">
        <v>135</v>
      </c>
      <c r="H17" s="187"/>
      <c r="I17" s="158">
        <f>I8+I16</f>
        <v>0</v>
      </c>
      <c r="J17" s="204" t="s">
        <v>135</v>
      </c>
      <c r="K17" s="157"/>
      <c r="L17" s="14"/>
      <c r="N17"/>
      <c r="O17"/>
      <c r="P17"/>
      <c r="Q17"/>
    </row>
    <row r="19" spans="1:17" ht="15.75" thickBot="1" x14ac:dyDescent="0.3">
      <c r="A19" s="7" t="s">
        <v>238</v>
      </c>
    </row>
    <row r="20" spans="1:17" x14ac:dyDescent="0.2">
      <c r="A20" s="8" t="s">
        <v>155</v>
      </c>
      <c r="C20" s="176" t="s">
        <v>512</v>
      </c>
      <c r="D20" s="647" t="s">
        <v>510</v>
      </c>
      <c r="E20" s="648"/>
      <c r="F20" s="648"/>
      <c r="G20" s="648"/>
      <c r="H20" s="649"/>
      <c r="I20" s="651" t="s">
        <v>511</v>
      </c>
      <c r="J20" s="635"/>
      <c r="K20" s="450"/>
    </row>
    <row r="21" spans="1:17" x14ac:dyDescent="0.2">
      <c r="C21" s="169">
        <v>1</v>
      </c>
      <c r="D21" s="159">
        <v>2</v>
      </c>
      <c r="E21" s="88">
        <v>3</v>
      </c>
      <c r="F21" s="89" t="s">
        <v>39</v>
      </c>
      <c r="G21" s="88">
        <v>4</v>
      </c>
      <c r="H21" s="160" t="s">
        <v>49</v>
      </c>
      <c r="I21" s="88" t="s">
        <v>50</v>
      </c>
      <c r="J21" s="16" t="s">
        <v>51</v>
      </c>
      <c r="K21" s="93" t="s">
        <v>366</v>
      </c>
    </row>
    <row r="22" spans="1:17" ht="25.5" x14ac:dyDescent="0.2">
      <c r="A22" s="1"/>
      <c r="B22" s="2" t="s">
        <v>156</v>
      </c>
      <c r="C22" s="170" t="s">
        <v>47</v>
      </c>
      <c r="D22" s="120" t="s">
        <v>48</v>
      </c>
      <c r="E22" s="90" t="s">
        <v>139</v>
      </c>
      <c r="F22" s="90" t="s">
        <v>18</v>
      </c>
      <c r="G22" s="90" t="s">
        <v>421</v>
      </c>
      <c r="H22" s="121" t="s">
        <v>18</v>
      </c>
      <c r="I22" s="90" t="s">
        <v>139</v>
      </c>
      <c r="J22" s="12" t="s">
        <v>18</v>
      </c>
      <c r="K22" s="94" t="s">
        <v>553</v>
      </c>
      <c r="L22" s="57" t="s">
        <v>169</v>
      </c>
    </row>
    <row r="23" spans="1:17" s="92" customFormat="1" x14ac:dyDescent="0.2">
      <c r="A23" s="20"/>
      <c r="B23" s="258" t="s">
        <v>485</v>
      </c>
      <c r="C23" s="171">
        <v>5000000</v>
      </c>
      <c r="D23" s="181">
        <v>5000000</v>
      </c>
      <c r="E23" s="147">
        <v>0</v>
      </c>
      <c r="F23" s="45" t="s">
        <v>135</v>
      </c>
      <c r="G23" s="147">
        <v>0</v>
      </c>
      <c r="H23" s="165" t="s">
        <v>135</v>
      </c>
      <c r="I23" s="147">
        <v>0</v>
      </c>
      <c r="J23" s="49" t="s">
        <v>135</v>
      </c>
      <c r="K23" s="273" t="s">
        <v>135</v>
      </c>
      <c r="L23" s="58" t="s">
        <v>486</v>
      </c>
      <c r="N23"/>
      <c r="O23"/>
      <c r="P23"/>
      <c r="Q23"/>
    </row>
    <row r="24" spans="1:17" s="92" customFormat="1" x14ac:dyDescent="0.2">
      <c r="A24" s="20"/>
      <c r="B24" s="372" t="s">
        <v>484</v>
      </c>
      <c r="C24" s="171"/>
      <c r="D24" s="181"/>
      <c r="E24" s="147"/>
      <c r="F24" s="45" t="s">
        <v>135</v>
      </c>
      <c r="G24" s="147"/>
      <c r="H24" s="165" t="s">
        <v>135</v>
      </c>
      <c r="I24" s="147">
        <v>0</v>
      </c>
      <c r="J24" s="49" t="s">
        <v>135</v>
      </c>
      <c r="K24" s="273" t="s">
        <v>135</v>
      </c>
      <c r="L24" s="58">
        <v>85000</v>
      </c>
      <c r="N24"/>
      <c r="O24"/>
      <c r="P24"/>
      <c r="Q24"/>
    </row>
    <row r="25" spans="1:17" s="92" customFormat="1" x14ac:dyDescent="0.2">
      <c r="A25" s="20"/>
      <c r="B25" s="372" t="s">
        <v>441</v>
      </c>
      <c r="C25" s="171"/>
      <c r="D25" s="181"/>
      <c r="E25" s="147"/>
      <c r="F25" s="45" t="s">
        <v>135</v>
      </c>
      <c r="G25" s="147"/>
      <c r="H25" s="165" t="s">
        <v>135</v>
      </c>
      <c r="I25" s="147">
        <v>0</v>
      </c>
      <c r="J25" s="49" t="s">
        <v>135</v>
      </c>
      <c r="K25" s="273" t="s">
        <v>135</v>
      </c>
      <c r="L25" s="58">
        <v>85005</v>
      </c>
      <c r="M25"/>
      <c r="N25"/>
      <c r="O25"/>
      <c r="P25"/>
      <c r="Q25"/>
    </row>
    <row r="26" spans="1:17" s="92" customFormat="1" x14ac:dyDescent="0.2">
      <c r="A26" s="20"/>
      <c r="B26" s="20" t="s">
        <v>501</v>
      </c>
      <c r="C26" s="171"/>
      <c r="D26" s="181"/>
      <c r="E26" s="147"/>
      <c r="F26" s="45" t="s">
        <v>135</v>
      </c>
      <c r="G26" s="147"/>
      <c r="H26" s="165" t="s">
        <v>135</v>
      </c>
      <c r="I26" s="147"/>
      <c r="J26" s="49"/>
      <c r="K26" s="95"/>
      <c r="L26" s="58" t="s">
        <v>364</v>
      </c>
      <c r="M26"/>
      <c r="N26"/>
      <c r="O26"/>
      <c r="P26"/>
      <c r="Q26"/>
    </row>
    <row r="27" spans="1:17" s="92" customFormat="1" x14ac:dyDescent="0.2">
      <c r="A27" s="20"/>
      <c r="B27" s="20" t="s">
        <v>419</v>
      </c>
      <c r="C27" s="171"/>
      <c r="D27" s="181"/>
      <c r="E27" s="147"/>
      <c r="F27" s="45" t="s">
        <v>135</v>
      </c>
      <c r="G27" s="147"/>
      <c r="H27" s="165" t="s">
        <v>135</v>
      </c>
      <c r="I27" s="147"/>
      <c r="J27" s="49"/>
      <c r="K27" s="95"/>
      <c r="L27" s="58" t="s">
        <v>365</v>
      </c>
      <c r="M27"/>
      <c r="N27"/>
      <c r="O27"/>
      <c r="P27"/>
      <c r="Q27"/>
    </row>
    <row r="28" spans="1:17" ht="15" customHeight="1" x14ac:dyDescent="0.2">
      <c r="A28" s="20"/>
      <c r="B28" s="20" t="s">
        <v>236</v>
      </c>
      <c r="C28" s="171">
        <v>150000</v>
      </c>
      <c r="D28" s="181">
        <v>150000</v>
      </c>
      <c r="E28" s="147">
        <v>0</v>
      </c>
      <c r="F28" s="45" t="s">
        <v>135</v>
      </c>
      <c r="G28" s="147">
        <v>0</v>
      </c>
      <c r="H28" s="165" t="s">
        <v>135</v>
      </c>
      <c r="I28" s="30">
        <v>47448</v>
      </c>
      <c r="J28" s="49">
        <v>0.316</v>
      </c>
      <c r="K28" s="273">
        <f>+E28/I28-1</f>
        <v>-1</v>
      </c>
      <c r="L28" s="58">
        <v>94101</v>
      </c>
    </row>
    <row r="29" spans="1:17" ht="15" customHeight="1" x14ac:dyDescent="0.2">
      <c r="A29" s="63"/>
      <c r="B29" s="63" t="s">
        <v>237</v>
      </c>
      <c r="C29" s="191">
        <v>1400000</v>
      </c>
      <c r="D29" s="432">
        <v>1400000</v>
      </c>
      <c r="E29" s="64">
        <v>45194.83</v>
      </c>
      <c r="F29" s="426">
        <f>+E29/D29</f>
        <v>3.2282021428571429E-2</v>
      </c>
      <c r="G29" s="64">
        <v>45194.83</v>
      </c>
      <c r="H29" s="449">
        <f>+G29/E29</f>
        <v>1</v>
      </c>
      <c r="I29" s="193">
        <v>71788</v>
      </c>
      <c r="J29" s="65">
        <v>4.3999999999999997E-2</v>
      </c>
      <c r="K29" s="99">
        <f>+E29/I29-1</f>
        <v>-0.37044032428818185</v>
      </c>
      <c r="L29" s="59">
        <v>94102</v>
      </c>
    </row>
    <row r="30" spans="1:17" ht="15" customHeight="1" thickBot="1" x14ac:dyDescent="0.25">
      <c r="A30" s="54"/>
      <c r="B30" s="54" t="s">
        <v>247</v>
      </c>
      <c r="C30" s="191">
        <v>160000000</v>
      </c>
      <c r="D30" s="432">
        <v>160000000</v>
      </c>
      <c r="E30" s="55">
        <v>0</v>
      </c>
      <c r="F30" s="45" t="s">
        <v>135</v>
      </c>
      <c r="G30" s="55">
        <v>0</v>
      </c>
      <c r="H30" s="165" t="s">
        <v>135</v>
      </c>
      <c r="I30" s="194">
        <v>0</v>
      </c>
      <c r="J30" s="56">
        <v>0</v>
      </c>
      <c r="K30" s="99" t="s">
        <v>135</v>
      </c>
      <c r="L30" s="59" t="s">
        <v>248</v>
      </c>
    </row>
    <row r="31" spans="1:17" s="6" customFormat="1" ht="19.5" customHeight="1" thickBot="1" x14ac:dyDescent="0.25">
      <c r="A31" s="5"/>
      <c r="B31" s="4" t="s">
        <v>470</v>
      </c>
      <c r="C31" s="175">
        <f>SUM(C23:C30)</f>
        <v>166550000</v>
      </c>
      <c r="D31" s="166">
        <f>SUM(D23:D30)</f>
        <v>166550000</v>
      </c>
      <c r="E31" s="167">
        <f>SUM(E23:E30)</f>
        <v>45194.83</v>
      </c>
      <c r="F31" s="195">
        <f>+E31/(D31-D27)</f>
        <v>2.7135893125187631E-4</v>
      </c>
      <c r="G31" s="167">
        <f>SUM(G23:G30)</f>
        <v>45194.83</v>
      </c>
      <c r="H31" s="187">
        <f>+G31/E31</f>
        <v>1</v>
      </c>
      <c r="I31" s="388">
        <f>SUM(I23:I30)</f>
        <v>119236</v>
      </c>
      <c r="J31" s="195">
        <v>1E-3</v>
      </c>
      <c r="K31" s="96">
        <f>+E31/I31-1</f>
        <v>-0.62096321580730651</v>
      </c>
      <c r="L31" s="14"/>
      <c r="M31"/>
      <c r="N31"/>
      <c r="O31"/>
      <c r="P31"/>
      <c r="Q31"/>
    </row>
    <row r="32" spans="1:17" x14ac:dyDescent="0.2">
      <c r="B32" s="276"/>
    </row>
    <row r="36" spans="2:2" x14ac:dyDescent="0.2">
      <c r="B36" s="43"/>
    </row>
  </sheetData>
  <sortState ref="B23:L29">
    <sortCondition ref="L23:L29"/>
  </sortState>
  <mergeCells count="4">
    <mergeCell ref="I2:J2"/>
    <mergeCell ref="I20:J20"/>
    <mergeCell ref="D2:H2"/>
    <mergeCell ref="D20:H20"/>
  </mergeCells>
  <printOptions horizontalCentered="1"/>
  <pageMargins left="0.51181102362204722" right="0.51181102362204722" top="1.1417322834645669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Gener&amp;R&amp;"Arial,Negreta"&amp;8&amp;K03+000Direcció de Pressupostos i Política Fiscal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92D050"/>
    <pageSetUpPr fitToPage="1"/>
  </sheetPr>
  <dimension ref="A1:P36"/>
  <sheetViews>
    <sheetView topLeftCell="C10" zoomScaleNormal="100" workbookViewId="0">
      <selection activeCell="G39" sqref="G39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3.42578125" bestFit="1" customWidth="1"/>
    <col min="4" max="4" width="13.5703125" style="98" customWidth="1"/>
    <col min="5" max="5" width="13.28515625" bestFit="1" customWidth="1"/>
    <col min="6" max="6" width="7.7109375" style="98" customWidth="1"/>
    <col min="7" max="7" width="13.28515625" bestFit="1" customWidth="1"/>
    <col min="8" max="8" width="6.28515625" style="98" customWidth="1"/>
    <col min="9" max="9" width="10.85546875" bestFit="1" customWidth="1"/>
    <col min="10" max="10" width="6.28515625" style="98" customWidth="1"/>
    <col min="11" max="11" width="13.140625" customWidth="1"/>
    <col min="12" max="12" width="10.7109375" style="98" customWidth="1"/>
    <col min="13" max="13" width="9.5703125" style="98" bestFit="1" customWidth="1"/>
    <col min="14" max="14" width="11.28515625" customWidth="1"/>
    <col min="15" max="15" width="11.42578125" style="98"/>
    <col min="16" max="16" width="10.5703125" style="98" bestFit="1" customWidth="1"/>
  </cols>
  <sheetData>
    <row r="1" spans="1:16" ht="15.75" thickBot="1" x14ac:dyDescent="0.3">
      <c r="A1" s="7" t="s">
        <v>19</v>
      </c>
    </row>
    <row r="2" spans="1:16" x14ac:dyDescent="0.2">
      <c r="A2" s="8" t="s">
        <v>20</v>
      </c>
      <c r="C2" s="176" t="s">
        <v>512</v>
      </c>
      <c r="D2" s="291" t="s">
        <v>154</v>
      </c>
      <c r="E2" s="655" t="s">
        <v>510</v>
      </c>
      <c r="F2" s="656"/>
      <c r="G2" s="656"/>
      <c r="H2" s="656"/>
      <c r="I2" s="656"/>
      <c r="J2" s="656"/>
      <c r="K2" s="656"/>
      <c r="L2" s="656"/>
      <c r="M2" s="657"/>
      <c r="N2" s="653" t="s">
        <v>511</v>
      </c>
      <c r="O2" s="654"/>
      <c r="P2" s="459"/>
    </row>
    <row r="3" spans="1:16" x14ac:dyDescent="0.2">
      <c r="C3" s="169">
        <v>1</v>
      </c>
      <c r="D3" s="159"/>
      <c r="E3" s="159">
        <v>2</v>
      </c>
      <c r="F3" s="88"/>
      <c r="G3" s="88">
        <v>3</v>
      </c>
      <c r="H3" s="89" t="s">
        <v>39</v>
      </c>
      <c r="I3" s="88">
        <v>4</v>
      </c>
      <c r="J3" s="89" t="s">
        <v>40</v>
      </c>
      <c r="K3" s="88">
        <v>5</v>
      </c>
      <c r="L3" s="88"/>
      <c r="M3" s="160" t="s">
        <v>41</v>
      </c>
      <c r="N3" s="88" t="s">
        <v>42</v>
      </c>
      <c r="O3" s="89" t="s">
        <v>43</v>
      </c>
      <c r="P3" s="292" t="s">
        <v>368</v>
      </c>
    </row>
    <row r="4" spans="1:16" ht="25.5" x14ac:dyDescent="0.2">
      <c r="A4" s="1"/>
      <c r="B4" s="2" t="s">
        <v>12</v>
      </c>
      <c r="C4" s="170" t="s">
        <v>13</v>
      </c>
      <c r="D4" s="120" t="s">
        <v>461</v>
      </c>
      <c r="E4" s="120" t="s">
        <v>14</v>
      </c>
      <c r="F4" s="90" t="s">
        <v>462</v>
      </c>
      <c r="G4" s="90" t="s">
        <v>15</v>
      </c>
      <c r="H4" s="90" t="s">
        <v>18</v>
      </c>
      <c r="I4" s="90" t="s">
        <v>16</v>
      </c>
      <c r="J4" s="90" t="s">
        <v>18</v>
      </c>
      <c r="K4" s="90" t="s">
        <v>17</v>
      </c>
      <c r="L4" s="90" t="s">
        <v>463</v>
      </c>
      <c r="M4" s="121" t="s">
        <v>18</v>
      </c>
      <c r="N4" s="90" t="s">
        <v>17</v>
      </c>
      <c r="O4" s="12" t="s">
        <v>18</v>
      </c>
      <c r="P4" s="151" t="s">
        <v>553</v>
      </c>
    </row>
    <row r="5" spans="1:16" ht="15" customHeight="1" x14ac:dyDescent="0.2">
      <c r="A5" s="20">
        <v>1</v>
      </c>
      <c r="B5" s="20" t="s">
        <v>0</v>
      </c>
      <c r="C5" s="171">
        <v>355786464.55000001</v>
      </c>
      <c r="D5" s="284">
        <f>C5/C17</f>
        <v>0.13949312918635584</v>
      </c>
      <c r="E5" s="161">
        <v>355786464.55000001</v>
      </c>
      <c r="F5" s="286">
        <f>E5/E17</f>
        <v>0.13949312918635584</v>
      </c>
      <c r="G5" s="147">
        <v>25281465.109999999</v>
      </c>
      <c r="H5" s="45">
        <f t="shared" ref="H5:H10" si="0">+G5/E5</f>
        <v>7.1057973332335975E-2</v>
      </c>
      <c r="I5" s="147">
        <v>25221464.899999999</v>
      </c>
      <c r="J5" s="45">
        <f t="shared" ref="J5:J17" si="1">+I5/E5</f>
        <v>7.0889332262541793E-2</v>
      </c>
      <c r="K5" s="147">
        <v>24897302.18</v>
      </c>
      <c r="L5" s="286">
        <f>K5/K17</f>
        <v>0.11911244106464006</v>
      </c>
      <c r="M5" s="165">
        <f t="shared" ref="M5:M17" si="2">+K5/E5</f>
        <v>6.9978216319977762E-2</v>
      </c>
      <c r="N5" s="147">
        <v>24311720</v>
      </c>
      <c r="O5" s="165">
        <v>6.9956310241813396E-2</v>
      </c>
      <c r="P5" s="152">
        <f>+K5/N5-1</f>
        <v>2.4086415111723936E-2</v>
      </c>
    </row>
    <row r="6" spans="1:16" ht="15" customHeight="1" x14ac:dyDescent="0.2">
      <c r="A6" s="22">
        <v>2</v>
      </c>
      <c r="B6" s="22" t="s">
        <v>1</v>
      </c>
      <c r="C6" s="171">
        <v>603468828.02999997</v>
      </c>
      <c r="D6" s="284">
        <f>C6/C17</f>
        <v>0.2366019047261913</v>
      </c>
      <c r="E6" s="161">
        <v>603178428.02999997</v>
      </c>
      <c r="F6" s="286">
        <f>E6/E17</f>
        <v>0.23648804765530201</v>
      </c>
      <c r="G6" s="147">
        <v>150042902.69999999</v>
      </c>
      <c r="H6" s="295">
        <f t="shared" si="0"/>
        <v>0.24875376128759263</v>
      </c>
      <c r="I6" s="147">
        <v>133472594.53</v>
      </c>
      <c r="J6" s="295">
        <f t="shared" si="1"/>
        <v>0.22128210878815041</v>
      </c>
      <c r="K6" s="147">
        <v>774837.51</v>
      </c>
      <c r="L6" s="455">
        <f>K6/K17</f>
        <v>3.7069392730705673E-3</v>
      </c>
      <c r="M6" s="192">
        <f t="shared" si="2"/>
        <v>1.2845908838793258E-3</v>
      </c>
      <c r="N6" s="144">
        <v>1601883</v>
      </c>
      <c r="O6" s="192">
        <v>2.8418894238747589E-3</v>
      </c>
      <c r="P6" s="153">
        <f t="shared" ref="P6:P15" si="3">+K6/N6-1</f>
        <v>-0.51629581561200166</v>
      </c>
    </row>
    <row r="7" spans="1:16" ht="15" customHeight="1" x14ac:dyDescent="0.2">
      <c r="A7" s="22">
        <v>3</v>
      </c>
      <c r="B7" s="22" t="s">
        <v>2</v>
      </c>
      <c r="C7" s="171">
        <v>34707752.200000003</v>
      </c>
      <c r="D7" s="284">
        <f>C7/C17</f>
        <v>1.3607861579349748E-2</v>
      </c>
      <c r="E7" s="161">
        <v>34707752.200000003</v>
      </c>
      <c r="F7" s="286">
        <f>E7/E17</f>
        <v>1.3607861579349748E-2</v>
      </c>
      <c r="G7" s="147">
        <v>4002291.22</v>
      </c>
      <c r="H7" s="295">
        <f t="shared" si="0"/>
        <v>0.11531404272270908</v>
      </c>
      <c r="I7" s="147">
        <v>4002291.22</v>
      </c>
      <c r="J7" s="295">
        <f t="shared" si="1"/>
        <v>0.11531404272270908</v>
      </c>
      <c r="K7" s="147">
        <v>4002291.22</v>
      </c>
      <c r="L7" s="455">
        <f>K7/K17</f>
        <v>1.9147563604249768E-2</v>
      </c>
      <c r="M7" s="192">
        <f t="shared" si="2"/>
        <v>0.11531404272270908</v>
      </c>
      <c r="N7" s="144">
        <v>7758690</v>
      </c>
      <c r="O7" s="192">
        <v>0.18657715633679756</v>
      </c>
      <c r="P7" s="153">
        <f t="shared" si="3"/>
        <v>-0.48415373987103494</v>
      </c>
    </row>
    <row r="8" spans="1:16" ht="15" customHeight="1" x14ac:dyDescent="0.2">
      <c r="A8" s="22">
        <v>4</v>
      </c>
      <c r="B8" s="22" t="s">
        <v>3</v>
      </c>
      <c r="C8" s="171">
        <v>995669824.77999997</v>
      </c>
      <c r="D8" s="396">
        <f>C8/C17</f>
        <v>0.39037207239083771</v>
      </c>
      <c r="E8" s="161">
        <v>1005087724.78</v>
      </c>
      <c r="F8" s="455">
        <f>E8/E17</f>
        <v>0.39406454659169238</v>
      </c>
      <c r="G8" s="147">
        <v>687788251.40999997</v>
      </c>
      <c r="H8" s="295">
        <f t="shared" si="0"/>
        <v>0.68430668731980326</v>
      </c>
      <c r="I8" s="147">
        <v>674045132.36000001</v>
      </c>
      <c r="J8" s="295">
        <f t="shared" si="1"/>
        <v>0.67063313553803405</v>
      </c>
      <c r="K8" s="147">
        <v>76865597.489999995</v>
      </c>
      <c r="L8" s="455">
        <f>K8/K17</f>
        <v>0.3677365878733922</v>
      </c>
      <c r="M8" s="475">
        <f t="shared" si="2"/>
        <v>7.6476506074954625E-2</v>
      </c>
      <c r="N8" s="144">
        <v>82431853</v>
      </c>
      <c r="O8" s="192">
        <v>8.9196528145034371E-2</v>
      </c>
      <c r="P8" s="153">
        <f t="shared" si="3"/>
        <v>-6.7525541491830876E-2</v>
      </c>
    </row>
    <row r="9" spans="1:16" ht="15" customHeight="1" x14ac:dyDescent="0.2">
      <c r="A9" s="54">
        <v>5</v>
      </c>
      <c r="B9" s="54" t="s">
        <v>487</v>
      </c>
      <c r="C9" s="171">
        <v>6477736.8899999997</v>
      </c>
      <c r="D9" s="397">
        <f>C9/C17</f>
        <v>2.5397250285360603E-3</v>
      </c>
      <c r="E9" s="161">
        <v>4350236.8899999997</v>
      </c>
      <c r="F9" s="290">
        <f>E9/E17</f>
        <v>1.7055965219349735E-3</v>
      </c>
      <c r="G9" s="147">
        <v>0</v>
      </c>
      <c r="H9" s="79" t="s">
        <v>135</v>
      </c>
      <c r="I9" s="147">
        <v>0</v>
      </c>
      <c r="J9" s="79" t="s">
        <v>135</v>
      </c>
      <c r="K9" s="147">
        <v>0</v>
      </c>
      <c r="L9" s="290" t="s">
        <v>135</v>
      </c>
      <c r="M9" s="186">
        <f t="shared" si="2"/>
        <v>0</v>
      </c>
      <c r="N9" s="55">
        <v>0</v>
      </c>
      <c r="O9" s="186" t="s">
        <v>135</v>
      </c>
      <c r="P9" s="178" t="s">
        <v>135</v>
      </c>
    </row>
    <row r="10" spans="1:16" ht="15" customHeight="1" x14ac:dyDescent="0.2">
      <c r="A10" s="9"/>
      <c r="B10" s="2" t="s">
        <v>4</v>
      </c>
      <c r="C10" s="174">
        <f>SUM(C5:C9)</f>
        <v>1996110606.45</v>
      </c>
      <c r="D10" s="283">
        <f>C10/C17</f>
        <v>0.78261469291127073</v>
      </c>
      <c r="E10" s="164">
        <f>SUM(E5:E9)</f>
        <v>2003110606.45</v>
      </c>
      <c r="F10" s="287">
        <f>E10/E17</f>
        <v>0.78535918153463502</v>
      </c>
      <c r="G10" s="85">
        <f>SUM(G5:G9)</f>
        <v>867114910.43999994</v>
      </c>
      <c r="H10" s="91">
        <f t="shared" si="0"/>
        <v>0.4328841890447272</v>
      </c>
      <c r="I10" s="85">
        <f>SUM(I5:I9)</f>
        <v>836741483.00999999</v>
      </c>
      <c r="J10" s="91">
        <f t="shared" si="1"/>
        <v>0.41772105859541614</v>
      </c>
      <c r="K10" s="85">
        <f>SUM(K5:K8)</f>
        <v>106540028.39999999</v>
      </c>
      <c r="L10" s="287">
        <f>K10/K17</f>
        <v>0.50970353181535255</v>
      </c>
      <c r="M10" s="183">
        <f t="shared" si="2"/>
        <v>5.3187291833482364E-2</v>
      </c>
      <c r="N10" s="85">
        <f>SUM(N5:N9)</f>
        <v>116104146</v>
      </c>
      <c r="O10" s="91">
        <v>6.0999999999999999E-2</v>
      </c>
      <c r="P10" s="155">
        <f t="shared" si="3"/>
        <v>-8.237533222973803E-2</v>
      </c>
    </row>
    <row r="11" spans="1:16" ht="15" customHeight="1" x14ac:dyDescent="0.2">
      <c r="A11" s="20">
        <v>6</v>
      </c>
      <c r="B11" s="20" t="s">
        <v>5</v>
      </c>
      <c r="C11" s="171">
        <v>352109003.55000001</v>
      </c>
      <c r="D11" s="284">
        <f>C11/C17</f>
        <v>0.13805130777530356</v>
      </c>
      <c r="E11" s="161">
        <v>345109003.55000001</v>
      </c>
      <c r="F11" s="286">
        <f>E11/E17</f>
        <v>0.13530681915193923</v>
      </c>
      <c r="G11" s="147">
        <v>56102099.68</v>
      </c>
      <c r="H11" s="45">
        <f t="shared" ref="H11:H17" si="4">+G11/E11</f>
        <v>0.16256341939184391</v>
      </c>
      <c r="I11" s="147">
        <v>54382145.219999999</v>
      </c>
      <c r="J11" s="45">
        <f t="shared" si="1"/>
        <v>0.15757961878882426</v>
      </c>
      <c r="K11" s="147">
        <v>20000000</v>
      </c>
      <c r="L11" s="286">
        <f>K11/K17</f>
        <v>9.5683010314525613E-2</v>
      </c>
      <c r="M11" s="165">
        <f t="shared" si="2"/>
        <v>5.7952704201478085E-2</v>
      </c>
      <c r="N11" s="147">
        <v>178</v>
      </c>
      <c r="O11" s="165">
        <v>4.460817558972008E-7</v>
      </c>
      <c r="P11" s="152">
        <f t="shared" si="3"/>
        <v>112358.55056179775</v>
      </c>
    </row>
    <row r="12" spans="1:16" ht="15" customHeight="1" x14ac:dyDescent="0.2">
      <c r="A12" s="24">
        <v>7</v>
      </c>
      <c r="B12" s="24" t="s">
        <v>6</v>
      </c>
      <c r="C12" s="171">
        <v>21741338.550000001</v>
      </c>
      <c r="D12" s="285">
        <f>C12/C17</f>
        <v>8.5241223295981858E-3</v>
      </c>
      <c r="E12" s="161">
        <v>21741338.550000001</v>
      </c>
      <c r="F12" s="288">
        <f>E12/E17</f>
        <v>8.5241223295981858E-3</v>
      </c>
      <c r="G12" s="147">
        <v>195000</v>
      </c>
      <c r="H12" s="433">
        <f t="shared" si="4"/>
        <v>8.9690889800343038E-3</v>
      </c>
      <c r="I12" s="147">
        <v>195000</v>
      </c>
      <c r="J12" s="433">
        <f t="shared" si="1"/>
        <v>8.9690889800343038E-3</v>
      </c>
      <c r="K12" s="147">
        <v>0</v>
      </c>
      <c r="L12" s="288" t="s">
        <v>135</v>
      </c>
      <c r="M12" s="434">
        <f t="shared" si="2"/>
        <v>0</v>
      </c>
      <c r="N12" s="148">
        <v>1000000</v>
      </c>
      <c r="O12" s="434">
        <v>3.9530053692596719E-2</v>
      </c>
      <c r="P12" s="152">
        <f t="shared" si="3"/>
        <v>-1</v>
      </c>
    </row>
    <row r="13" spans="1:16" ht="15" customHeight="1" x14ac:dyDescent="0.2">
      <c r="A13" s="9"/>
      <c r="B13" s="2" t="s">
        <v>7</v>
      </c>
      <c r="C13" s="174">
        <f>SUM(C11:C12)</f>
        <v>373850342.10000002</v>
      </c>
      <c r="D13" s="283">
        <f>C13/C17</f>
        <v>0.14657543010490173</v>
      </c>
      <c r="E13" s="164">
        <f>SUM(E11:E12)</f>
        <v>366850342.10000002</v>
      </c>
      <c r="F13" s="287">
        <f>E13/E17</f>
        <v>0.14383094148153741</v>
      </c>
      <c r="G13" s="85">
        <f>SUM(G11:G12)</f>
        <v>56297099.68</v>
      </c>
      <c r="H13" s="91">
        <f t="shared" si="4"/>
        <v>0.15346067106747832</v>
      </c>
      <c r="I13" s="85">
        <f>SUM(I11:I12)</f>
        <v>54577145.219999999</v>
      </c>
      <c r="J13" s="91">
        <f t="shared" si="1"/>
        <v>0.14877223476902951</v>
      </c>
      <c r="K13" s="85">
        <f>SUM(K11:K12)</f>
        <v>20000000</v>
      </c>
      <c r="L13" s="287">
        <f>K13/K17</f>
        <v>9.5683010314525613E-2</v>
      </c>
      <c r="M13" s="183">
        <f t="shared" si="2"/>
        <v>5.4518144607721759E-2</v>
      </c>
      <c r="N13" s="85">
        <f>SUM(N11:N12)</f>
        <v>1000178</v>
      </c>
      <c r="O13" s="91">
        <v>2E-3</v>
      </c>
      <c r="P13" s="155">
        <f>+K13/N13-1</f>
        <v>18.996440633567225</v>
      </c>
    </row>
    <row r="14" spans="1:16" ht="15" customHeight="1" x14ac:dyDescent="0.2">
      <c r="A14" s="20">
        <v>8</v>
      </c>
      <c r="B14" s="20" t="s">
        <v>8</v>
      </c>
      <c r="C14" s="171">
        <v>21421544.140000001</v>
      </c>
      <c r="D14" s="284">
        <f>C14/C17</f>
        <v>8.3987405981609704E-3</v>
      </c>
      <c r="E14" s="161">
        <v>21421544.140000001</v>
      </c>
      <c r="F14" s="286">
        <f>E14/E17</f>
        <v>8.3987405981609704E-3</v>
      </c>
      <c r="G14" s="147">
        <v>0</v>
      </c>
      <c r="H14" s="45" t="s">
        <v>135</v>
      </c>
      <c r="I14" s="147">
        <v>0</v>
      </c>
      <c r="J14" s="45" t="s">
        <v>135</v>
      </c>
      <c r="K14" s="147">
        <v>0</v>
      </c>
      <c r="L14" s="286" t="s">
        <v>135</v>
      </c>
      <c r="M14" s="165">
        <f t="shared" si="2"/>
        <v>0</v>
      </c>
      <c r="N14" s="147">
        <v>7821544</v>
      </c>
      <c r="O14" s="165">
        <v>6.7205474822678163E-2</v>
      </c>
      <c r="P14" s="152">
        <f>+K14/N14-1</f>
        <v>-1</v>
      </c>
    </row>
    <row r="15" spans="1:16" ht="15" customHeight="1" x14ac:dyDescent="0.2">
      <c r="A15" s="24">
        <v>9</v>
      </c>
      <c r="B15" s="24" t="s">
        <v>9</v>
      </c>
      <c r="C15" s="171">
        <v>159183736.81</v>
      </c>
      <c r="D15" s="285">
        <f>C15/C17</f>
        <v>6.2411136385666637E-2</v>
      </c>
      <c r="E15" s="161">
        <v>159183736.81</v>
      </c>
      <c r="F15" s="288">
        <f>E15/E17</f>
        <v>6.2411136385666637E-2</v>
      </c>
      <c r="G15" s="147">
        <v>82483495.569999993</v>
      </c>
      <c r="H15" s="433">
        <f t="shared" si="4"/>
        <v>0.51816534291094951</v>
      </c>
      <c r="I15" s="147">
        <v>82483495.569999993</v>
      </c>
      <c r="J15" s="433">
        <f t="shared" si="1"/>
        <v>0.51816534291094951</v>
      </c>
      <c r="K15" s="147">
        <v>82483495.569999993</v>
      </c>
      <c r="L15" s="288">
        <f>K15/K17</f>
        <v>0.39461345787012186</v>
      </c>
      <c r="M15" s="434">
        <f t="shared" si="2"/>
        <v>0.51816534291094951</v>
      </c>
      <c r="N15" s="148">
        <v>24982681</v>
      </c>
      <c r="O15" s="434">
        <v>0.18998779969724669</v>
      </c>
      <c r="P15" s="154">
        <f t="shared" si="3"/>
        <v>2.3016270579606726</v>
      </c>
    </row>
    <row r="16" spans="1:16" ht="15" customHeight="1" thickBot="1" x14ac:dyDescent="0.25">
      <c r="A16" s="9"/>
      <c r="B16" s="2" t="s">
        <v>10</v>
      </c>
      <c r="C16" s="174">
        <f>SUM(C14:C15)</f>
        <v>180605280.94999999</v>
      </c>
      <c r="D16" s="283">
        <f>C16/C17</f>
        <v>7.0809876983827597E-2</v>
      </c>
      <c r="E16" s="164">
        <f>SUM(E14:E15)</f>
        <v>180605280.94999999</v>
      </c>
      <c r="F16" s="287">
        <f>E16/E17</f>
        <v>7.0809876983827597E-2</v>
      </c>
      <c r="G16" s="85">
        <f>SUM(G14:G15)</f>
        <v>82483495.569999993</v>
      </c>
      <c r="H16" s="91">
        <f t="shared" si="4"/>
        <v>0.45670588997248257</v>
      </c>
      <c r="I16" s="85">
        <f>SUM(I14:I15)</f>
        <v>82483495.569999993</v>
      </c>
      <c r="J16" s="91">
        <f t="shared" si="1"/>
        <v>0.45670588997248257</v>
      </c>
      <c r="K16" s="85">
        <f>SUM(K14:K15)</f>
        <v>82483495.569999993</v>
      </c>
      <c r="L16" s="287">
        <f>K16/K17</f>
        <v>0.39461345787012186</v>
      </c>
      <c r="M16" s="183">
        <f t="shared" si="2"/>
        <v>0.45670588997248257</v>
      </c>
      <c r="N16" s="85">
        <f>SUM(N14:N15)</f>
        <v>32804225</v>
      </c>
      <c r="O16" s="91">
        <v>0.13200000000000001</v>
      </c>
      <c r="P16" s="155">
        <f>+K16/N16-1</f>
        <v>1.5144168341120694</v>
      </c>
    </row>
    <row r="17" spans="1:16" s="6" customFormat="1" ht="19.5" customHeight="1" thickBot="1" x14ac:dyDescent="0.25">
      <c r="A17" s="5"/>
      <c r="B17" s="4" t="s">
        <v>11</v>
      </c>
      <c r="C17" s="175">
        <f>+C10+C13+C16</f>
        <v>2550566229.5</v>
      </c>
      <c r="D17" s="451"/>
      <c r="E17" s="166">
        <f>+E10+E13+E16</f>
        <v>2550566229.5</v>
      </c>
      <c r="F17" s="289"/>
      <c r="G17" s="167">
        <f>+G10+G13+G16</f>
        <v>1005895505.6899998</v>
      </c>
      <c r="H17" s="195">
        <f t="shared" si="4"/>
        <v>0.39438125309421607</v>
      </c>
      <c r="I17" s="167">
        <f>+I10+I13+I16</f>
        <v>973802123.79999995</v>
      </c>
      <c r="J17" s="195">
        <f t="shared" si="1"/>
        <v>0.3817984071681601</v>
      </c>
      <c r="K17" s="167">
        <f>+K10+K13+K16</f>
        <v>209023523.96999997</v>
      </c>
      <c r="L17" s="289"/>
      <c r="M17" s="187">
        <f t="shared" si="2"/>
        <v>8.1951811935883689E-2</v>
      </c>
      <c r="N17" s="158">
        <f>N10+N13+N16</f>
        <v>149908549</v>
      </c>
      <c r="O17" s="458">
        <v>5.8000000000000003E-2</v>
      </c>
      <c r="P17" s="157">
        <f>+K17/N17-1</f>
        <v>0.39434025186915767</v>
      </c>
    </row>
    <row r="18" spans="1:16" x14ac:dyDescent="0.2">
      <c r="E18" s="43"/>
      <c r="G18" s="43"/>
      <c r="I18" s="43"/>
      <c r="K18" s="43"/>
    </row>
    <row r="19" spans="1:16" x14ac:dyDescent="0.2">
      <c r="A19" s="8" t="s">
        <v>513</v>
      </c>
      <c r="E19" s="279"/>
      <c r="F19" s="456"/>
      <c r="G19" s="279"/>
      <c r="H19" s="456"/>
      <c r="K19" s="652"/>
      <c r="L19" s="652"/>
    </row>
    <row r="20" spans="1:16" x14ac:dyDescent="0.2">
      <c r="C20" s="14"/>
      <c r="D20" s="14"/>
      <c r="E20" s="14"/>
      <c r="F20" s="15"/>
      <c r="G20" s="14"/>
      <c r="H20" s="15"/>
      <c r="I20" s="14"/>
      <c r="J20" s="15"/>
      <c r="N20" s="88"/>
      <c r="O20" s="89"/>
    </row>
    <row r="21" spans="1:16" ht="38.25" x14ac:dyDescent="0.2">
      <c r="A21" s="1"/>
      <c r="B21" s="2" t="s">
        <v>12</v>
      </c>
      <c r="C21" s="3" t="s">
        <v>502</v>
      </c>
      <c r="D21" s="3" t="s">
        <v>476</v>
      </c>
      <c r="E21" s="3" t="s">
        <v>359</v>
      </c>
      <c r="F21" s="3"/>
      <c r="G21" s="3" t="s">
        <v>360</v>
      </c>
      <c r="H21" s="3"/>
      <c r="I21" s="3" t="s">
        <v>361</v>
      </c>
      <c r="J21" s="3"/>
      <c r="K21" s="90" t="s">
        <v>442</v>
      </c>
      <c r="L21" s="90" t="s">
        <v>468</v>
      </c>
      <c r="M21" s="90" t="s">
        <v>418</v>
      </c>
      <c r="N21" s="57"/>
      <c r="O21" s="90" t="s">
        <v>362</v>
      </c>
      <c r="P21" s="90" t="s">
        <v>18</v>
      </c>
    </row>
    <row r="22" spans="1:16" x14ac:dyDescent="0.2">
      <c r="A22" s="20">
        <v>1</v>
      </c>
      <c r="B22" s="20" t="s">
        <v>0</v>
      </c>
      <c r="C22" s="21">
        <v>0</v>
      </c>
      <c r="D22" s="373">
        <v>0</v>
      </c>
      <c r="E22" s="144">
        <v>27075359.82</v>
      </c>
      <c r="F22" s="45"/>
      <c r="G22" s="144">
        <v>27075359.82</v>
      </c>
      <c r="H22" s="45"/>
      <c r="I22" s="21">
        <v>0</v>
      </c>
      <c r="J22" s="45"/>
      <c r="K22" s="147">
        <v>0</v>
      </c>
      <c r="L22" s="373">
        <v>0</v>
      </c>
      <c r="M22" s="373">
        <v>0</v>
      </c>
      <c r="N22" s="366"/>
      <c r="O22" s="358">
        <v>0</v>
      </c>
      <c r="P22" s="45">
        <f t="shared" ref="P22:P34" si="5">O22/C5</f>
        <v>0</v>
      </c>
    </row>
    <row r="23" spans="1:16" x14ac:dyDescent="0.2">
      <c r="A23" s="22">
        <v>2</v>
      </c>
      <c r="B23" s="22" t="s">
        <v>1</v>
      </c>
      <c r="C23" s="23">
        <v>0</v>
      </c>
      <c r="D23" s="358">
        <v>0</v>
      </c>
      <c r="E23" s="23">
        <v>0</v>
      </c>
      <c r="F23" s="295"/>
      <c r="G23" s="144">
        <v>290400</v>
      </c>
      <c r="H23" s="295"/>
      <c r="I23" s="23">
        <v>0</v>
      </c>
      <c r="J23" s="295"/>
      <c r="K23" s="144">
        <v>0</v>
      </c>
      <c r="L23" s="358">
        <v>0</v>
      </c>
      <c r="M23" s="358">
        <v>0</v>
      </c>
      <c r="N23" s="144"/>
      <c r="O23" s="358">
        <v>-290400</v>
      </c>
      <c r="P23" s="45">
        <f t="shared" si="5"/>
        <v>-4.812178964537394E-4</v>
      </c>
    </row>
    <row r="24" spans="1:16" x14ac:dyDescent="0.2">
      <c r="A24" s="22">
        <v>3</v>
      </c>
      <c r="B24" s="22" t="s">
        <v>2</v>
      </c>
      <c r="C24" s="23"/>
      <c r="D24" s="358"/>
      <c r="E24" s="144"/>
      <c r="F24" s="295"/>
      <c r="G24" s="23"/>
      <c r="H24" s="295"/>
      <c r="I24" s="23"/>
      <c r="J24" s="295"/>
      <c r="K24" s="144">
        <v>0</v>
      </c>
      <c r="L24" s="358">
        <v>0</v>
      </c>
      <c r="M24" s="358">
        <v>0</v>
      </c>
      <c r="N24" s="144"/>
      <c r="O24" s="358"/>
      <c r="P24" s="45">
        <f t="shared" si="5"/>
        <v>0</v>
      </c>
    </row>
    <row r="25" spans="1:16" x14ac:dyDescent="0.2">
      <c r="A25" s="22">
        <v>4</v>
      </c>
      <c r="B25" s="22" t="s">
        <v>3</v>
      </c>
      <c r="C25" s="144">
        <v>0</v>
      </c>
      <c r="D25" s="358">
        <v>0</v>
      </c>
      <c r="E25" s="144">
        <v>9417900</v>
      </c>
      <c r="F25" s="295"/>
      <c r="G25" s="144">
        <v>0</v>
      </c>
      <c r="H25" s="295"/>
      <c r="I25" s="144">
        <v>0</v>
      </c>
      <c r="J25" s="295"/>
      <c r="K25" s="32">
        <v>0</v>
      </c>
      <c r="L25" s="358">
        <v>0</v>
      </c>
      <c r="M25" s="617">
        <v>0</v>
      </c>
      <c r="N25" s="618"/>
      <c r="O25" s="358">
        <v>9417900</v>
      </c>
      <c r="P25" s="295">
        <f t="shared" si="5"/>
        <v>9.4588585147500574E-3</v>
      </c>
    </row>
    <row r="26" spans="1:16" x14ac:dyDescent="0.2">
      <c r="A26" s="54">
        <v>5</v>
      </c>
      <c r="B26" s="54" t="s">
        <v>487</v>
      </c>
      <c r="C26" s="55">
        <v>0</v>
      </c>
      <c r="D26" s="241">
        <v>0</v>
      </c>
      <c r="E26" s="55">
        <v>0</v>
      </c>
      <c r="F26" s="79"/>
      <c r="G26" s="147">
        <v>2127500</v>
      </c>
      <c r="H26" s="79"/>
      <c r="I26" s="55">
        <v>0</v>
      </c>
      <c r="J26" s="79"/>
      <c r="K26" s="194">
        <v>0</v>
      </c>
      <c r="L26" s="241">
        <v>0</v>
      </c>
      <c r="M26" s="457">
        <v>0</v>
      </c>
      <c r="N26" s="367"/>
      <c r="O26" s="373">
        <v>-2127500</v>
      </c>
      <c r="P26" s="79">
        <f t="shared" si="5"/>
        <v>-0.32843260480127345</v>
      </c>
    </row>
    <row r="27" spans="1:16" x14ac:dyDescent="0.2">
      <c r="A27" s="9"/>
      <c r="B27" s="2" t="s">
        <v>4</v>
      </c>
      <c r="C27" s="18">
        <f>SUM(C22:C26)</f>
        <v>0</v>
      </c>
      <c r="D27" s="453">
        <f>SUM(D22:D26)</f>
        <v>0</v>
      </c>
      <c r="E27" s="18">
        <f>SUM(E22:E26)</f>
        <v>36493259.82</v>
      </c>
      <c r="F27" s="41"/>
      <c r="G27" s="18">
        <f>SUM(G22:G26)</f>
        <v>29493259.82</v>
      </c>
      <c r="H27" s="41"/>
      <c r="I27" s="18">
        <f>SUM(I22:I26)</f>
        <v>0</v>
      </c>
      <c r="J27" s="41"/>
      <c r="K27" s="132">
        <f>SUM(K22:K25)</f>
        <v>0</v>
      </c>
      <c r="L27" s="132">
        <f>SUM(L22:L25)</f>
        <v>0</v>
      </c>
      <c r="M27" s="132">
        <f>SUM(M22:M25)</f>
        <v>0</v>
      </c>
      <c r="N27" s="132"/>
      <c r="O27" s="224">
        <f>+C27+D27+E27-G27+I27+K27-M27+L27</f>
        <v>7000000</v>
      </c>
      <c r="P27" s="91">
        <f t="shared" si="5"/>
        <v>3.5068197009629691E-3</v>
      </c>
    </row>
    <row r="28" spans="1:16" x14ac:dyDescent="0.2">
      <c r="A28" s="20">
        <v>6</v>
      </c>
      <c r="B28" s="20" t="s">
        <v>5</v>
      </c>
      <c r="C28" s="21">
        <v>0</v>
      </c>
      <c r="D28" s="373">
        <v>0</v>
      </c>
      <c r="E28" s="144">
        <v>21406564.960000001</v>
      </c>
      <c r="F28" s="45"/>
      <c r="G28" s="144">
        <v>28406564.960000001</v>
      </c>
      <c r="H28" s="45"/>
      <c r="I28" s="21">
        <v>0</v>
      </c>
      <c r="J28" s="45"/>
      <c r="K28" s="194"/>
      <c r="L28" s="241">
        <v>0</v>
      </c>
      <c r="M28" s="373">
        <v>0</v>
      </c>
      <c r="N28" s="147"/>
      <c r="O28" s="358">
        <v>-7000000</v>
      </c>
      <c r="P28" s="45">
        <f t="shared" si="5"/>
        <v>-1.988020734893247E-2</v>
      </c>
    </row>
    <row r="29" spans="1:16" x14ac:dyDescent="0.2">
      <c r="A29" s="24">
        <v>7</v>
      </c>
      <c r="B29" s="24" t="s">
        <v>6</v>
      </c>
      <c r="C29" s="25">
        <v>0</v>
      </c>
      <c r="D29" s="452">
        <v>0</v>
      </c>
      <c r="E29" s="55">
        <v>747600</v>
      </c>
      <c r="F29" s="433"/>
      <c r="G29" s="55">
        <v>747600</v>
      </c>
      <c r="H29" s="433"/>
      <c r="I29" s="25">
        <v>0</v>
      </c>
      <c r="J29" s="433"/>
      <c r="K29" s="25">
        <v>0</v>
      </c>
      <c r="L29" s="452">
        <v>0</v>
      </c>
      <c r="M29" s="457">
        <v>0</v>
      </c>
      <c r="N29" s="367"/>
      <c r="O29" s="358">
        <v>0</v>
      </c>
      <c r="P29" s="288">
        <f t="shared" si="5"/>
        <v>0</v>
      </c>
    </row>
    <row r="30" spans="1:16" x14ac:dyDescent="0.2">
      <c r="A30" s="9"/>
      <c r="B30" s="2" t="s">
        <v>7</v>
      </c>
      <c r="C30" s="18">
        <f>SUM(C28:C29)</f>
        <v>0</v>
      </c>
      <c r="D30" s="453">
        <f>SUM(D28:D29)</f>
        <v>0</v>
      </c>
      <c r="E30" s="18">
        <f>SUM(E28:E29)</f>
        <v>22154164.960000001</v>
      </c>
      <c r="F30" s="41"/>
      <c r="G30" s="18">
        <f>SUM(G28:G29)</f>
        <v>29154164.960000001</v>
      </c>
      <c r="H30" s="41"/>
      <c r="I30" s="18">
        <f>SUM(I28:I29)</f>
        <v>0</v>
      </c>
      <c r="J30" s="41"/>
      <c r="K30" s="132">
        <f>SUM(K28:K29)</f>
        <v>0</v>
      </c>
      <c r="L30" s="132">
        <f>SUM(L28:L29)</f>
        <v>0</v>
      </c>
      <c r="M30" s="132">
        <f>SUM(M28:M29)</f>
        <v>0</v>
      </c>
      <c r="N30" s="132"/>
      <c r="O30" s="224">
        <f>+C30+D30+E30-G30+I30+K30-M30+L30</f>
        <v>-7000000</v>
      </c>
      <c r="P30" s="91">
        <f t="shared" si="5"/>
        <v>-1.8724070066860051E-2</v>
      </c>
    </row>
    <row r="31" spans="1:16" x14ac:dyDescent="0.2">
      <c r="A31" s="20">
        <v>8</v>
      </c>
      <c r="B31" s="20" t="s">
        <v>8</v>
      </c>
      <c r="C31" s="21"/>
      <c r="D31" s="373"/>
      <c r="E31" s="21"/>
      <c r="F31" s="45"/>
      <c r="G31" s="21"/>
      <c r="H31" s="45"/>
      <c r="I31" s="21"/>
      <c r="J31" s="45"/>
      <c r="K31" s="147">
        <v>0</v>
      </c>
      <c r="L31" s="373">
        <v>0</v>
      </c>
      <c r="M31" s="373">
        <v>0</v>
      </c>
      <c r="N31" s="147"/>
      <c r="O31" s="373"/>
      <c r="P31" s="45">
        <f t="shared" si="5"/>
        <v>0</v>
      </c>
    </row>
    <row r="32" spans="1:16" x14ac:dyDescent="0.2">
      <c r="A32" s="24">
        <v>9</v>
      </c>
      <c r="B32" s="24" t="s">
        <v>9</v>
      </c>
      <c r="C32" s="25"/>
      <c r="D32" s="452"/>
      <c r="E32" s="25"/>
      <c r="F32" s="433"/>
      <c r="G32" s="25"/>
      <c r="H32" s="433"/>
      <c r="I32" s="25"/>
      <c r="J32" s="433"/>
      <c r="K32" s="367"/>
      <c r="L32" s="457"/>
      <c r="M32" s="457"/>
      <c r="N32" s="34"/>
      <c r="O32" s="452"/>
      <c r="P32" s="433">
        <f t="shared" si="5"/>
        <v>0</v>
      </c>
    </row>
    <row r="33" spans="1:16" ht="13.5" thickBot="1" x14ac:dyDescent="0.25">
      <c r="A33" s="9"/>
      <c r="B33" s="2" t="s">
        <v>10</v>
      </c>
      <c r="C33" s="18">
        <f>SUM(C31:C32)</f>
        <v>0</v>
      </c>
      <c r="D33" s="453">
        <f>SUM(D31:D32)</f>
        <v>0</v>
      </c>
      <c r="E33" s="18">
        <f>SUM(E31:E32)</f>
        <v>0</v>
      </c>
      <c r="F33" s="41"/>
      <c r="G33" s="18">
        <f>SUM(G31:G32)</f>
        <v>0</v>
      </c>
      <c r="H33" s="41"/>
      <c r="I33" s="18">
        <f>SUM(I31:I32)</f>
        <v>0</v>
      </c>
      <c r="J33" s="41"/>
      <c r="K33" s="132">
        <f>SUM(K31:K32)</f>
        <v>0</v>
      </c>
      <c r="L33" s="132">
        <f>SUM(L31:L32)</f>
        <v>0</v>
      </c>
      <c r="M33" s="132">
        <f>SUM(M31:M32)</f>
        <v>0</v>
      </c>
      <c r="N33" s="132"/>
      <c r="O33" s="224">
        <f>+C33+D33+E33-G33+I33+K33-M33+N33+L33</f>
        <v>0</v>
      </c>
      <c r="P33" s="91">
        <f t="shared" si="5"/>
        <v>0</v>
      </c>
    </row>
    <row r="34" spans="1:16" ht="13.5" thickBot="1" x14ac:dyDescent="0.25">
      <c r="A34" s="5"/>
      <c r="B34" s="4" t="s">
        <v>11</v>
      </c>
      <c r="C34" s="19">
        <f>+C27+C30+C33</f>
        <v>0</v>
      </c>
      <c r="D34" s="454">
        <f>+D27+D30+D33</f>
        <v>0</v>
      </c>
      <c r="E34" s="19">
        <f>+E27+E30+E33</f>
        <v>58647424.780000001</v>
      </c>
      <c r="F34" s="42"/>
      <c r="G34" s="19">
        <f>+G27+G30+G33</f>
        <v>58647424.780000001</v>
      </c>
      <c r="H34" s="42"/>
      <c r="I34" s="19">
        <f>+I27+I30+I33</f>
        <v>0</v>
      </c>
      <c r="J34" s="42"/>
      <c r="K34" s="133">
        <f>+K27+K30+K33</f>
        <v>0</v>
      </c>
      <c r="L34" s="133">
        <f>+L27+L30+L33</f>
        <v>0</v>
      </c>
      <c r="M34" s="133">
        <f>+M27+M30+M33</f>
        <v>0</v>
      </c>
      <c r="N34" s="133"/>
      <c r="O34" s="454">
        <f>O27+O30+O33</f>
        <v>0</v>
      </c>
      <c r="P34" s="42">
        <f t="shared" si="5"/>
        <v>0</v>
      </c>
    </row>
    <row r="36" spans="1:16" x14ac:dyDescent="0.2">
      <c r="N36" s="43"/>
    </row>
  </sheetData>
  <mergeCells count="3">
    <mergeCell ref="K19:L19"/>
    <mergeCell ref="N2:O2"/>
    <mergeCell ref="E2:M2"/>
  </mergeCells>
  <pageMargins left="0.51181102362204722" right="0.51181102362204722" top="1.1417322834645669" bottom="0.74803149606299213" header="0.51181102362204722" footer="0.31496062992125984"/>
  <pageSetup paperSize="9" scale="74" orientation="landscape" r:id="rId1"/>
  <headerFooter>
    <oddHeader>&amp;L&amp;"Arial,Negreta"&amp;8&amp;K03+000Ajuntament de Barcelona&amp;C&amp;"Arial,Negreta"&amp;8&amp;K03+000Pressupost 2015
Execució Pressupostària a Gener
&amp;R&amp;"Arial,Negreta"&amp;8&amp;K03+000Direcció de Pressupostos i Política Fiscal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rgb="FF92D050"/>
  </sheetPr>
  <dimension ref="A1:P216"/>
  <sheetViews>
    <sheetView topLeftCell="A115" zoomScaleNormal="100" workbookViewId="0">
      <selection activeCell="H138" sqref="H138"/>
    </sheetView>
  </sheetViews>
  <sheetFormatPr defaultColWidth="11.42578125" defaultRowHeight="12.75" x14ac:dyDescent="0.2"/>
  <cols>
    <col min="1" max="1" width="0.7109375" customWidth="1"/>
    <col min="2" max="2" width="31.7109375" customWidth="1"/>
    <col min="3" max="3" width="13.5703125" customWidth="1"/>
    <col min="4" max="4" width="13.7109375" customWidth="1"/>
    <col min="5" max="5" width="11.28515625" customWidth="1"/>
    <col min="6" max="6" width="6.28515625" style="98" customWidth="1"/>
    <col min="7" max="7" width="12.28515625" customWidth="1"/>
    <col min="8" max="8" width="8.140625" style="98" customWidth="1"/>
    <col min="9" max="9" width="12.5703125" customWidth="1"/>
    <col min="10" max="10" width="8.42578125" style="98" customWidth="1"/>
    <col min="11" max="11" width="11.140625" customWidth="1"/>
    <col min="12" max="12" width="6.28515625" style="98" bestFit="1" customWidth="1"/>
    <col min="13" max="13" width="6.85546875" style="98" bestFit="1" customWidth="1"/>
    <col min="14" max="14" width="15.42578125" style="59" bestFit="1" customWidth="1"/>
    <col min="15" max="15" width="12.7109375" bestFit="1" customWidth="1"/>
    <col min="16" max="16" width="11.7109375" bestFit="1" customWidth="1"/>
  </cols>
  <sheetData>
    <row r="1" spans="1:16" ht="15.75" thickBot="1" x14ac:dyDescent="0.3">
      <c r="A1" s="7" t="s">
        <v>239</v>
      </c>
    </row>
    <row r="2" spans="1:16" x14ac:dyDescent="0.2">
      <c r="A2" s="8" t="s">
        <v>297</v>
      </c>
      <c r="C2" s="176" t="s">
        <v>512</v>
      </c>
      <c r="D2" s="650" t="s">
        <v>510</v>
      </c>
      <c r="E2" s="648"/>
      <c r="F2" s="648"/>
      <c r="G2" s="648"/>
      <c r="H2" s="648"/>
      <c r="I2" s="648"/>
      <c r="J2" s="649"/>
      <c r="K2" s="658" t="s">
        <v>511</v>
      </c>
      <c r="L2" s="659"/>
      <c r="M2" s="402"/>
    </row>
    <row r="3" spans="1:16" x14ac:dyDescent="0.2">
      <c r="C3" s="169">
        <v>1</v>
      </c>
      <c r="D3" s="159">
        <v>2</v>
      </c>
      <c r="E3" s="88">
        <v>3</v>
      </c>
      <c r="F3" s="89" t="s">
        <v>39</v>
      </c>
      <c r="G3" s="88">
        <v>4</v>
      </c>
      <c r="H3" s="89" t="s">
        <v>40</v>
      </c>
      <c r="I3" s="88">
        <v>5</v>
      </c>
      <c r="J3" s="160" t="s">
        <v>41</v>
      </c>
      <c r="K3" s="159" t="s">
        <v>42</v>
      </c>
      <c r="L3" s="16" t="s">
        <v>43</v>
      </c>
      <c r="M3" s="403" t="s">
        <v>368</v>
      </c>
    </row>
    <row r="4" spans="1:16" ht="25.5" x14ac:dyDescent="0.2">
      <c r="A4" s="1"/>
      <c r="B4" s="2" t="s">
        <v>156</v>
      </c>
      <c r="C4" s="170" t="s">
        <v>13</v>
      </c>
      <c r="D4" s="120" t="s">
        <v>356</v>
      </c>
      <c r="E4" s="90" t="s">
        <v>15</v>
      </c>
      <c r="F4" s="90" t="s">
        <v>18</v>
      </c>
      <c r="G4" s="90" t="s">
        <v>16</v>
      </c>
      <c r="H4" s="90" t="s">
        <v>18</v>
      </c>
      <c r="I4" s="90" t="s">
        <v>17</v>
      </c>
      <c r="J4" s="121" t="s">
        <v>18</v>
      </c>
      <c r="K4" s="90" t="s">
        <v>17</v>
      </c>
      <c r="L4" s="12" t="s">
        <v>18</v>
      </c>
      <c r="M4" s="151" t="s">
        <v>553</v>
      </c>
      <c r="N4" s="57" t="s">
        <v>169</v>
      </c>
    </row>
    <row r="5" spans="1:16" ht="15" customHeight="1" x14ac:dyDescent="0.2">
      <c r="A5" s="20"/>
      <c r="B5" s="20" t="s">
        <v>240</v>
      </c>
      <c r="C5" s="205">
        <v>14925213.640000001</v>
      </c>
      <c r="D5" s="210">
        <v>15488746.26</v>
      </c>
      <c r="E5" s="261">
        <v>1137502.55</v>
      </c>
      <c r="F5" s="323">
        <f t="shared" ref="F5:F12" si="0">+E5/D5</f>
        <v>7.3440582659528963E-2</v>
      </c>
      <c r="G5" s="261">
        <v>1137502.55</v>
      </c>
      <c r="H5" s="45">
        <f>+G5/D5</f>
        <v>7.3440582659528963E-2</v>
      </c>
      <c r="I5" s="261">
        <v>1137502.55</v>
      </c>
      <c r="J5" s="165">
        <f>I5/D5</f>
        <v>7.3440582659528963E-2</v>
      </c>
      <c r="K5" s="30">
        <v>1122130</v>
      </c>
      <c r="L5" s="49">
        <v>7.4999999999999997E-2</v>
      </c>
      <c r="M5" s="152">
        <f>+I5/K5-1</f>
        <v>1.3699437676561566E-2</v>
      </c>
      <c r="N5" s="58">
        <v>10</v>
      </c>
    </row>
    <row r="6" spans="1:16" ht="15" customHeight="1" x14ac:dyDescent="0.2">
      <c r="A6" s="22"/>
      <c r="B6" s="22" t="s">
        <v>241</v>
      </c>
      <c r="C6" s="205">
        <v>7647590.8899999997</v>
      </c>
      <c r="D6" s="210">
        <v>7714848.4000000004</v>
      </c>
      <c r="E6" s="261">
        <v>571562.41</v>
      </c>
      <c r="F6" s="295">
        <f t="shared" si="0"/>
        <v>7.4086019629368213E-2</v>
      </c>
      <c r="G6" s="261">
        <v>571562.41</v>
      </c>
      <c r="H6" s="295">
        <f t="shared" ref="H6:H61" si="1">+G6/D6</f>
        <v>7.4086019629368213E-2</v>
      </c>
      <c r="I6" s="261">
        <v>571562.41</v>
      </c>
      <c r="J6" s="192">
        <f t="shared" ref="J6:J61" si="2">I6/D6</f>
        <v>7.4086019629368213E-2</v>
      </c>
      <c r="K6" s="32">
        <v>545679</v>
      </c>
      <c r="L6" s="50">
        <v>7.1999999999999995E-2</v>
      </c>
      <c r="M6" s="153">
        <f>+I6/K6-1</f>
        <v>4.7433399489443584E-2</v>
      </c>
      <c r="N6" s="59">
        <v>11</v>
      </c>
    </row>
    <row r="7" spans="1:16" ht="15" customHeight="1" x14ac:dyDescent="0.2">
      <c r="A7" s="22"/>
      <c r="B7" s="22" t="s">
        <v>242</v>
      </c>
      <c r="C7" s="205">
        <v>211435284.93000001</v>
      </c>
      <c r="D7" s="210">
        <v>211792150.84999999</v>
      </c>
      <c r="E7" s="261">
        <v>14794237.140000001</v>
      </c>
      <c r="F7" s="295">
        <f t="shared" si="0"/>
        <v>6.9852622397125072E-2</v>
      </c>
      <c r="G7" s="261">
        <v>14794237.140000001</v>
      </c>
      <c r="H7" s="295">
        <f t="shared" si="1"/>
        <v>6.9852622397125072E-2</v>
      </c>
      <c r="I7" s="261">
        <v>14794237.140000001</v>
      </c>
      <c r="J7" s="192">
        <f t="shared" si="2"/>
        <v>6.9852622397125072E-2</v>
      </c>
      <c r="K7" s="32">
        <v>14667223</v>
      </c>
      <c r="L7" s="50">
        <v>6.9000000000000006E-2</v>
      </c>
      <c r="M7" s="153">
        <f>+I7/K7-1</f>
        <v>8.6597265208281371E-3</v>
      </c>
      <c r="N7" s="59">
        <v>12</v>
      </c>
    </row>
    <row r="8" spans="1:16" ht="15" customHeight="1" x14ac:dyDescent="0.2">
      <c r="A8" s="22"/>
      <c r="B8" s="22" t="s">
        <v>243</v>
      </c>
      <c r="C8" s="205">
        <v>9078946.1799999997</v>
      </c>
      <c r="D8" s="210">
        <v>9264416.9199999999</v>
      </c>
      <c r="E8" s="261">
        <v>662350.63</v>
      </c>
      <c r="F8" s="295">
        <f>+E8/D8</f>
        <v>7.1494043901469836E-2</v>
      </c>
      <c r="G8" s="261">
        <v>662350.63</v>
      </c>
      <c r="H8" s="295">
        <f>+G8/D8</f>
        <v>7.1494043901469836E-2</v>
      </c>
      <c r="I8" s="261">
        <v>662350.63</v>
      </c>
      <c r="J8" s="192">
        <f>I8/D8</f>
        <v>7.1494043901469836E-2</v>
      </c>
      <c r="K8" s="32">
        <v>661385</v>
      </c>
      <c r="L8" s="50">
        <v>7.1999999999999995E-2</v>
      </c>
      <c r="M8" s="262">
        <f>+I8/K8-1</f>
        <v>1.4600119446313009E-3</v>
      </c>
      <c r="N8" s="59">
        <v>13</v>
      </c>
    </row>
    <row r="9" spans="1:16" ht="15" customHeight="1" x14ac:dyDescent="0.2">
      <c r="A9" s="24"/>
      <c r="B9" s="24" t="s">
        <v>245</v>
      </c>
      <c r="C9" s="205">
        <v>33397253.91</v>
      </c>
      <c r="D9" s="210">
        <v>31032000.48</v>
      </c>
      <c r="E9" s="261">
        <v>1153044.1299999999</v>
      </c>
      <c r="F9" s="295">
        <f>+E9/D9</f>
        <v>3.7156616143491368E-2</v>
      </c>
      <c r="G9" s="261">
        <v>1153044.1299999999</v>
      </c>
      <c r="H9" s="295">
        <f>+G9/D9</f>
        <v>3.7156616143491368E-2</v>
      </c>
      <c r="I9" s="261">
        <v>1153044.1299999999</v>
      </c>
      <c r="J9" s="192">
        <f>I9/D9</f>
        <v>3.7156616143491368E-2</v>
      </c>
      <c r="K9" s="34">
        <v>855097</v>
      </c>
      <c r="L9" s="354">
        <v>3.2000000000000001E-2</v>
      </c>
      <c r="M9" s="178">
        <f t="shared" ref="M9:M54" si="3">+I9/K9-1</f>
        <v>0.34843664519931639</v>
      </c>
      <c r="N9" s="59">
        <v>15</v>
      </c>
      <c r="O9" s="393"/>
      <c r="P9" s="393"/>
    </row>
    <row r="10" spans="1:16" ht="15" customHeight="1" x14ac:dyDescent="0.2">
      <c r="A10" s="24"/>
      <c r="B10" s="24" t="s">
        <v>244</v>
      </c>
      <c r="C10" s="205">
        <v>79302175</v>
      </c>
      <c r="D10" s="210">
        <v>80494301.640000001</v>
      </c>
      <c r="E10" s="261">
        <v>6962768.25</v>
      </c>
      <c r="F10" s="433">
        <f>+E10/D10</f>
        <v>8.6500138620247302E-2</v>
      </c>
      <c r="G10" s="261">
        <v>6902768.04</v>
      </c>
      <c r="H10" s="433">
        <f>+G10/D10</f>
        <v>8.5754741632168036E-2</v>
      </c>
      <c r="I10" s="261">
        <v>6578605.3200000003</v>
      </c>
      <c r="J10" s="434">
        <f>I10/D10</f>
        <v>8.1727590474937384E-2</v>
      </c>
      <c r="K10" s="34">
        <v>6460205</v>
      </c>
      <c r="L10" s="354">
        <v>8.3000000000000004E-2</v>
      </c>
      <c r="M10" s="154">
        <f t="shared" si="3"/>
        <v>1.8327641305500464E-2</v>
      </c>
      <c r="N10" s="59">
        <v>16</v>
      </c>
    </row>
    <row r="11" spans="1:16" ht="15" customHeight="1" x14ac:dyDescent="0.2">
      <c r="A11" s="9"/>
      <c r="B11" s="2" t="s">
        <v>0</v>
      </c>
      <c r="C11" s="174">
        <f>SUM(C5:C10)</f>
        <v>355786464.55000001</v>
      </c>
      <c r="D11" s="164">
        <f>SUM(D5:D10)</f>
        <v>355786464.54999995</v>
      </c>
      <c r="E11" s="85">
        <f>SUM(E5:E10)</f>
        <v>25281465.109999999</v>
      </c>
      <c r="F11" s="91">
        <f t="shared" si="0"/>
        <v>7.1057973332335989E-2</v>
      </c>
      <c r="G11" s="85">
        <f>SUM(G5:G10)</f>
        <v>25221464.899999999</v>
      </c>
      <c r="H11" s="91">
        <f t="shared" si="1"/>
        <v>7.0889332262541807E-2</v>
      </c>
      <c r="I11" s="85">
        <f>SUM(I5:I10)</f>
        <v>24897302.18</v>
      </c>
      <c r="J11" s="183">
        <f t="shared" si="2"/>
        <v>6.9978216319977776E-2</v>
      </c>
      <c r="K11" s="85">
        <f>SUM(K5:K10)</f>
        <v>24311719</v>
      </c>
      <c r="L11" s="40">
        <v>7.0000000000000007E-2</v>
      </c>
      <c r="M11" s="155">
        <f t="shared" si="3"/>
        <v>2.4086457234883341E-2</v>
      </c>
      <c r="N11" s="59">
        <v>1</v>
      </c>
    </row>
    <row r="12" spans="1:16" ht="15" customHeight="1" x14ac:dyDescent="0.2">
      <c r="A12" s="20"/>
      <c r="B12" s="20" t="s">
        <v>249</v>
      </c>
      <c r="C12" s="260">
        <v>22568354.18</v>
      </c>
      <c r="D12" s="210">
        <v>22579231.539999999</v>
      </c>
      <c r="E12" s="261">
        <v>17028450.289999999</v>
      </c>
      <c r="F12" s="45">
        <f t="shared" si="0"/>
        <v>0.75416429739131852</v>
      </c>
      <c r="G12" s="261">
        <v>16904023.260000002</v>
      </c>
      <c r="H12" s="45">
        <f t="shared" si="1"/>
        <v>0.74865361250465312</v>
      </c>
      <c r="I12" s="69">
        <v>418568.67</v>
      </c>
      <c r="J12" s="165">
        <f t="shared" si="2"/>
        <v>1.8537773053015072E-2</v>
      </c>
      <c r="K12" s="147">
        <v>1257807</v>
      </c>
      <c r="L12" s="49">
        <v>5.8999999999999997E-2</v>
      </c>
      <c r="M12" s="152">
        <f t="shared" si="3"/>
        <v>-0.66722345320068976</v>
      </c>
      <c r="N12" s="58">
        <v>20</v>
      </c>
    </row>
    <row r="13" spans="1:16" ht="15" customHeight="1" x14ac:dyDescent="0.2">
      <c r="A13" s="259"/>
      <c r="B13" s="259" t="s">
        <v>250</v>
      </c>
      <c r="C13" s="260">
        <v>18088653.18</v>
      </c>
      <c r="D13" s="210">
        <v>17808304.829999998</v>
      </c>
      <c r="E13" s="261">
        <v>3455713.61</v>
      </c>
      <c r="F13" s="460">
        <f t="shared" ref="F13:F55" si="4">+E13/D13</f>
        <v>0.19405067708513613</v>
      </c>
      <c r="G13" s="261">
        <v>2810618.36</v>
      </c>
      <c r="H13" s="460">
        <f t="shared" si="1"/>
        <v>0.15782627189002357</v>
      </c>
      <c r="I13" s="69">
        <v>9526.33</v>
      </c>
      <c r="J13" s="475">
        <f t="shared" si="2"/>
        <v>5.3493749635012287E-4</v>
      </c>
      <c r="K13" s="147">
        <v>47791</v>
      </c>
      <c r="L13" s="374">
        <v>4.0000000000000001E-3</v>
      </c>
      <c r="M13" s="262">
        <f t="shared" si="3"/>
        <v>-0.8006668619614572</v>
      </c>
      <c r="N13" s="58">
        <v>21</v>
      </c>
    </row>
    <row r="14" spans="1:16" ht="15" customHeight="1" x14ac:dyDescent="0.2">
      <c r="A14" s="60"/>
      <c r="B14" s="60" t="s">
        <v>251</v>
      </c>
      <c r="C14" s="206">
        <v>1505977.68</v>
      </c>
      <c r="D14" s="211">
        <v>1523192</v>
      </c>
      <c r="E14" s="71">
        <v>499942.19</v>
      </c>
      <c r="F14" s="461">
        <f t="shared" si="4"/>
        <v>0.32822007337223408</v>
      </c>
      <c r="G14" s="71">
        <v>166140.99</v>
      </c>
      <c r="H14" s="461">
        <f t="shared" si="1"/>
        <v>0.10907422701799904</v>
      </c>
      <c r="I14" s="71">
        <v>9448.1200000000008</v>
      </c>
      <c r="J14" s="476">
        <f t="shared" si="2"/>
        <v>6.2028424519036344E-3</v>
      </c>
      <c r="K14" s="61">
        <v>18952</v>
      </c>
      <c r="L14" s="386">
        <v>1.2999999999999999E-2</v>
      </c>
      <c r="M14" s="177">
        <f t="shared" si="3"/>
        <v>-0.50147108484592651</v>
      </c>
      <c r="N14" s="58">
        <v>220</v>
      </c>
    </row>
    <row r="15" spans="1:16" ht="15" customHeight="1" x14ac:dyDescent="0.2">
      <c r="A15" s="66"/>
      <c r="B15" s="66" t="s">
        <v>253</v>
      </c>
      <c r="C15" s="207">
        <v>10857573.289999999</v>
      </c>
      <c r="D15" s="212">
        <v>10878132.51</v>
      </c>
      <c r="E15" s="83">
        <v>2879795.07</v>
      </c>
      <c r="F15" s="462">
        <f t="shared" si="4"/>
        <v>0.26473248669775579</v>
      </c>
      <c r="G15" s="83">
        <v>2780795.07</v>
      </c>
      <c r="H15" s="462">
        <f t="shared" si="1"/>
        <v>0.25563165988681269</v>
      </c>
      <c r="I15" s="83">
        <v>0</v>
      </c>
      <c r="J15" s="477" t="s">
        <v>135</v>
      </c>
      <c r="K15" s="67">
        <v>0</v>
      </c>
      <c r="L15" s="72">
        <v>0</v>
      </c>
      <c r="M15" s="178"/>
      <c r="N15" s="58">
        <v>22100</v>
      </c>
    </row>
    <row r="16" spans="1:16" ht="15" customHeight="1" x14ac:dyDescent="0.2">
      <c r="A16" s="68"/>
      <c r="B16" s="68" t="s">
        <v>255</v>
      </c>
      <c r="C16" s="260">
        <v>1153400</v>
      </c>
      <c r="D16" s="210">
        <v>1158400</v>
      </c>
      <c r="E16" s="261">
        <v>931500</v>
      </c>
      <c r="F16" s="141">
        <f>+E16/D16</f>
        <v>0.80412638121546964</v>
      </c>
      <c r="G16" s="261">
        <v>871500</v>
      </c>
      <c r="H16" s="141">
        <f>+G16/D16</f>
        <v>0.75233080110497241</v>
      </c>
      <c r="I16" s="69">
        <v>0</v>
      </c>
      <c r="J16" s="216" t="s">
        <v>135</v>
      </c>
      <c r="K16" s="69">
        <v>0</v>
      </c>
      <c r="L16" s="73">
        <v>0</v>
      </c>
      <c r="M16" s="153"/>
      <c r="N16" s="58">
        <v>22101</v>
      </c>
    </row>
    <row r="17" spans="1:14" ht="15" customHeight="1" x14ac:dyDescent="0.2">
      <c r="A17" s="68"/>
      <c r="B17" s="68" t="s">
        <v>254</v>
      </c>
      <c r="C17" s="260">
        <v>20646455.879999999</v>
      </c>
      <c r="D17" s="212">
        <v>20646455.879999999</v>
      </c>
      <c r="E17" s="261">
        <v>0</v>
      </c>
      <c r="F17" s="141" t="s">
        <v>135</v>
      </c>
      <c r="G17" s="261">
        <v>0</v>
      </c>
      <c r="H17" s="141" t="s">
        <v>135</v>
      </c>
      <c r="I17" s="69">
        <v>0</v>
      </c>
      <c r="J17" s="216" t="s">
        <v>135</v>
      </c>
      <c r="K17" s="69">
        <v>0</v>
      </c>
      <c r="L17" s="73">
        <v>0</v>
      </c>
      <c r="M17" s="178"/>
      <c r="N17" s="58">
        <v>22120</v>
      </c>
    </row>
    <row r="18" spans="1:14" ht="15" customHeight="1" x14ac:dyDescent="0.2">
      <c r="A18" s="68"/>
      <c r="B18" s="68" t="s">
        <v>256</v>
      </c>
      <c r="C18" s="260">
        <v>556922.39</v>
      </c>
      <c r="D18" s="212">
        <v>556922.39</v>
      </c>
      <c r="E18" s="261">
        <v>0</v>
      </c>
      <c r="F18" s="141" t="s">
        <v>135</v>
      </c>
      <c r="G18" s="261">
        <v>0</v>
      </c>
      <c r="H18" s="141" t="s">
        <v>135</v>
      </c>
      <c r="I18" s="69">
        <v>0</v>
      </c>
      <c r="J18" s="216" t="s">
        <v>135</v>
      </c>
      <c r="K18" s="69">
        <v>0</v>
      </c>
      <c r="L18" s="73">
        <v>0</v>
      </c>
      <c r="M18" s="153"/>
      <c r="N18" s="58">
        <v>22121</v>
      </c>
    </row>
    <row r="19" spans="1:14" ht="15" customHeight="1" x14ac:dyDescent="0.2">
      <c r="A19" s="68"/>
      <c r="B19" s="68" t="s">
        <v>252</v>
      </c>
      <c r="C19" s="260">
        <v>1124173.03</v>
      </c>
      <c r="D19" s="212">
        <v>1124173.03</v>
      </c>
      <c r="E19" s="261">
        <v>445720.69</v>
      </c>
      <c r="F19" s="141">
        <f t="shared" si="4"/>
        <v>0.39648762077133265</v>
      </c>
      <c r="G19" s="261">
        <v>445720.69</v>
      </c>
      <c r="H19" s="141">
        <f t="shared" si="1"/>
        <v>0.39648762077133265</v>
      </c>
      <c r="I19" s="69">
        <v>0</v>
      </c>
      <c r="J19" s="216" t="s">
        <v>135</v>
      </c>
      <c r="K19" s="69">
        <v>0</v>
      </c>
      <c r="L19" s="73">
        <v>0</v>
      </c>
      <c r="M19" s="178"/>
      <c r="N19" s="59" t="s">
        <v>257</v>
      </c>
    </row>
    <row r="20" spans="1:14" ht="15" customHeight="1" x14ac:dyDescent="0.2">
      <c r="A20" s="70"/>
      <c r="B20" s="70" t="s">
        <v>258</v>
      </c>
      <c r="C20" s="206">
        <v>5399766.2199999997</v>
      </c>
      <c r="D20" s="211">
        <v>5706728.1899999995</v>
      </c>
      <c r="E20" s="261">
        <v>2558569.2999999998</v>
      </c>
      <c r="F20" s="461">
        <f t="shared" si="4"/>
        <v>0.44834259050280789</v>
      </c>
      <c r="G20" s="261">
        <v>2389630.17</v>
      </c>
      <c r="H20" s="461">
        <f t="shared" si="1"/>
        <v>0.41873909014755445</v>
      </c>
      <c r="I20" s="71">
        <v>0</v>
      </c>
      <c r="J20" s="478" t="s">
        <v>135</v>
      </c>
      <c r="K20" s="71">
        <v>2288</v>
      </c>
      <c r="L20" s="74">
        <v>0</v>
      </c>
      <c r="M20" s="604">
        <f t="shared" si="3"/>
        <v>-1</v>
      </c>
      <c r="N20" s="59" t="s">
        <v>259</v>
      </c>
    </row>
    <row r="21" spans="1:14" ht="15" customHeight="1" x14ac:dyDescent="0.2">
      <c r="A21" s="66"/>
      <c r="B21" s="66" t="s">
        <v>260</v>
      </c>
      <c r="C21" s="207">
        <v>3726957.63</v>
      </c>
      <c r="D21" s="210">
        <v>3726957.63</v>
      </c>
      <c r="E21" s="67">
        <v>1922096.35</v>
      </c>
      <c r="F21" s="463">
        <f t="shared" si="4"/>
        <v>0.5157279853487361</v>
      </c>
      <c r="G21" s="67">
        <v>1922096.35</v>
      </c>
      <c r="H21" s="463">
        <f t="shared" si="1"/>
        <v>0.5157279853487361</v>
      </c>
      <c r="I21" s="67">
        <v>182904.62</v>
      </c>
      <c r="J21" s="479">
        <f t="shared" si="2"/>
        <v>4.9076120030911108E-2</v>
      </c>
      <c r="K21" s="67">
        <v>12032</v>
      </c>
      <c r="L21" s="72">
        <v>3.0000000000000001E-3</v>
      </c>
      <c r="M21" s="605">
        <f t="shared" si="3"/>
        <v>14.201514295212766</v>
      </c>
      <c r="N21" s="58">
        <v>22200</v>
      </c>
    </row>
    <row r="22" spans="1:14" ht="15" customHeight="1" x14ac:dyDescent="0.2">
      <c r="A22" s="70"/>
      <c r="B22" s="70" t="s">
        <v>261</v>
      </c>
      <c r="C22" s="206">
        <v>823380.51</v>
      </c>
      <c r="D22" s="211">
        <v>831364.26</v>
      </c>
      <c r="E22" s="71">
        <v>181300</v>
      </c>
      <c r="F22" s="464">
        <f t="shared" si="4"/>
        <v>0.21807528747988275</v>
      </c>
      <c r="G22" s="261">
        <v>89800</v>
      </c>
      <c r="H22" s="464">
        <f t="shared" si="1"/>
        <v>0.1080152278857886</v>
      </c>
      <c r="I22" s="61">
        <v>0</v>
      </c>
      <c r="J22" s="478" t="s">
        <v>135</v>
      </c>
      <c r="K22" s="71">
        <v>0</v>
      </c>
      <c r="L22" s="74">
        <v>0</v>
      </c>
      <c r="M22" s="604"/>
      <c r="N22" s="59" t="s">
        <v>262</v>
      </c>
    </row>
    <row r="23" spans="1:14" ht="15" customHeight="1" x14ac:dyDescent="0.2">
      <c r="A23" s="66"/>
      <c r="B23" s="66" t="s">
        <v>263</v>
      </c>
      <c r="C23" s="207">
        <v>622330.44999999995</v>
      </c>
      <c r="D23" s="213">
        <v>622330.44999999995</v>
      </c>
      <c r="E23" s="83">
        <v>91447.4</v>
      </c>
      <c r="F23" s="463">
        <f t="shared" si="4"/>
        <v>0.14694347673330141</v>
      </c>
      <c r="G23" s="67">
        <v>0</v>
      </c>
      <c r="H23" s="463" t="s">
        <v>135</v>
      </c>
      <c r="I23" s="67">
        <v>0</v>
      </c>
      <c r="J23" s="477" t="s">
        <v>135</v>
      </c>
      <c r="K23" s="67">
        <v>3471</v>
      </c>
      <c r="L23" s="72">
        <v>6.0000000000000001E-3</v>
      </c>
      <c r="M23" s="605">
        <f t="shared" ref="M23" si="5">+I23/K23-1</f>
        <v>-1</v>
      </c>
      <c r="N23" s="58">
        <v>223</v>
      </c>
    </row>
    <row r="24" spans="1:14" ht="15" customHeight="1" x14ac:dyDescent="0.2">
      <c r="A24" s="68"/>
      <c r="B24" s="68" t="s">
        <v>264</v>
      </c>
      <c r="C24" s="207">
        <v>2466584.48</v>
      </c>
      <c r="D24" s="437">
        <v>2466584.48</v>
      </c>
      <c r="E24" s="261">
        <v>2239309.04</v>
      </c>
      <c r="F24" s="141">
        <f t="shared" si="4"/>
        <v>0.90785823804421251</v>
      </c>
      <c r="G24" s="83">
        <v>2239308.96</v>
      </c>
      <c r="H24" s="141">
        <f t="shared" si="1"/>
        <v>0.90785820561069941</v>
      </c>
      <c r="I24" s="83">
        <v>0</v>
      </c>
      <c r="J24" s="216" t="s">
        <v>135</v>
      </c>
      <c r="K24" s="69">
        <v>0</v>
      </c>
      <c r="L24" s="73">
        <v>0</v>
      </c>
      <c r="M24" s="609"/>
      <c r="N24" s="58">
        <v>224</v>
      </c>
    </row>
    <row r="25" spans="1:14" ht="15" customHeight="1" x14ac:dyDescent="0.2">
      <c r="A25" s="70"/>
      <c r="B25" s="70" t="s">
        <v>265</v>
      </c>
      <c r="C25" s="206">
        <v>844814.86</v>
      </c>
      <c r="D25" s="180">
        <v>864959.52</v>
      </c>
      <c r="E25" s="71">
        <v>20144.66</v>
      </c>
      <c r="F25" s="461">
        <f t="shared" si="4"/>
        <v>2.3289714182231323E-2</v>
      </c>
      <c r="G25" s="61">
        <v>20144.66</v>
      </c>
      <c r="H25" s="461">
        <f t="shared" si="1"/>
        <v>2.3289714182231323E-2</v>
      </c>
      <c r="I25" s="61">
        <v>20144.66</v>
      </c>
      <c r="J25" s="478">
        <f t="shared" si="2"/>
        <v>2.3289714182231323E-2</v>
      </c>
      <c r="K25" s="71">
        <v>0</v>
      </c>
      <c r="L25" s="74">
        <v>0</v>
      </c>
      <c r="M25" s="608"/>
      <c r="N25" s="58">
        <v>225</v>
      </c>
    </row>
    <row r="26" spans="1:14" ht="15" customHeight="1" x14ac:dyDescent="0.2">
      <c r="A26" s="66"/>
      <c r="B26" s="66" t="s">
        <v>267</v>
      </c>
      <c r="C26" s="207">
        <v>1326385.93</v>
      </c>
      <c r="D26" s="210">
        <v>1338321.52</v>
      </c>
      <c r="E26" s="83">
        <v>124006.66</v>
      </c>
      <c r="F26" s="463">
        <f t="shared" si="4"/>
        <v>9.2658347151138992E-2</v>
      </c>
      <c r="G26" s="83">
        <v>803</v>
      </c>
      <c r="H26" s="463">
        <f t="shared" si="1"/>
        <v>6.0000529618622585E-4</v>
      </c>
      <c r="I26" s="83">
        <v>803</v>
      </c>
      <c r="J26" s="477">
        <f t="shared" si="2"/>
        <v>6.0000529618622585E-4</v>
      </c>
      <c r="K26" s="67">
        <v>2209</v>
      </c>
      <c r="L26" s="72">
        <v>2E-3</v>
      </c>
      <c r="M26" s="606">
        <f t="shared" si="3"/>
        <v>-0.63648709823449523</v>
      </c>
      <c r="N26" s="58">
        <v>22601</v>
      </c>
    </row>
    <row r="27" spans="1:14" ht="15" customHeight="1" x14ac:dyDescent="0.2">
      <c r="A27" s="68"/>
      <c r="B27" s="68" t="s">
        <v>266</v>
      </c>
      <c r="C27" s="207">
        <v>13040585.99</v>
      </c>
      <c r="D27" s="210">
        <v>12333785.98</v>
      </c>
      <c r="E27" s="83">
        <v>4254501.2</v>
      </c>
      <c r="F27" s="141">
        <f t="shared" si="4"/>
        <v>0.34494689683272745</v>
      </c>
      <c r="G27" s="83">
        <v>2691290.49</v>
      </c>
      <c r="H27" s="141">
        <f t="shared" si="1"/>
        <v>0.21820473408279459</v>
      </c>
      <c r="I27" s="83">
        <v>13202.92</v>
      </c>
      <c r="J27" s="216">
        <f t="shared" si="2"/>
        <v>1.0704677397037174E-3</v>
      </c>
      <c r="K27" s="69">
        <v>1396</v>
      </c>
      <c r="L27" s="73">
        <v>0</v>
      </c>
      <c r="M27" s="153">
        <f t="shared" si="3"/>
        <v>8.4576790830945558</v>
      </c>
      <c r="N27" s="58">
        <v>22602</v>
      </c>
    </row>
    <row r="28" spans="1:14" ht="15" customHeight="1" x14ac:dyDescent="0.2">
      <c r="A28" s="68"/>
      <c r="B28" s="68" t="s">
        <v>268</v>
      </c>
      <c r="C28" s="207">
        <v>643129.06000000006</v>
      </c>
      <c r="D28" s="437">
        <v>665485.87</v>
      </c>
      <c r="E28" s="261">
        <v>147398.12</v>
      </c>
      <c r="F28" s="141">
        <f t="shared" si="4"/>
        <v>0.22148948106140856</v>
      </c>
      <c r="G28" s="83">
        <v>20642.599999999999</v>
      </c>
      <c r="H28" s="141">
        <f t="shared" si="1"/>
        <v>3.1018840415048932E-2</v>
      </c>
      <c r="I28" s="83">
        <v>0</v>
      </c>
      <c r="J28" s="216">
        <f t="shared" si="2"/>
        <v>0</v>
      </c>
      <c r="K28" s="69">
        <v>5355</v>
      </c>
      <c r="L28" s="73">
        <v>8.9999999999999993E-3</v>
      </c>
      <c r="M28" s="199">
        <f t="shared" si="3"/>
        <v>-1</v>
      </c>
      <c r="N28" s="58">
        <v>22606</v>
      </c>
    </row>
    <row r="29" spans="1:14" ht="15" customHeight="1" x14ac:dyDescent="0.2">
      <c r="A29" s="68"/>
      <c r="B29" s="68" t="s">
        <v>269</v>
      </c>
      <c r="C29" s="207">
        <v>17342647.079999998</v>
      </c>
      <c r="D29" s="437">
        <v>18550682.640000001</v>
      </c>
      <c r="E29" s="261">
        <v>4322071.91</v>
      </c>
      <c r="F29" s="141">
        <f t="shared" si="4"/>
        <v>0.23298721636693365</v>
      </c>
      <c r="G29" s="83">
        <v>1944503.55</v>
      </c>
      <c r="H29" s="141">
        <f t="shared" si="1"/>
        <v>0.10482113180067858</v>
      </c>
      <c r="I29" s="83">
        <v>43369.41</v>
      </c>
      <c r="J29" s="216">
        <f t="shared" si="2"/>
        <v>2.3378875506437969E-3</v>
      </c>
      <c r="K29" s="69">
        <v>89647</v>
      </c>
      <c r="L29" s="73">
        <v>5.0000000000000001E-3</v>
      </c>
      <c r="M29" s="197">
        <f t="shared" si="3"/>
        <v>-0.51622017468515402</v>
      </c>
      <c r="N29" s="58">
        <v>22610</v>
      </c>
    </row>
    <row r="30" spans="1:14" ht="15" customHeight="1" x14ac:dyDescent="0.2">
      <c r="A30" s="70"/>
      <c r="B30" s="70" t="s">
        <v>270</v>
      </c>
      <c r="C30" s="206">
        <v>16396084.01</v>
      </c>
      <c r="D30" s="180">
        <v>15871988.02</v>
      </c>
      <c r="E30" s="71">
        <v>801334.58</v>
      </c>
      <c r="F30" s="461">
        <f t="shared" si="4"/>
        <v>5.0487347835082352E-2</v>
      </c>
      <c r="G30" s="61">
        <v>243803.88999999998</v>
      </c>
      <c r="H30" s="461">
        <f t="shared" si="1"/>
        <v>1.536063974423287E-2</v>
      </c>
      <c r="I30" s="61">
        <v>37385.51</v>
      </c>
      <c r="J30" s="478">
        <f t="shared" si="2"/>
        <v>2.3554396558825024E-3</v>
      </c>
      <c r="K30" s="71">
        <v>3595</v>
      </c>
      <c r="L30" s="74">
        <v>0</v>
      </c>
      <c r="M30" s="198">
        <f t="shared" si="3"/>
        <v>9.3993073713490958</v>
      </c>
      <c r="N30" s="59" t="s">
        <v>271</v>
      </c>
    </row>
    <row r="31" spans="1:14" ht="15" customHeight="1" x14ac:dyDescent="0.2">
      <c r="A31" s="66"/>
      <c r="B31" s="66" t="s">
        <v>272</v>
      </c>
      <c r="C31" s="205">
        <v>11908878.640000001</v>
      </c>
      <c r="D31" s="210">
        <v>11908878.640000001</v>
      </c>
      <c r="E31" s="69">
        <v>3791084.68</v>
      </c>
      <c r="F31" s="462">
        <f t="shared" si="4"/>
        <v>0.31834102895854183</v>
      </c>
      <c r="G31" s="69">
        <v>3791084.68</v>
      </c>
      <c r="H31" s="141">
        <f t="shared" si="1"/>
        <v>0.31834102895854183</v>
      </c>
      <c r="I31" s="69">
        <v>0</v>
      </c>
      <c r="J31" s="477" t="s">
        <v>135</v>
      </c>
      <c r="K31" s="67">
        <v>0</v>
      </c>
      <c r="L31" s="72" t="s">
        <v>135</v>
      </c>
      <c r="M31" s="607" t="s">
        <v>135</v>
      </c>
      <c r="N31" s="58">
        <v>22700</v>
      </c>
    </row>
    <row r="32" spans="1:14" ht="15" customHeight="1" x14ac:dyDescent="0.2">
      <c r="A32" s="68"/>
      <c r="B32" s="68" t="s">
        <v>273</v>
      </c>
      <c r="C32" s="205">
        <v>2874262.5</v>
      </c>
      <c r="D32" s="210">
        <v>3134149.37</v>
      </c>
      <c r="E32" s="69">
        <v>765800.69</v>
      </c>
      <c r="F32" s="141">
        <f t="shared" si="4"/>
        <v>0.24434084007936097</v>
      </c>
      <c r="G32" s="69">
        <v>418719.62</v>
      </c>
      <c r="H32" s="141">
        <f t="shared" si="1"/>
        <v>0.13359912708946606</v>
      </c>
      <c r="I32" s="69">
        <v>0</v>
      </c>
      <c r="J32" s="216" t="s">
        <v>135</v>
      </c>
      <c r="K32" s="69">
        <v>240</v>
      </c>
      <c r="L32" s="73">
        <v>0</v>
      </c>
      <c r="M32" s="153">
        <f t="shared" si="3"/>
        <v>-1</v>
      </c>
      <c r="N32" s="58">
        <v>22703</v>
      </c>
    </row>
    <row r="33" spans="1:14" ht="15" customHeight="1" x14ac:dyDescent="0.2">
      <c r="A33" s="68"/>
      <c r="B33" s="68" t="s">
        <v>274</v>
      </c>
      <c r="C33" s="205">
        <v>2461274.11</v>
      </c>
      <c r="D33" s="210">
        <v>2467647.54</v>
      </c>
      <c r="E33" s="69">
        <v>956197.06</v>
      </c>
      <c r="F33" s="141">
        <f t="shared" si="4"/>
        <v>0.38749336949473751</v>
      </c>
      <c r="G33" s="69">
        <v>544941.13</v>
      </c>
      <c r="H33" s="141">
        <f t="shared" si="1"/>
        <v>0.22083426468595269</v>
      </c>
      <c r="I33" s="69">
        <v>0</v>
      </c>
      <c r="J33" s="216" t="s">
        <v>135</v>
      </c>
      <c r="K33" s="69">
        <v>3029</v>
      </c>
      <c r="L33" s="73">
        <v>1E-3</v>
      </c>
      <c r="M33" s="177">
        <f t="shared" si="3"/>
        <v>-1</v>
      </c>
      <c r="N33" s="58" t="s">
        <v>275</v>
      </c>
    </row>
    <row r="34" spans="1:14" ht="15" customHeight="1" x14ac:dyDescent="0.2">
      <c r="A34" s="68"/>
      <c r="B34" s="68" t="s">
        <v>276</v>
      </c>
      <c r="C34" s="205">
        <v>3735000</v>
      </c>
      <c r="D34" s="210">
        <v>3735000</v>
      </c>
      <c r="E34" s="69">
        <v>853948.12</v>
      </c>
      <c r="F34" s="141">
        <f t="shared" si="4"/>
        <v>0.22863403480589023</v>
      </c>
      <c r="G34" s="69">
        <v>853948.12</v>
      </c>
      <c r="H34" s="141">
        <f t="shared" si="1"/>
        <v>0.22863403480589023</v>
      </c>
      <c r="I34" s="69">
        <v>3948.12</v>
      </c>
      <c r="J34" s="216">
        <f t="shared" si="2"/>
        <v>1.0570602409638555E-3</v>
      </c>
      <c r="K34" s="69">
        <v>0</v>
      </c>
      <c r="L34" s="73" t="s">
        <v>135</v>
      </c>
      <c r="M34" s="197" t="s">
        <v>135</v>
      </c>
      <c r="N34" s="59">
        <v>22708</v>
      </c>
    </row>
    <row r="35" spans="1:14" ht="15" customHeight="1" x14ac:dyDescent="0.2">
      <c r="A35" s="68"/>
      <c r="B35" s="68" t="s">
        <v>277</v>
      </c>
      <c r="C35" s="205">
        <v>15900827.689999999</v>
      </c>
      <c r="D35" s="210">
        <v>15954360.08</v>
      </c>
      <c r="E35" s="69">
        <v>5800801.2699999996</v>
      </c>
      <c r="F35" s="141">
        <f t="shared" si="4"/>
        <v>0.36358721007379946</v>
      </c>
      <c r="G35" s="69">
        <v>5800801.2699999996</v>
      </c>
      <c r="H35" s="141">
        <f t="shared" si="1"/>
        <v>0.36358721007379946</v>
      </c>
      <c r="I35" s="69">
        <v>0</v>
      </c>
      <c r="J35" s="216" t="s">
        <v>135</v>
      </c>
      <c r="K35" s="69">
        <v>0</v>
      </c>
      <c r="L35" s="73" t="s">
        <v>135</v>
      </c>
      <c r="M35" s="197" t="s">
        <v>135</v>
      </c>
      <c r="N35" s="58">
        <v>22712</v>
      </c>
    </row>
    <row r="36" spans="1:14" ht="15" customHeight="1" x14ac:dyDescent="0.2">
      <c r="A36" s="68"/>
      <c r="B36" s="68" t="s">
        <v>278</v>
      </c>
      <c r="C36" s="205">
        <v>11600000</v>
      </c>
      <c r="D36" s="210">
        <v>11600000</v>
      </c>
      <c r="E36" s="69">
        <v>7547751.54</v>
      </c>
      <c r="F36" s="141" t="s">
        <v>135</v>
      </c>
      <c r="G36" s="69">
        <v>7547751.54</v>
      </c>
      <c r="H36" s="141" t="s">
        <v>135</v>
      </c>
      <c r="I36" s="69">
        <v>0</v>
      </c>
      <c r="J36" s="216" t="s">
        <v>135</v>
      </c>
      <c r="K36" s="69">
        <v>0</v>
      </c>
      <c r="L36" s="73" t="s">
        <v>135</v>
      </c>
      <c r="M36" s="197" t="s">
        <v>135</v>
      </c>
      <c r="N36" s="58">
        <v>22714</v>
      </c>
    </row>
    <row r="37" spans="1:14" ht="15" customHeight="1" x14ac:dyDescent="0.2">
      <c r="A37" s="68"/>
      <c r="B37" s="68" t="s">
        <v>279</v>
      </c>
      <c r="C37" s="205"/>
      <c r="D37" s="210"/>
      <c r="E37" s="69"/>
      <c r="F37" s="141" t="s">
        <v>135</v>
      </c>
      <c r="G37" s="69"/>
      <c r="H37" s="141" t="s">
        <v>135</v>
      </c>
      <c r="I37" s="69"/>
      <c r="J37" s="216" t="s">
        <v>135</v>
      </c>
      <c r="K37" s="69">
        <v>0</v>
      </c>
      <c r="L37" s="73" t="s">
        <v>135</v>
      </c>
      <c r="M37" s="197" t="s">
        <v>135</v>
      </c>
      <c r="N37" s="58">
        <v>22715</v>
      </c>
    </row>
    <row r="38" spans="1:14" ht="15" customHeight="1" x14ac:dyDescent="0.2">
      <c r="A38" s="68"/>
      <c r="B38" s="68" t="s">
        <v>280</v>
      </c>
      <c r="C38" s="205">
        <v>13595150.939999999</v>
      </c>
      <c r="D38" s="210">
        <v>13595150.939999999</v>
      </c>
      <c r="E38" s="69">
        <v>0</v>
      </c>
      <c r="F38" s="141" t="s">
        <v>135</v>
      </c>
      <c r="G38" s="69">
        <v>0</v>
      </c>
      <c r="H38" s="141" t="s">
        <v>135</v>
      </c>
      <c r="I38" s="69">
        <v>0</v>
      </c>
      <c r="J38" s="216" t="s">
        <v>135</v>
      </c>
      <c r="K38" s="69">
        <v>0</v>
      </c>
      <c r="L38" s="73" t="s">
        <v>135</v>
      </c>
      <c r="M38" s="197" t="s">
        <v>135</v>
      </c>
      <c r="N38" s="58">
        <v>22716</v>
      </c>
    </row>
    <row r="39" spans="1:14" ht="15" customHeight="1" x14ac:dyDescent="0.2">
      <c r="A39" s="68"/>
      <c r="B39" s="68" t="s">
        <v>488</v>
      </c>
      <c r="C39" s="205">
        <v>209726</v>
      </c>
      <c r="D39" s="210">
        <v>259495.19</v>
      </c>
      <c r="E39" s="69">
        <v>259495.19</v>
      </c>
      <c r="F39" s="141">
        <f>+E39/D39</f>
        <v>1</v>
      </c>
      <c r="G39" s="69">
        <v>33753.72</v>
      </c>
      <c r="H39" s="141">
        <f t="shared" si="1"/>
        <v>0.13007454974406268</v>
      </c>
      <c r="I39" s="69">
        <v>0</v>
      </c>
      <c r="J39" s="216" t="s">
        <v>135</v>
      </c>
      <c r="K39" s="69">
        <v>0</v>
      </c>
      <c r="L39" s="73" t="s">
        <v>135</v>
      </c>
      <c r="M39" s="197" t="s">
        <v>135</v>
      </c>
      <c r="N39" s="58" t="s">
        <v>489</v>
      </c>
    </row>
    <row r="40" spans="1:14" ht="15" customHeight="1" x14ac:dyDescent="0.2">
      <c r="A40" s="68"/>
      <c r="B40" s="68" t="s">
        <v>490</v>
      </c>
      <c r="C40" s="205">
        <v>120000.38</v>
      </c>
      <c r="D40" s="210">
        <v>120000.38</v>
      </c>
      <c r="E40" s="69">
        <v>0</v>
      </c>
      <c r="F40" s="141" t="s">
        <v>135</v>
      </c>
      <c r="G40" s="69">
        <v>0</v>
      </c>
      <c r="H40" s="141" t="s">
        <v>135</v>
      </c>
      <c r="I40" s="69">
        <v>0</v>
      </c>
      <c r="J40" s="216" t="s">
        <v>135</v>
      </c>
      <c r="K40" s="69">
        <v>0</v>
      </c>
      <c r="L40" s="73" t="s">
        <v>135</v>
      </c>
      <c r="M40" s="197" t="s">
        <v>135</v>
      </c>
      <c r="N40" s="58" t="s">
        <v>491</v>
      </c>
    </row>
    <row r="41" spans="1:14" ht="15" customHeight="1" x14ac:dyDescent="0.2">
      <c r="A41" s="68"/>
      <c r="B41" s="68" t="s">
        <v>286</v>
      </c>
      <c r="C41" s="205">
        <v>63029764.009999998</v>
      </c>
      <c r="D41" s="210">
        <v>62371872.780000001</v>
      </c>
      <c r="E41" s="69">
        <v>37624471.420000002</v>
      </c>
      <c r="F41" s="141">
        <f t="shared" ref="F41:F51" si="6">+E41/D41</f>
        <v>0.60322818191960026</v>
      </c>
      <c r="G41" s="69">
        <v>36273103.490000002</v>
      </c>
      <c r="H41" s="141">
        <f t="shared" ref="H41:H51" si="7">+G41/D41</f>
        <v>0.58156187834769069</v>
      </c>
      <c r="I41" s="69">
        <v>25307.07</v>
      </c>
      <c r="J41" s="216">
        <f t="shared" ref="J41" si="8">I41/D41</f>
        <v>4.0574491148059449E-4</v>
      </c>
      <c r="K41" s="69">
        <v>117802</v>
      </c>
      <c r="L41" s="73">
        <v>2E-3</v>
      </c>
      <c r="M41" s="197">
        <f t="shared" si="3"/>
        <v>-0.78517283237975588</v>
      </c>
      <c r="N41" s="58">
        <v>22719</v>
      </c>
    </row>
    <row r="42" spans="1:14" ht="15" customHeight="1" x14ac:dyDescent="0.2">
      <c r="A42" s="68"/>
      <c r="B42" s="68" t="s">
        <v>281</v>
      </c>
      <c r="C42" s="205">
        <v>1550000</v>
      </c>
      <c r="D42" s="210">
        <v>1550000</v>
      </c>
      <c r="E42" s="69">
        <v>0</v>
      </c>
      <c r="F42" s="141" t="s">
        <v>135</v>
      </c>
      <c r="G42" s="69">
        <v>0</v>
      </c>
      <c r="H42" s="141" t="s">
        <v>135</v>
      </c>
      <c r="I42" s="69">
        <v>0</v>
      </c>
      <c r="J42" s="216" t="s">
        <v>135</v>
      </c>
      <c r="K42" s="69">
        <v>0</v>
      </c>
      <c r="L42" s="73" t="s">
        <v>135</v>
      </c>
      <c r="M42" s="197" t="s">
        <v>135</v>
      </c>
      <c r="N42" s="58">
        <v>22720</v>
      </c>
    </row>
    <row r="43" spans="1:14" ht="15" customHeight="1" x14ac:dyDescent="0.2">
      <c r="A43" s="68"/>
      <c r="B43" s="68" t="s">
        <v>283</v>
      </c>
      <c r="C43" s="205">
        <v>2113545.42</v>
      </c>
      <c r="D43" s="210">
        <v>2113545.42</v>
      </c>
      <c r="E43" s="69">
        <v>219318.08</v>
      </c>
      <c r="F43" s="141">
        <f t="shared" si="6"/>
        <v>0.10376785751781951</v>
      </c>
      <c r="G43" s="69">
        <v>0</v>
      </c>
      <c r="H43" s="141" t="s">
        <v>135</v>
      </c>
      <c r="I43" s="69">
        <v>0</v>
      </c>
      <c r="J43" s="216" t="s">
        <v>135</v>
      </c>
      <c r="K43" s="69">
        <v>0</v>
      </c>
      <c r="L43" s="73" t="s">
        <v>135</v>
      </c>
      <c r="M43" s="197" t="s">
        <v>135</v>
      </c>
      <c r="N43" s="58">
        <v>22721</v>
      </c>
    </row>
    <row r="44" spans="1:14" ht="15" customHeight="1" x14ac:dyDescent="0.2">
      <c r="A44" s="68"/>
      <c r="B44" s="68" t="s">
        <v>282</v>
      </c>
      <c r="C44" s="205">
        <v>2650000</v>
      </c>
      <c r="D44" s="210">
        <v>2650000</v>
      </c>
      <c r="E44" s="69">
        <v>0</v>
      </c>
      <c r="F44" s="141" t="s">
        <v>135</v>
      </c>
      <c r="G44" s="69">
        <v>0</v>
      </c>
      <c r="H44" s="141" t="s">
        <v>135</v>
      </c>
      <c r="I44" s="69">
        <v>0</v>
      </c>
      <c r="J44" s="216" t="s">
        <v>135</v>
      </c>
      <c r="K44" s="69">
        <v>0</v>
      </c>
      <c r="L44" s="73" t="s">
        <v>135</v>
      </c>
      <c r="M44" s="197" t="s">
        <v>135</v>
      </c>
      <c r="N44" s="58">
        <v>22723</v>
      </c>
    </row>
    <row r="45" spans="1:14" ht="15" customHeight="1" x14ac:dyDescent="0.2">
      <c r="A45" s="68"/>
      <c r="B45" s="68" t="s">
        <v>285</v>
      </c>
      <c r="C45" s="205">
        <v>9307905.2899999991</v>
      </c>
      <c r="D45" s="210">
        <v>9307905.2899999991</v>
      </c>
      <c r="E45" s="69">
        <v>9849405.1400000006</v>
      </c>
      <c r="F45" s="141">
        <f t="shared" si="6"/>
        <v>1.0581763386206524</v>
      </c>
      <c r="G45" s="69">
        <v>4145283.27</v>
      </c>
      <c r="H45" s="141">
        <f t="shared" si="7"/>
        <v>0.44535082178516672</v>
      </c>
      <c r="I45" s="69">
        <v>0</v>
      </c>
      <c r="J45" s="216" t="s">
        <v>135</v>
      </c>
      <c r="K45" s="69">
        <v>0</v>
      </c>
      <c r="L45" s="73" t="s">
        <v>135</v>
      </c>
      <c r="M45" s="197" t="s">
        <v>135</v>
      </c>
      <c r="N45" s="58">
        <v>22724</v>
      </c>
    </row>
    <row r="46" spans="1:14" ht="15" customHeight="1" x14ac:dyDescent="0.2">
      <c r="A46" s="68"/>
      <c r="B46" s="68" t="s">
        <v>493</v>
      </c>
      <c r="C46" s="205">
        <v>30380.83</v>
      </c>
      <c r="D46" s="210">
        <v>18380.830000000002</v>
      </c>
      <c r="E46" s="69">
        <v>0</v>
      </c>
      <c r="F46" s="141" t="s">
        <v>135</v>
      </c>
      <c r="G46" s="69">
        <v>0</v>
      </c>
      <c r="H46" s="141" t="s">
        <v>135</v>
      </c>
      <c r="I46" s="69">
        <v>0</v>
      </c>
      <c r="J46" s="216" t="s">
        <v>135</v>
      </c>
      <c r="K46" s="69">
        <v>0</v>
      </c>
      <c r="L46" s="73" t="s">
        <v>135</v>
      </c>
      <c r="M46" s="197" t="s">
        <v>135</v>
      </c>
      <c r="N46" s="58" t="s">
        <v>492</v>
      </c>
    </row>
    <row r="47" spans="1:14" ht="15" customHeight="1" x14ac:dyDescent="0.2">
      <c r="A47" s="68"/>
      <c r="B47" s="68" t="s">
        <v>494</v>
      </c>
      <c r="C47" s="205">
        <v>19644.86</v>
      </c>
      <c r="D47" s="210">
        <v>19644.86</v>
      </c>
      <c r="E47" s="69">
        <v>19644.86</v>
      </c>
      <c r="F47" s="141">
        <f t="shared" si="6"/>
        <v>1</v>
      </c>
      <c r="G47" s="69">
        <v>19644.86</v>
      </c>
      <c r="H47" s="141">
        <f t="shared" si="7"/>
        <v>1</v>
      </c>
      <c r="I47" s="69">
        <v>0</v>
      </c>
      <c r="J47" s="216" t="s">
        <v>135</v>
      </c>
      <c r="K47" s="69">
        <v>0</v>
      </c>
      <c r="L47" s="73" t="s">
        <v>135</v>
      </c>
      <c r="M47" s="197" t="s">
        <v>135</v>
      </c>
      <c r="N47" s="58" t="s">
        <v>495</v>
      </c>
    </row>
    <row r="48" spans="1:14" ht="15" customHeight="1" x14ac:dyDescent="0.2">
      <c r="A48" s="68"/>
      <c r="B48" s="68" t="s">
        <v>287</v>
      </c>
      <c r="C48" s="205">
        <v>261303122.13999999</v>
      </c>
      <c r="D48" s="210">
        <v>261303122.13999999</v>
      </c>
      <c r="E48" s="69">
        <v>0</v>
      </c>
      <c r="F48" s="141" t="s">
        <v>135</v>
      </c>
      <c r="G48" s="69">
        <v>0</v>
      </c>
      <c r="H48" s="141" t="s">
        <v>135</v>
      </c>
      <c r="I48" s="69">
        <v>0</v>
      </c>
      <c r="J48" s="216" t="s">
        <v>135</v>
      </c>
      <c r="K48" s="69">
        <v>0</v>
      </c>
      <c r="L48" s="73" t="s">
        <v>135</v>
      </c>
      <c r="M48" s="197" t="s">
        <v>135</v>
      </c>
      <c r="N48" s="58">
        <v>22727</v>
      </c>
    </row>
    <row r="49" spans="1:15" ht="15" customHeight="1" x14ac:dyDescent="0.2">
      <c r="A49" s="68"/>
      <c r="B49" s="68" t="s">
        <v>284</v>
      </c>
      <c r="C49" s="205">
        <v>1874554.49</v>
      </c>
      <c r="D49" s="210">
        <v>1874554.49</v>
      </c>
      <c r="E49" s="69">
        <v>0</v>
      </c>
      <c r="F49" s="141" t="s">
        <v>135</v>
      </c>
      <c r="G49" s="69">
        <v>0</v>
      </c>
      <c r="H49" s="141" t="s">
        <v>135</v>
      </c>
      <c r="I49" s="69">
        <v>0</v>
      </c>
      <c r="J49" s="216" t="s">
        <v>135</v>
      </c>
      <c r="K49" s="69">
        <v>0</v>
      </c>
      <c r="L49" s="73" t="s">
        <v>135</v>
      </c>
      <c r="M49" s="197" t="s">
        <v>135</v>
      </c>
      <c r="N49" s="58">
        <v>22729</v>
      </c>
    </row>
    <row r="50" spans="1:15" ht="15" customHeight="1" x14ac:dyDescent="0.2">
      <c r="A50" s="68"/>
      <c r="B50" s="68" t="s">
        <v>289</v>
      </c>
      <c r="C50" s="205">
        <v>50122831.859999999</v>
      </c>
      <c r="D50" s="210">
        <v>50146371.390000001</v>
      </c>
      <c r="E50" s="69">
        <v>37770584.490000002</v>
      </c>
      <c r="F50" s="141">
        <f t="shared" si="6"/>
        <v>0.75320673147513262</v>
      </c>
      <c r="G50" s="69">
        <v>37482085.810000002</v>
      </c>
      <c r="H50" s="141">
        <f t="shared" si="7"/>
        <v>0.7474535997528734</v>
      </c>
      <c r="I50" s="69">
        <v>0</v>
      </c>
      <c r="J50" s="216" t="s">
        <v>135</v>
      </c>
      <c r="K50" s="69">
        <v>0</v>
      </c>
      <c r="L50" s="73" t="s">
        <v>135</v>
      </c>
      <c r="M50" s="197" t="s">
        <v>135</v>
      </c>
      <c r="N50" s="58">
        <v>22731</v>
      </c>
    </row>
    <row r="51" spans="1:15" ht="15" customHeight="1" x14ac:dyDescent="0.2">
      <c r="A51" s="68"/>
      <c r="B51" s="68" t="s">
        <v>288</v>
      </c>
      <c r="C51" s="205">
        <v>4217686.7</v>
      </c>
      <c r="D51" s="210">
        <v>4217686.7</v>
      </c>
      <c r="E51" s="69">
        <v>19708.91</v>
      </c>
      <c r="F51" s="141">
        <f t="shared" si="6"/>
        <v>4.6729193991578363E-3</v>
      </c>
      <c r="G51" s="69">
        <v>19708.91</v>
      </c>
      <c r="H51" s="141">
        <f t="shared" si="7"/>
        <v>4.6729193991578363E-3</v>
      </c>
      <c r="I51" s="69">
        <v>0</v>
      </c>
      <c r="J51" s="216" t="s">
        <v>135</v>
      </c>
      <c r="K51" s="69">
        <v>0</v>
      </c>
      <c r="L51" s="73" t="s">
        <v>135</v>
      </c>
      <c r="M51" s="197" t="s">
        <v>135</v>
      </c>
      <c r="N51" s="58">
        <v>22732</v>
      </c>
    </row>
    <row r="52" spans="1:15" ht="15" customHeight="1" x14ac:dyDescent="0.2">
      <c r="A52" s="70"/>
      <c r="B52" s="70" t="s">
        <v>290</v>
      </c>
      <c r="C52" s="206">
        <v>2249365.83</v>
      </c>
      <c r="D52" s="211">
        <v>2291863.19</v>
      </c>
      <c r="E52" s="71">
        <v>949094.24</v>
      </c>
      <c r="F52" s="461">
        <f t="shared" si="4"/>
        <v>0.41411470114845728</v>
      </c>
      <c r="G52" s="71">
        <v>883594.23999999999</v>
      </c>
      <c r="H52" s="461">
        <f t="shared" si="1"/>
        <v>0.38553533380847221</v>
      </c>
      <c r="I52" s="71">
        <v>0</v>
      </c>
      <c r="J52" s="478" t="s">
        <v>135</v>
      </c>
      <c r="K52" s="71">
        <v>4500</v>
      </c>
      <c r="L52" s="73">
        <v>1E-3</v>
      </c>
      <c r="M52" s="197">
        <f t="shared" si="3"/>
        <v>-1</v>
      </c>
      <c r="N52" s="59" t="s">
        <v>291</v>
      </c>
    </row>
    <row r="53" spans="1:15" ht="15" customHeight="1" x14ac:dyDescent="0.2">
      <c r="A53" s="66"/>
      <c r="B53" s="66" t="s">
        <v>292</v>
      </c>
      <c r="C53" s="205">
        <v>2085705.4</v>
      </c>
      <c r="D53" s="210">
        <v>1991846.29</v>
      </c>
      <c r="E53" s="69">
        <v>1273948.73</v>
      </c>
      <c r="F53" s="462">
        <f t="shared" si="4"/>
        <v>0.63958184745269675</v>
      </c>
      <c r="G53" s="83">
        <v>7342.87</v>
      </c>
      <c r="H53" s="462">
        <f t="shared" si="1"/>
        <v>3.6864641799242447E-3</v>
      </c>
      <c r="I53" s="69">
        <v>7342.87</v>
      </c>
      <c r="J53" s="479">
        <f t="shared" si="2"/>
        <v>3.6864641799242447E-3</v>
      </c>
      <c r="K53" s="83">
        <v>21351</v>
      </c>
      <c r="L53" s="72">
        <v>1.0999999999999999E-2</v>
      </c>
      <c r="M53" s="196">
        <f t="shared" si="3"/>
        <v>-0.65608777106458716</v>
      </c>
      <c r="N53" s="58">
        <v>230</v>
      </c>
      <c r="O53" s="43">
        <f>+DCap!C6-DDetallCorrent!C57</f>
        <v>0</v>
      </c>
    </row>
    <row r="54" spans="1:15" ht="15" customHeight="1" x14ac:dyDescent="0.2">
      <c r="A54" s="68"/>
      <c r="B54" s="68" t="s">
        <v>293</v>
      </c>
      <c r="C54" s="205">
        <v>1009644.36</v>
      </c>
      <c r="D54" s="210">
        <v>979644.36</v>
      </c>
      <c r="E54" s="69">
        <v>219347.21</v>
      </c>
      <c r="F54" s="141">
        <f t="shared" si="4"/>
        <v>0.22390493831863637</v>
      </c>
      <c r="G54" s="69">
        <v>110008.96000000001</v>
      </c>
      <c r="H54" s="141">
        <f t="shared" si="1"/>
        <v>0.11229479236730358</v>
      </c>
      <c r="I54" s="69">
        <v>2886.21</v>
      </c>
      <c r="J54" s="216">
        <f t="shared" si="2"/>
        <v>2.9461814081183503E-3</v>
      </c>
      <c r="K54" s="69">
        <v>10418</v>
      </c>
      <c r="L54" s="73">
        <v>8.0000000000000002E-3</v>
      </c>
      <c r="M54" s="197">
        <f t="shared" si="3"/>
        <v>-0.72295930120944518</v>
      </c>
      <c r="N54" s="58">
        <v>231</v>
      </c>
    </row>
    <row r="55" spans="1:15" ht="15" customHeight="1" x14ac:dyDescent="0.2">
      <c r="A55" s="70"/>
      <c r="B55" s="70" t="s">
        <v>294</v>
      </c>
      <c r="C55" s="206">
        <v>365380.73</v>
      </c>
      <c r="D55" s="211">
        <v>313307.40999999997</v>
      </c>
      <c r="E55" s="71">
        <v>219000</v>
      </c>
      <c r="F55" s="461">
        <f t="shared" si="4"/>
        <v>0.69899400081217367</v>
      </c>
      <c r="G55" s="71">
        <v>0</v>
      </c>
      <c r="H55" s="461" t="s">
        <v>135</v>
      </c>
      <c r="I55" s="71">
        <v>0</v>
      </c>
      <c r="J55" s="478" t="s">
        <v>135</v>
      </c>
      <c r="K55" s="71">
        <v>0</v>
      </c>
      <c r="L55" s="73" t="s">
        <v>135</v>
      </c>
      <c r="M55" s="198"/>
      <c r="N55" s="58">
        <v>233</v>
      </c>
    </row>
    <row r="56" spans="1:15" ht="15" customHeight="1" x14ac:dyDescent="0.2">
      <c r="A56" s="54"/>
      <c r="B56" s="54" t="s">
        <v>295</v>
      </c>
      <c r="C56" s="190"/>
      <c r="D56" s="185"/>
      <c r="E56" s="55"/>
      <c r="F56" s="79"/>
      <c r="G56" s="55"/>
      <c r="H56" s="79"/>
      <c r="I56" s="55"/>
      <c r="J56" s="186" t="s">
        <v>154</v>
      </c>
      <c r="K56" s="34">
        <v>0</v>
      </c>
      <c r="L56" s="487" t="s">
        <v>135</v>
      </c>
      <c r="M56" s="198"/>
      <c r="N56" s="58">
        <v>27</v>
      </c>
    </row>
    <row r="57" spans="1:15" ht="15" customHeight="1" x14ac:dyDescent="0.2">
      <c r="A57" s="9"/>
      <c r="B57" s="84" t="s">
        <v>246</v>
      </c>
      <c r="C57" s="174">
        <f>SUM(C12:C56)</f>
        <v>603468828.03000009</v>
      </c>
      <c r="D57" s="164">
        <f>SUM(D12:D56)</f>
        <v>603178428.03000009</v>
      </c>
      <c r="E57" s="85">
        <f>SUM(E12:E56)</f>
        <v>150042902.69999999</v>
      </c>
      <c r="F57" s="91">
        <f>+E57/D57</f>
        <v>0.24875376128759258</v>
      </c>
      <c r="G57" s="85">
        <f>SUM(G12:G56)</f>
        <v>133472594.52999999</v>
      </c>
      <c r="H57" s="91">
        <f t="shared" si="1"/>
        <v>0.22128210878815033</v>
      </c>
      <c r="I57" s="85">
        <f>SUM(I12:I56)</f>
        <v>774837.51</v>
      </c>
      <c r="J57" s="183">
        <f t="shared" si="2"/>
        <v>1.2845908838793256E-3</v>
      </c>
      <c r="K57" s="85">
        <f>SUM(K12:K56)</f>
        <v>1601883</v>
      </c>
      <c r="L57" s="40">
        <v>3.0000000000000001E-3</v>
      </c>
      <c r="M57" s="155">
        <f>+I57/K57-1</f>
        <v>-0.51629581561200166</v>
      </c>
    </row>
    <row r="58" spans="1:15" ht="15" customHeight="1" x14ac:dyDescent="0.2">
      <c r="A58" s="68"/>
      <c r="B58" s="82" t="s">
        <v>352</v>
      </c>
      <c r="C58" s="205">
        <v>33425949.170000002</v>
      </c>
      <c r="D58" s="210">
        <v>33425949.170000002</v>
      </c>
      <c r="E58" s="69">
        <v>3956874.84</v>
      </c>
      <c r="F58" s="462">
        <f>+E58/D58</f>
        <v>0.11837733671752602</v>
      </c>
      <c r="G58" s="83">
        <v>3956874.84</v>
      </c>
      <c r="H58" s="462">
        <f t="shared" si="1"/>
        <v>0.11837733671752602</v>
      </c>
      <c r="I58" s="83">
        <v>3956874.84</v>
      </c>
      <c r="J58" s="479">
        <f t="shared" si="2"/>
        <v>0.11837733671752602</v>
      </c>
      <c r="K58" s="83">
        <v>7758690</v>
      </c>
      <c r="L58" s="108">
        <v>0.19500000000000001</v>
      </c>
      <c r="M58" s="199">
        <f>+I58/K58-1</f>
        <v>-0.49000735433430131</v>
      </c>
      <c r="N58" s="58" t="s">
        <v>354</v>
      </c>
    </row>
    <row r="59" spans="1:15" ht="15" customHeight="1" x14ac:dyDescent="0.2">
      <c r="A59" s="68"/>
      <c r="B59" s="68" t="s">
        <v>353</v>
      </c>
      <c r="C59" s="205">
        <v>1031803.03</v>
      </c>
      <c r="D59" s="210">
        <v>1031803.03</v>
      </c>
      <c r="E59" s="69">
        <v>45416.38</v>
      </c>
      <c r="F59" s="141">
        <f>+E59/D59</f>
        <v>4.4016521254061441E-2</v>
      </c>
      <c r="G59" s="69">
        <v>45416.38</v>
      </c>
      <c r="H59" s="141">
        <f t="shared" si="1"/>
        <v>4.4016521254061441E-2</v>
      </c>
      <c r="I59" s="69">
        <v>45416.38</v>
      </c>
      <c r="J59" s="216">
        <f t="shared" si="2"/>
        <v>4.4016521254061441E-2</v>
      </c>
      <c r="K59" s="69">
        <v>0</v>
      </c>
      <c r="L59" s="73">
        <v>0</v>
      </c>
      <c r="M59" s="199"/>
      <c r="N59" s="58" t="s">
        <v>355</v>
      </c>
    </row>
    <row r="60" spans="1:15" ht="15" customHeight="1" x14ac:dyDescent="0.2">
      <c r="A60" s="68"/>
      <c r="B60" s="80" t="s">
        <v>189</v>
      </c>
      <c r="C60" s="438">
        <v>250000</v>
      </c>
      <c r="D60" s="213">
        <v>250000</v>
      </c>
      <c r="E60" s="81">
        <v>0</v>
      </c>
      <c r="F60" s="269">
        <f>+E60/D60</f>
        <v>0</v>
      </c>
      <c r="G60" s="81">
        <v>0</v>
      </c>
      <c r="H60" s="269">
        <f t="shared" si="1"/>
        <v>0</v>
      </c>
      <c r="I60" s="69">
        <v>0</v>
      </c>
      <c r="J60" s="217">
        <f t="shared" si="2"/>
        <v>0</v>
      </c>
      <c r="K60" s="81">
        <v>0</v>
      </c>
      <c r="L60" s="375">
        <v>0</v>
      </c>
      <c r="M60" s="199"/>
      <c r="N60" s="58">
        <v>352</v>
      </c>
    </row>
    <row r="61" spans="1:15" ht="15" customHeight="1" thickBot="1" x14ac:dyDescent="0.25">
      <c r="A61" s="9"/>
      <c r="B61" s="2" t="s">
        <v>2</v>
      </c>
      <c r="C61" s="179">
        <f>SUM(C58:C60)</f>
        <v>34707752.200000003</v>
      </c>
      <c r="D61" s="182">
        <f t="shared" ref="D61:I61" si="9">SUM(D58:D60)</f>
        <v>34707752.200000003</v>
      </c>
      <c r="E61" s="188">
        <f t="shared" si="9"/>
        <v>4002291.2199999997</v>
      </c>
      <c r="F61" s="421">
        <f>+E61/D61</f>
        <v>0.11531404272270906</v>
      </c>
      <c r="G61" s="188">
        <f t="shared" si="9"/>
        <v>4002291.2199999997</v>
      </c>
      <c r="H61" s="421">
        <f t="shared" si="1"/>
        <v>0.11531404272270906</v>
      </c>
      <c r="I61" s="188">
        <f t="shared" si="9"/>
        <v>4002291.2199999997</v>
      </c>
      <c r="J61" s="189">
        <f t="shared" si="2"/>
        <v>0.11531404272270906</v>
      </c>
      <c r="K61" s="208">
        <f>SUM(K58:K60)</f>
        <v>7758690</v>
      </c>
      <c r="L61" s="200">
        <v>0.187</v>
      </c>
      <c r="M61" s="201">
        <f>+I61/K61-1</f>
        <v>-0.48415373987103494</v>
      </c>
      <c r="N61" s="59">
        <v>3</v>
      </c>
    </row>
    <row r="63" spans="1:15" ht="15.75" thickBot="1" x14ac:dyDescent="0.3">
      <c r="A63" s="7" t="s">
        <v>239</v>
      </c>
    </row>
    <row r="64" spans="1:15" x14ac:dyDescent="0.2">
      <c r="A64" s="8" t="s">
        <v>296</v>
      </c>
      <c r="C64" s="176" t="s">
        <v>512</v>
      </c>
      <c r="D64" s="650" t="s">
        <v>510</v>
      </c>
      <c r="E64" s="648"/>
      <c r="F64" s="648"/>
      <c r="G64" s="648"/>
      <c r="H64" s="648"/>
      <c r="I64" s="648"/>
      <c r="J64" s="649"/>
      <c r="K64" s="658" t="s">
        <v>511</v>
      </c>
      <c r="L64" s="659"/>
      <c r="M64" s="402"/>
    </row>
    <row r="65" spans="1:16" x14ac:dyDescent="0.2">
      <c r="C65" s="169">
        <v>1</v>
      </c>
      <c r="D65" s="159">
        <v>2</v>
      </c>
      <c r="E65" s="88">
        <v>3</v>
      </c>
      <c r="F65" s="89" t="s">
        <v>39</v>
      </c>
      <c r="G65" s="88">
        <v>4</v>
      </c>
      <c r="H65" s="89" t="s">
        <v>40</v>
      </c>
      <c r="I65" s="88">
        <v>5</v>
      </c>
      <c r="J65" s="160" t="s">
        <v>41</v>
      </c>
      <c r="K65" s="159" t="s">
        <v>42</v>
      </c>
      <c r="L65" s="16" t="s">
        <v>43</v>
      </c>
      <c r="M65" s="403" t="s">
        <v>368</v>
      </c>
    </row>
    <row r="66" spans="1:16" ht="25.5" x14ac:dyDescent="0.2">
      <c r="A66" s="1"/>
      <c r="B66" s="2" t="s">
        <v>156</v>
      </c>
      <c r="C66" s="170" t="s">
        <v>13</v>
      </c>
      <c r="D66" s="120" t="s">
        <v>356</v>
      </c>
      <c r="E66" s="90" t="s">
        <v>15</v>
      </c>
      <c r="F66" s="90" t="s">
        <v>18</v>
      </c>
      <c r="G66" s="90" t="s">
        <v>16</v>
      </c>
      <c r="H66" s="90" t="s">
        <v>18</v>
      </c>
      <c r="I66" s="90" t="s">
        <v>17</v>
      </c>
      <c r="J66" s="121" t="s">
        <v>18</v>
      </c>
      <c r="K66" s="90" t="s">
        <v>17</v>
      </c>
      <c r="L66" s="12" t="s">
        <v>18</v>
      </c>
      <c r="M66" s="151" t="s">
        <v>553</v>
      </c>
      <c r="N66" s="57" t="s">
        <v>169</v>
      </c>
      <c r="P66" s="394"/>
    </row>
    <row r="67" spans="1:16" ht="15" customHeight="1" x14ac:dyDescent="0.2">
      <c r="A67" s="20"/>
      <c r="B67" s="20" t="s">
        <v>299</v>
      </c>
      <c r="C67" s="207">
        <v>24587855.940000001</v>
      </c>
      <c r="D67" s="210">
        <v>24587855.940000001</v>
      </c>
      <c r="E67" s="83">
        <v>24587855.940000001</v>
      </c>
      <c r="F67" s="465">
        <f t="shared" ref="F67:F84" si="10">+E67/D67</f>
        <v>1</v>
      </c>
      <c r="G67" s="83">
        <v>24587855.940000001</v>
      </c>
      <c r="H67" s="465">
        <f>+G67/D67</f>
        <v>1</v>
      </c>
      <c r="I67" s="83">
        <v>1000000</v>
      </c>
      <c r="J67" s="382">
        <f>I67/D67</f>
        <v>4.0670483934842835E-2</v>
      </c>
      <c r="K67" s="147">
        <v>1200000</v>
      </c>
      <c r="L67" s="49">
        <v>0.05</v>
      </c>
      <c r="M67" s="153">
        <f t="shared" ref="M67:M129" si="11">+I67/K67-1</f>
        <v>-0.16666666666666663</v>
      </c>
      <c r="N67" s="59" t="s">
        <v>370</v>
      </c>
      <c r="P67" s="393"/>
    </row>
    <row r="68" spans="1:16" ht="15" customHeight="1" x14ac:dyDescent="0.2">
      <c r="A68" s="22"/>
      <c r="B68" s="22" t="s">
        <v>300</v>
      </c>
      <c r="C68" s="207">
        <v>858841</v>
      </c>
      <c r="D68" s="210">
        <v>858841</v>
      </c>
      <c r="E68" s="83">
        <v>858841</v>
      </c>
      <c r="F68" s="466">
        <f t="shared" si="10"/>
        <v>1</v>
      </c>
      <c r="G68" s="83">
        <v>858841</v>
      </c>
      <c r="H68" s="466">
        <f t="shared" ref="H68:H129" si="12">+G68/D68</f>
        <v>1</v>
      </c>
      <c r="I68" s="83">
        <v>0</v>
      </c>
      <c r="J68" s="480" t="s">
        <v>135</v>
      </c>
      <c r="K68" s="144">
        <v>0</v>
      </c>
      <c r="L68" s="50" t="s">
        <v>135</v>
      </c>
      <c r="M68" s="153"/>
      <c r="N68" s="59" t="s">
        <v>371</v>
      </c>
      <c r="P68" s="393"/>
    </row>
    <row r="69" spans="1:16" ht="15" customHeight="1" x14ac:dyDescent="0.2">
      <c r="A69" s="22"/>
      <c r="B69" s="22" t="s">
        <v>301</v>
      </c>
      <c r="C69" s="207">
        <v>43098862</v>
      </c>
      <c r="D69" s="210">
        <v>43098862</v>
      </c>
      <c r="E69" s="83">
        <v>35698862</v>
      </c>
      <c r="F69" s="466">
        <f t="shared" si="10"/>
        <v>0.82830173102946425</v>
      </c>
      <c r="G69" s="83">
        <v>35698862</v>
      </c>
      <c r="H69" s="466">
        <f t="shared" si="12"/>
        <v>0.82830173102946425</v>
      </c>
      <c r="I69" s="83">
        <v>9300000</v>
      </c>
      <c r="J69" s="480">
        <f t="shared" ref="J69:J129" si="13">I69/D69</f>
        <v>0.21578295965215971</v>
      </c>
      <c r="K69" s="144">
        <v>9600000</v>
      </c>
      <c r="L69" s="50">
        <v>0.23100000000000001</v>
      </c>
      <c r="M69" s="153">
        <f t="shared" si="11"/>
        <v>-3.125E-2</v>
      </c>
      <c r="N69" s="59" t="s">
        <v>372</v>
      </c>
      <c r="P69" s="393"/>
    </row>
    <row r="70" spans="1:16" ht="15" customHeight="1" x14ac:dyDescent="0.2">
      <c r="A70" s="22"/>
      <c r="B70" s="22" t="s">
        <v>302</v>
      </c>
      <c r="C70" s="207">
        <v>32481396.359999999</v>
      </c>
      <c r="D70" s="210">
        <v>41107828.100000001</v>
      </c>
      <c r="E70" s="83">
        <v>19775443.270000003</v>
      </c>
      <c r="F70" s="466">
        <f t="shared" si="10"/>
        <v>0.48106271199475026</v>
      </c>
      <c r="G70" s="83">
        <v>19775443.270000003</v>
      </c>
      <c r="H70" s="466">
        <f t="shared" si="12"/>
        <v>0.48106271199475026</v>
      </c>
      <c r="I70" s="83">
        <v>2000000</v>
      </c>
      <c r="J70" s="480">
        <f t="shared" si="13"/>
        <v>4.8652533895362865E-2</v>
      </c>
      <c r="K70" s="144">
        <v>3439026</v>
      </c>
      <c r="L70" s="50">
        <v>0.114</v>
      </c>
      <c r="M70" s="153">
        <f t="shared" si="11"/>
        <v>-0.41843998853163655</v>
      </c>
      <c r="N70" s="59" t="s">
        <v>373</v>
      </c>
      <c r="P70" s="394"/>
    </row>
    <row r="71" spans="1:16" ht="15" customHeight="1" x14ac:dyDescent="0.2">
      <c r="A71" s="22"/>
      <c r="B71" s="22" t="s">
        <v>303</v>
      </c>
      <c r="C71" s="207">
        <v>97214659.010000005</v>
      </c>
      <c r="D71" s="210">
        <v>97214659.010000005</v>
      </c>
      <c r="E71" s="83">
        <v>78914659.010000005</v>
      </c>
      <c r="F71" s="466">
        <f t="shared" si="10"/>
        <v>0.81175678455944011</v>
      </c>
      <c r="G71" s="83">
        <v>78914659.010000005</v>
      </c>
      <c r="H71" s="466">
        <f t="shared" si="12"/>
        <v>0.81175678455944011</v>
      </c>
      <c r="I71" s="83">
        <v>6200000</v>
      </c>
      <c r="J71" s="480">
        <f t="shared" si="13"/>
        <v>6.3776389930681507E-2</v>
      </c>
      <c r="K71" s="144">
        <v>8150000</v>
      </c>
      <c r="L71" s="50">
        <v>0.09</v>
      </c>
      <c r="M71" s="153">
        <f t="shared" si="11"/>
        <v>-0.23926380368098155</v>
      </c>
      <c r="N71" s="59" t="s">
        <v>471</v>
      </c>
      <c r="P71" s="393"/>
    </row>
    <row r="72" spans="1:16" ht="15" customHeight="1" x14ac:dyDescent="0.2">
      <c r="A72" s="22"/>
      <c r="B72" s="22" t="s">
        <v>304</v>
      </c>
      <c r="C72" s="207">
        <v>2215090.08</v>
      </c>
      <c r="D72" s="210">
        <v>2215090.08</v>
      </c>
      <c r="E72" s="83">
        <v>0</v>
      </c>
      <c r="F72" s="466" t="s">
        <v>135</v>
      </c>
      <c r="G72" s="83">
        <v>0</v>
      </c>
      <c r="H72" s="466" t="s">
        <v>135</v>
      </c>
      <c r="I72" s="83">
        <v>0</v>
      </c>
      <c r="J72" s="480" t="s">
        <v>135</v>
      </c>
      <c r="K72" s="144">
        <v>974000</v>
      </c>
      <c r="L72" s="50">
        <v>0.443</v>
      </c>
      <c r="M72" s="153">
        <f t="shared" si="11"/>
        <v>-1</v>
      </c>
      <c r="N72" s="59" t="s">
        <v>374</v>
      </c>
      <c r="P72" s="393"/>
    </row>
    <row r="73" spans="1:16" ht="15" customHeight="1" x14ac:dyDescent="0.2">
      <c r="A73" s="22"/>
      <c r="B73" s="22" t="s">
        <v>305</v>
      </c>
      <c r="C73" s="207">
        <v>7713147</v>
      </c>
      <c r="D73" s="210">
        <v>7713147</v>
      </c>
      <c r="E73" s="83">
        <v>15000</v>
      </c>
      <c r="F73" s="466">
        <f t="shared" si="10"/>
        <v>1.9447315084232155E-3</v>
      </c>
      <c r="G73" s="83">
        <v>15000</v>
      </c>
      <c r="H73" s="466">
        <f t="shared" si="12"/>
        <v>1.9447315084232155E-3</v>
      </c>
      <c r="I73" s="83">
        <v>0</v>
      </c>
      <c r="J73" s="480" t="s">
        <v>135</v>
      </c>
      <c r="K73" s="144">
        <v>0</v>
      </c>
      <c r="L73" s="50" t="s">
        <v>135</v>
      </c>
      <c r="M73" s="153"/>
      <c r="N73" s="59" t="s">
        <v>375</v>
      </c>
      <c r="P73" s="393"/>
    </row>
    <row r="74" spans="1:16" ht="15" customHeight="1" x14ac:dyDescent="0.2">
      <c r="A74" s="22"/>
      <c r="B74" s="22" t="s">
        <v>306</v>
      </c>
      <c r="C74" s="207">
        <v>22591226.289999999</v>
      </c>
      <c r="D74" s="210">
        <v>22591226.289999999</v>
      </c>
      <c r="E74" s="83">
        <v>22591226.289999999</v>
      </c>
      <c r="F74" s="466">
        <f t="shared" si="10"/>
        <v>1</v>
      </c>
      <c r="G74" s="83">
        <v>22591226.289999999</v>
      </c>
      <c r="H74" s="466">
        <f t="shared" si="12"/>
        <v>1</v>
      </c>
      <c r="I74" s="83">
        <v>2000000</v>
      </c>
      <c r="J74" s="480">
        <f t="shared" si="13"/>
        <v>8.8529944073257302E-2</v>
      </c>
      <c r="K74" s="144">
        <v>1900000</v>
      </c>
      <c r="L74" s="50">
        <v>8.4000000000000005E-2</v>
      </c>
      <c r="M74" s="153">
        <f t="shared" si="11"/>
        <v>5.2631578947368363E-2</v>
      </c>
      <c r="N74" s="59" t="s">
        <v>376</v>
      </c>
      <c r="P74" s="393"/>
    </row>
    <row r="75" spans="1:16" ht="15" customHeight="1" x14ac:dyDescent="0.2">
      <c r="A75" s="63"/>
      <c r="B75" s="63" t="s">
        <v>307</v>
      </c>
      <c r="C75" s="439">
        <v>8663077.6099999994</v>
      </c>
      <c r="D75" s="211">
        <v>8663077.6099999994</v>
      </c>
      <c r="E75" s="61">
        <v>8663077.6099999994</v>
      </c>
      <c r="F75" s="467">
        <f t="shared" si="10"/>
        <v>1</v>
      </c>
      <c r="G75" s="61">
        <v>8663077.6099999994</v>
      </c>
      <c r="H75" s="467">
        <f t="shared" si="12"/>
        <v>1</v>
      </c>
      <c r="I75" s="61">
        <v>0</v>
      </c>
      <c r="J75" s="481" t="s">
        <v>135</v>
      </c>
      <c r="K75" s="64">
        <v>500000</v>
      </c>
      <c r="L75" s="65">
        <v>6.3E-2</v>
      </c>
      <c r="M75" s="202">
        <f t="shared" si="11"/>
        <v>-1</v>
      </c>
      <c r="N75" s="355" t="s">
        <v>377</v>
      </c>
      <c r="P75" s="393"/>
    </row>
    <row r="76" spans="1:16" ht="15" customHeight="1" x14ac:dyDescent="0.2">
      <c r="A76" s="66"/>
      <c r="B76" s="66" t="s">
        <v>308</v>
      </c>
      <c r="C76" s="210">
        <v>103023093</v>
      </c>
      <c r="D76" s="210">
        <v>103023093</v>
      </c>
      <c r="E76" s="83">
        <v>103023093</v>
      </c>
      <c r="F76" s="399">
        <f t="shared" si="10"/>
        <v>1</v>
      </c>
      <c r="G76" s="83">
        <v>103023093</v>
      </c>
      <c r="H76" s="399">
        <f t="shared" si="12"/>
        <v>1</v>
      </c>
      <c r="I76" s="83">
        <v>17000000</v>
      </c>
      <c r="J76" s="294">
        <f t="shared" si="13"/>
        <v>0.1650115474595584</v>
      </c>
      <c r="K76" s="83">
        <v>14484713</v>
      </c>
      <c r="L76" s="72">
        <v>0.14299999999999999</v>
      </c>
      <c r="M76" s="606">
        <f t="shared" si="11"/>
        <v>0.17365114517629721</v>
      </c>
      <c r="N76" s="356" t="s">
        <v>446</v>
      </c>
      <c r="P76" s="393"/>
    </row>
    <row r="77" spans="1:16" ht="15" customHeight="1" x14ac:dyDescent="0.2">
      <c r="A77" s="68"/>
      <c r="B77" s="68" t="s">
        <v>309</v>
      </c>
      <c r="C77" s="210">
        <v>47794228</v>
      </c>
      <c r="D77" s="210">
        <v>47794228</v>
      </c>
      <c r="E77" s="83">
        <v>47494228</v>
      </c>
      <c r="F77" s="468">
        <f t="shared" si="10"/>
        <v>0.99372309141597603</v>
      </c>
      <c r="G77" s="83">
        <v>47494228</v>
      </c>
      <c r="H77" s="468">
        <f t="shared" si="12"/>
        <v>0.99372309141597603</v>
      </c>
      <c r="I77" s="83">
        <v>0</v>
      </c>
      <c r="J77" s="482" t="s">
        <v>135</v>
      </c>
      <c r="K77" s="69">
        <v>0</v>
      </c>
      <c r="L77" s="73" t="s">
        <v>135</v>
      </c>
      <c r="M77" s="153"/>
      <c r="N77" s="59" t="s">
        <v>378</v>
      </c>
      <c r="P77" s="393"/>
    </row>
    <row r="78" spans="1:16" ht="15" customHeight="1" x14ac:dyDescent="0.2">
      <c r="A78" s="68"/>
      <c r="B78" s="68" t="s">
        <v>310</v>
      </c>
      <c r="C78" s="210">
        <v>2040648.37</v>
      </c>
      <c r="D78" s="210">
        <v>2040648.37</v>
      </c>
      <c r="E78" s="83">
        <v>1726096.42</v>
      </c>
      <c r="F78" s="468">
        <f t="shared" si="10"/>
        <v>0.84585685871985861</v>
      </c>
      <c r="G78" s="83">
        <v>1726096.42</v>
      </c>
      <c r="H78" s="468">
        <f t="shared" si="12"/>
        <v>0.84585685871985861</v>
      </c>
      <c r="I78" s="83">
        <v>431500</v>
      </c>
      <c r="J78" s="482">
        <f t="shared" si="13"/>
        <v>0.2114524022578177</v>
      </c>
      <c r="K78" s="69">
        <v>430000</v>
      </c>
      <c r="L78" s="73">
        <v>0.21299999999999999</v>
      </c>
      <c r="M78" s="199">
        <f t="shared" si="11"/>
        <v>3.4883720930232176E-3</v>
      </c>
      <c r="N78" s="59" t="s">
        <v>379</v>
      </c>
      <c r="P78" s="393"/>
    </row>
    <row r="79" spans="1:16" ht="15" customHeight="1" x14ac:dyDescent="0.2">
      <c r="A79" s="70"/>
      <c r="B79" s="70" t="s">
        <v>311</v>
      </c>
      <c r="C79" s="439">
        <v>617526</v>
      </c>
      <c r="D79" s="211">
        <v>617526</v>
      </c>
      <c r="E79" s="61">
        <v>617526</v>
      </c>
      <c r="F79" s="469">
        <f t="shared" si="10"/>
        <v>1</v>
      </c>
      <c r="G79" s="61">
        <v>617526</v>
      </c>
      <c r="H79" s="469">
        <f t="shared" si="12"/>
        <v>1</v>
      </c>
      <c r="I79" s="61">
        <v>0</v>
      </c>
      <c r="J79" s="483" t="s">
        <v>135</v>
      </c>
      <c r="K79" s="71">
        <v>0</v>
      </c>
      <c r="L79" s="74" t="s">
        <v>135</v>
      </c>
      <c r="M79" s="198"/>
      <c r="N79" s="59" t="s">
        <v>380</v>
      </c>
      <c r="P79" s="393"/>
    </row>
    <row r="80" spans="1:16" ht="15" customHeight="1" x14ac:dyDescent="0.2">
      <c r="A80" s="66"/>
      <c r="B80" s="66" t="s">
        <v>312</v>
      </c>
      <c r="C80" s="210">
        <v>30350633.390000001</v>
      </c>
      <c r="D80" s="210">
        <v>30230633.390000001</v>
      </c>
      <c r="E80" s="83">
        <v>3000000</v>
      </c>
      <c r="F80" s="399">
        <f t="shared" si="10"/>
        <v>9.9237087139311175E-2</v>
      </c>
      <c r="G80" s="83">
        <v>3000000</v>
      </c>
      <c r="H80" s="399">
        <f t="shared" si="12"/>
        <v>9.9237087139311175E-2</v>
      </c>
      <c r="I80" s="83">
        <v>3000000</v>
      </c>
      <c r="J80" s="264">
        <f t="shared" si="13"/>
        <v>9.9237087139311175E-2</v>
      </c>
      <c r="K80" s="67">
        <v>1600000</v>
      </c>
      <c r="L80" s="72">
        <v>6.5000000000000002E-2</v>
      </c>
      <c r="M80" s="196">
        <f t="shared" si="11"/>
        <v>0.875</v>
      </c>
      <c r="N80" s="357" t="s">
        <v>477</v>
      </c>
      <c r="P80" s="393"/>
    </row>
    <row r="81" spans="1:16" ht="15" customHeight="1" x14ac:dyDescent="0.2">
      <c r="A81" s="68"/>
      <c r="B81" s="68" t="s">
        <v>313</v>
      </c>
      <c r="C81" s="210">
        <v>17159000</v>
      </c>
      <c r="D81" s="210">
        <v>17159000</v>
      </c>
      <c r="E81" s="83">
        <v>17159000</v>
      </c>
      <c r="F81" s="468">
        <f t="shared" si="10"/>
        <v>1</v>
      </c>
      <c r="G81" s="83">
        <v>17159000</v>
      </c>
      <c r="H81" s="468">
        <f t="shared" si="12"/>
        <v>1</v>
      </c>
      <c r="I81" s="83">
        <v>3300000</v>
      </c>
      <c r="J81" s="482">
        <f t="shared" si="13"/>
        <v>0.19231889970277988</v>
      </c>
      <c r="K81" s="69">
        <v>5400000</v>
      </c>
      <c r="L81" s="73">
        <v>0.39300000000000002</v>
      </c>
      <c r="M81" s="197">
        <f t="shared" si="11"/>
        <v>-0.38888888888888884</v>
      </c>
      <c r="N81" s="59" t="s">
        <v>381</v>
      </c>
      <c r="P81" s="393"/>
    </row>
    <row r="82" spans="1:16" ht="15" customHeight="1" x14ac:dyDescent="0.2">
      <c r="A82" s="68"/>
      <c r="B82" s="68" t="s">
        <v>314</v>
      </c>
      <c r="C82" s="210">
        <v>52736587</v>
      </c>
      <c r="D82" s="210">
        <v>52736587</v>
      </c>
      <c r="E82" s="83">
        <v>900000</v>
      </c>
      <c r="F82" s="468">
        <f t="shared" si="10"/>
        <v>1.7065950817029552E-2</v>
      </c>
      <c r="G82" s="83">
        <v>900000</v>
      </c>
      <c r="H82" s="468">
        <f t="shared" si="12"/>
        <v>1.7065950817029552E-2</v>
      </c>
      <c r="I82" s="83">
        <v>0</v>
      </c>
      <c r="J82" s="482" t="s">
        <v>135</v>
      </c>
      <c r="K82" s="69">
        <v>0</v>
      </c>
      <c r="L82" s="73" t="s">
        <v>135</v>
      </c>
      <c r="M82" s="197"/>
      <c r="N82" s="58" t="s">
        <v>382</v>
      </c>
      <c r="P82" s="393"/>
    </row>
    <row r="83" spans="1:16" ht="15" customHeight="1" x14ac:dyDescent="0.2">
      <c r="A83" s="68"/>
      <c r="B83" s="68" t="s">
        <v>315</v>
      </c>
      <c r="C83" s="210">
        <v>2726590</v>
      </c>
      <c r="D83" s="210">
        <v>2726590</v>
      </c>
      <c r="E83" s="83">
        <v>2726590</v>
      </c>
      <c r="F83" s="468">
        <f t="shared" si="10"/>
        <v>1</v>
      </c>
      <c r="G83" s="83">
        <v>2726590</v>
      </c>
      <c r="H83" s="468">
        <f t="shared" si="12"/>
        <v>1</v>
      </c>
      <c r="I83" s="83">
        <v>0</v>
      </c>
      <c r="J83" s="482" t="s">
        <v>135</v>
      </c>
      <c r="K83" s="69">
        <v>0</v>
      </c>
      <c r="L83" s="73" t="s">
        <v>135</v>
      </c>
      <c r="M83" s="197"/>
      <c r="N83" s="59" t="s">
        <v>383</v>
      </c>
      <c r="P83" s="393"/>
    </row>
    <row r="84" spans="1:16" ht="15" customHeight="1" x14ac:dyDescent="0.2">
      <c r="A84" s="68"/>
      <c r="B84" s="68" t="s">
        <v>316</v>
      </c>
      <c r="C84" s="210">
        <v>2730474</v>
      </c>
      <c r="D84" s="210">
        <v>2730474</v>
      </c>
      <c r="E84" s="83">
        <v>2337025.67</v>
      </c>
      <c r="F84" s="468">
        <f t="shared" si="10"/>
        <v>0.85590475133621491</v>
      </c>
      <c r="G84" s="83">
        <v>2337025.67</v>
      </c>
      <c r="H84" s="468">
        <f t="shared" si="12"/>
        <v>0.85590475133621491</v>
      </c>
      <c r="I84" s="83">
        <v>0</v>
      </c>
      <c r="J84" s="482" t="s">
        <v>135</v>
      </c>
      <c r="K84" s="69">
        <v>0</v>
      </c>
      <c r="L84" s="73" t="s">
        <v>135</v>
      </c>
      <c r="M84" s="197"/>
      <c r="N84" s="59" t="s">
        <v>384</v>
      </c>
      <c r="P84" s="393"/>
    </row>
    <row r="85" spans="1:16" ht="15" customHeight="1" x14ac:dyDescent="0.2">
      <c r="A85" s="68"/>
      <c r="B85" s="68" t="s">
        <v>317</v>
      </c>
      <c r="C85" s="210"/>
      <c r="D85" s="210"/>
      <c r="E85" s="83"/>
      <c r="F85" s="468"/>
      <c r="G85" s="83"/>
      <c r="H85" s="468"/>
      <c r="I85" s="83"/>
      <c r="J85" s="482"/>
      <c r="K85" s="69"/>
      <c r="L85" s="73"/>
      <c r="M85" s="197"/>
      <c r="N85" s="59" t="s">
        <v>385</v>
      </c>
      <c r="P85" s="394"/>
    </row>
    <row r="86" spans="1:16" ht="15" customHeight="1" x14ac:dyDescent="0.2">
      <c r="A86" s="68"/>
      <c r="B86" s="68" t="s">
        <v>318</v>
      </c>
      <c r="C86" s="210"/>
      <c r="D86" s="210"/>
      <c r="E86" s="83"/>
      <c r="F86" s="468"/>
      <c r="G86" s="83"/>
      <c r="H86" s="468"/>
      <c r="I86" s="83"/>
      <c r="J86" s="482"/>
      <c r="K86" s="69"/>
      <c r="L86" s="73"/>
      <c r="M86" s="197"/>
      <c r="N86" s="59" t="s">
        <v>386</v>
      </c>
      <c r="P86" s="393"/>
    </row>
    <row r="87" spans="1:16" ht="15" customHeight="1" x14ac:dyDescent="0.2">
      <c r="A87" s="68"/>
      <c r="B87" s="68" t="s">
        <v>319</v>
      </c>
      <c r="C87" s="210">
        <v>4843478</v>
      </c>
      <c r="D87" s="210">
        <v>4843478</v>
      </c>
      <c r="E87" s="83">
        <v>4843478</v>
      </c>
      <c r="F87" s="468">
        <f t="shared" ref="F87" si="14">+E87/D87</f>
        <v>1</v>
      </c>
      <c r="G87" s="83">
        <v>4843478</v>
      </c>
      <c r="H87" s="468">
        <f t="shared" si="12"/>
        <v>1</v>
      </c>
      <c r="I87" s="83">
        <v>0</v>
      </c>
      <c r="J87" s="482">
        <f t="shared" si="13"/>
        <v>0</v>
      </c>
      <c r="K87" s="69">
        <v>0</v>
      </c>
      <c r="L87" s="73" t="s">
        <v>135</v>
      </c>
      <c r="M87" s="197"/>
      <c r="N87" s="59" t="s">
        <v>387</v>
      </c>
      <c r="P87" s="394"/>
    </row>
    <row r="88" spans="1:16" ht="15" customHeight="1" x14ac:dyDescent="0.2">
      <c r="A88" s="68"/>
      <c r="B88" s="68" t="s">
        <v>320</v>
      </c>
      <c r="C88" s="210"/>
      <c r="D88" s="210"/>
      <c r="E88" s="83"/>
      <c r="F88" s="468"/>
      <c r="G88" s="83"/>
      <c r="H88" s="468"/>
      <c r="I88" s="83"/>
      <c r="J88" s="482"/>
      <c r="K88" s="69"/>
      <c r="L88" s="73"/>
      <c r="M88" s="197"/>
      <c r="N88" s="59" t="s">
        <v>388</v>
      </c>
      <c r="P88" s="393"/>
    </row>
    <row r="89" spans="1:16" ht="15" customHeight="1" x14ac:dyDescent="0.2">
      <c r="A89" s="68"/>
      <c r="B89" s="75" t="s">
        <v>321</v>
      </c>
      <c r="C89" s="210"/>
      <c r="D89" s="210"/>
      <c r="E89" s="83"/>
      <c r="F89" s="468"/>
      <c r="G89" s="83"/>
      <c r="H89" s="468"/>
      <c r="I89" s="83"/>
      <c r="J89" s="482"/>
      <c r="K89" s="69"/>
      <c r="L89" s="73"/>
      <c r="M89" s="197"/>
      <c r="N89" s="59" t="s">
        <v>389</v>
      </c>
      <c r="P89" s="393"/>
    </row>
    <row r="90" spans="1:16" ht="15" customHeight="1" x14ac:dyDescent="0.2">
      <c r="A90" s="68"/>
      <c r="B90" s="621" t="s">
        <v>423</v>
      </c>
      <c r="C90" s="210"/>
      <c r="D90" s="210"/>
      <c r="E90" s="83"/>
      <c r="F90" s="468"/>
      <c r="G90" s="83"/>
      <c r="H90" s="468"/>
      <c r="I90" s="83"/>
      <c r="J90" s="482"/>
      <c r="K90" s="69"/>
      <c r="L90" s="73"/>
      <c r="M90" s="197"/>
      <c r="N90" s="59">
        <v>44438</v>
      </c>
      <c r="P90" s="393"/>
    </row>
    <row r="91" spans="1:16" ht="15" customHeight="1" x14ac:dyDescent="0.2">
      <c r="A91" s="68"/>
      <c r="B91" s="621" t="s">
        <v>479</v>
      </c>
      <c r="C91" s="210"/>
      <c r="D91" s="210"/>
      <c r="E91" s="83"/>
      <c r="F91" s="468"/>
      <c r="G91" s="83"/>
      <c r="H91" s="468"/>
      <c r="I91" s="83"/>
      <c r="J91" s="482"/>
      <c r="K91" s="69">
        <v>1962489</v>
      </c>
      <c r="L91" s="73">
        <v>1</v>
      </c>
      <c r="M91" s="197" t="s">
        <v>135</v>
      </c>
      <c r="N91" s="59" t="s">
        <v>496</v>
      </c>
      <c r="P91" s="393"/>
    </row>
    <row r="92" spans="1:16" ht="15" customHeight="1" x14ac:dyDescent="0.2">
      <c r="A92" s="68"/>
      <c r="B92" s="68" t="s">
        <v>322</v>
      </c>
      <c r="C92" s="210">
        <v>12029885</v>
      </c>
      <c r="D92" s="210">
        <v>12029885</v>
      </c>
      <c r="E92" s="83">
        <v>0</v>
      </c>
      <c r="F92" s="468" t="s">
        <v>135</v>
      </c>
      <c r="G92" s="83">
        <v>0</v>
      </c>
      <c r="H92" s="468" t="s">
        <v>135</v>
      </c>
      <c r="I92" s="83">
        <v>0</v>
      </c>
      <c r="J92" s="482">
        <f>I92/D92</f>
        <v>0</v>
      </c>
      <c r="K92" s="69">
        <v>0</v>
      </c>
      <c r="L92" s="73" t="s">
        <v>135</v>
      </c>
      <c r="M92" s="197" t="s">
        <v>135</v>
      </c>
      <c r="N92" s="59" t="s">
        <v>391</v>
      </c>
      <c r="P92" s="394"/>
    </row>
    <row r="93" spans="1:16" ht="15" customHeight="1" x14ac:dyDescent="0.2">
      <c r="A93" s="68"/>
      <c r="B93" s="68" t="s">
        <v>323</v>
      </c>
      <c r="C93" s="210">
        <v>4129996.75</v>
      </c>
      <c r="D93" s="210">
        <v>4129996.75</v>
      </c>
      <c r="E93" s="83">
        <v>0</v>
      </c>
      <c r="F93" s="468" t="s">
        <v>135</v>
      </c>
      <c r="G93" s="83">
        <v>0</v>
      </c>
      <c r="H93" s="468" t="s">
        <v>135</v>
      </c>
      <c r="I93" s="83">
        <v>0</v>
      </c>
      <c r="J93" s="482">
        <f t="shared" si="13"/>
        <v>0</v>
      </c>
      <c r="K93" s="69">
        <v>0</v>
      </c>
      <c r="L93" s="73" t="s">
        <v>135</v>
      </c>
      <c r="M93" s="197"/>
      <c r="N93" s="59" t="s">
        <v>392</v>
      </c>
      <c r="P93" s="394"/>
    </row>
    <row r="94" spans="1:16" ht="15" customHeight="1" x14ac:dyDescent="0.2">
      <c r="A94" s="80"/>
      <c r="B94" s="131" t="s">
        <v>390</v>
      </c>
      <c r="C94" s="205"/>
      <c r="D94" s="210"/>
      <c r="E94" s="83"/>
      <c r="F94" s="141"/>
      <c r="G94" s="81"/>
      <c r="H94" s="141"/>
      <c r="I94" s="81"/>
      <c r="J94" s="217"/>
      <c r="K94" s="69"/>
      <c r="L94" s="73"/>
      <c r="M94" s="197"/>
      <c r="N94" s="130" t="s">
        <v>393</v>
      </c>
      <c r="P94" s="394"/>
    </row>
    <row r="95" spans="1:16" ht="15" customHeight="1" x14ac:dyDescent="0.2">
      <c r="A95" s="70"/>
      <c r="B95" s="80" t="s">
        <v>324</v>
      </c>
      <c r="C95" s="438">
        <v>479279.81</v>
      </c>
      <c r="D95" s="213">
        <v>479279.81</v>
      </c>
      <c r="E95" s="81">
        <v>0</v>
      </c>
      <c r="F95" s="622" t="s">
        <v>135</v>
      </c>
      <c r="G95" s="81">
        <v>0</v>
      </c>
      <c r="H95" s="622" t="s">
        <v>135</v>
      </c>
      <c r="I95" s="81">
        <v>0</v>
      </c>
      <c r="J95" s="623" t="s">
        <v>135</v>
      </c>
      <c r="K95" s="69"/>
      <c r="L95" s="73"/>
      <c r="M95" s="197"/>
      <c r="N95" s="59" t="s">
        <v>394</v>
      </c>
      <c r="P95" s="393"/>
    </row>
    <row r="96" spans="1:16" ht="15" customHeight="1" x14ac:dyDescent="0.2">
      <c r="A96" s="54"/>
      <c r="B96" s="68" t="s">
        <v>497</v>
      </c>
      <c r="C96" s="205">
        <v>8561000</v>
      </c>
      <c r="D96" s="210">
        <v>8561000</v>
      </c>
      <c r="E96" s="69">
        <v>8561000</v>
      </c>
      <c r="F96" s="468">
        <f>+E96/D96</f>
        <v>1</v>
      </c>
      <c r="G96" s="69">
        <v>8561000</v>
      </c>
      <c r="H96" s="468">
        <f t="shared" si="12"/>
        <v>1</v>
      </c>
      <c r="I96" s="69">
        <v>0</v>
      </c>
      <c r="J96" s="482">
        <f t="shared" si="13"/>
        <v>0</v>
      </c>
      <c r="K96" s="69">
        <v>48800</v>
      </c>
      <c r="L96" s="73"/>
      <c r="M96" s="197" t="s">
        <v>135</v>
      </c>
      <c r="N96" s="59">
        <v>44453</v>
      </c>
      <c r="P96" s="394"/>
    </row>
    <row r="97" spans="1:16" ht="15" customHeight="1" x14ac:dyDescent="0.2">
      <c r="A97" s="66"/>
      <c r="B97" s="624" t="s">
        <v>369</v>
      </c>
      <c r="C97" s="207"/>
      <c r="D97" s="619"/>
      <c r="E97" s="83"/>
      <c r="F97" s="399"/>
      <c r="G97" s="83"/>
      <c r="H97" s="399"/>
      <c r="I97" s="83"/>
      <c r="J97" s="294"/>
      <c r="K97" s="69"/>
      <c r="L97" s="73"/>
      <c r="M97" s="197"/>
      <c r="N97" s="59">
        <v>449</v>
      </c>
      <c r="P97" s="394"/>
    </row>
    <row r="98" spans="1:16" ht="15" customHeight="1" x14ac:dyDescent="0.2">
      <c r="A98" s="135"/>
      <c r="B98" s="136" t="s">
        <v>350</v>
      </c>
      <c r="C98" s="214">
        <f>SUM(C67:C97)</f>
        <v>528646574.61000001</v>
      </c>
      <c r="D98" s="620">
        <f>SUM(D67:D97)</f>
        <v>537153006.35000002</v>
      </c>
      <c r="E98" s="137">
        <f>SUM(E67:E97)</f>
        <v>383493002.21000004</v>
      </c>
      <c r="F98" s="471">
        <f>E98/D98</f>
        <v>0.71393624847390746</v>
      </c>
      <c r="G98" s="137">
        <f>SUM(G67:G97)</f>
        <v>383493002.21000004</v>
      </c>
      <c r="H98" s="474">
        <f t="shared" si="12"/>
        <v>0.71393624847390746</v>
      </c>
      <c r="I98" s="137">
        <f>SUM(I67:I97)</f>
        <v>44231500</v>
      </c>
      <c r="J98" s="484">
        <f t="shared" si="13"/>
        <v>8.2344321780039489E-2</v>
      </c>
      <c r="K98" s="137">
        <v>50128228</v>
      </c>
      <c r="L98" s="138">
        <v>9.6000000000000002E-2</v>
      </c>
      <c r="M98" s="272">
        <f t="shared" si="11"/>
        <v>-0.11763288341251565</v>
      </c>
      <c r="P98" s="394"/>
    </row>
    <row r="99" spans="1:16" ht="15" customHeight="1" x14ac:dyDescent="0.2">
      <c r="A99" s="82"/>
      <c r="B99" s="265" t="s">
        <v>448</v>
      </c>
      <c r="C99" s="207">
        <v>4032000</v>
      </c>
      <c r="D99" s="619">
        <v>4032000</v>
      </c>
      <c r="E99" s="83">
        <v>0</v>
      </c>
      <c r="F99" s="399">
        <f>+E99/D99</f>
        <v>0</v>
      </c>
      <c r="G99" s="83">
        <v>0</v>
      </c>
      <c r="H99" s="399">
        <f>+G99/D99</f>
        <v>0</v>
      </c>
      <c r="I99" s="83">
        <v>0</v>
      </c>
      <c r="J99" s="294">
        <f>+I99/D99</f>
        <v>0</v>
      </c>
      <c r="K99" s="277">
        <v>0</v>
      </c>
      <c r="L99" s="108" t="s">
        <v>135</v>
      </c>
      <c r="M99" s="401" t="s">
        <v>135</v>
      </c>
      <c r="N99" s="130" t="s">
        <v>480</v>
      </c>
      <c r="P99" s="394"/>
    </row>
    <row r="100" spans="1:16" ht="15" customHeight="1" x14ac:dyDescent="0.2">
      <c r="A100" s="68"/>
      <c r="B100" s="266" t="s">
        <v>405</v>
      </c>
      <c r="C100" s="207">
        <v>40000</v>
      </c>
      <c r="D100" s="267">
        <v>40000</v>
      </c>
      <c r="E100" s="83">
        <v>36232.42</v>
      </c>
      <c r="F100" s="468" t="s">
        <v>135</v>
      </c>
      <c r="G100" s="83">
        <v>36232.42</v>
      </c>
      <c r="H100" s="399" t="s">
        <v>135</v>
      </c>
      <c r="I100" s="83">
        <v>0</v>
      </c>
      <c r="J100" s="399" t="s">
        <v>135</v>
      </c>
      <c r="K100" s="277">
        <v>0</v>
      </c>
      <c r="L100" s="293" t="s">
        <v>135</v>
      </c>
      <c r="M100" s="400"/>
      <c r="N100" s="130">
        <v>46101</v>
      </c>
      <c r="P100" s="394"/>
    </row>
    <row r="101" spans="1:16" ht="15" customHeight="1" x14ac:dyDescent="0.2">
      <c r="A101" s="68"/>
      <c r="B101" s="266" t="s">
        <v>420</v>
      </c>
      <c r="C101" s="207"/>
      <c r="D101" s="267"/>
      <c r="E101" s="83"/>
      <c r="F101" s="468"/>
      <c r="G101" s="83"/>
      <c r="H101" s="399"/>
      <c r="I101" s="83"/>
      <c r="J101" s="294"/>
      <c r="K101" s="69">
        <v>0</v>
      </c>
      <c r="L101" s="73" t="s">
        <v>135</v>
      </c>
      <c r="M101" s="197" t="s">
        <v>135</v>
      </c>
      <c r="N101" s="130">
        <v>46102</v>
      </c>
      <c r="P101" s="394"/>
    </row>
    <row r="102" spans="1:16" ht="15" customHeight="1" x14ac:dyDescent="0.2">
      <c r="A102" s="82"/>
      <c r="B102" s="265" t="s">
        <v>444</v>
      </c>
      <c r="C102" s="207"/>
      <c r="D102" s="267"/>
      <c r="E102" s="83"/>
      <c r="F102" s="468"/>
      <c r="G102" s="83"/>
      <c r="H102" s="399"/>
      <c r="I102" s="83"/>
      <c r="J102" s="294"/>
      <c r="K102" s="83">
        <v>0</v>
      </c>
      <c r="L102" s="108" t="s">
        <v>135</v>
      </c>
      <c r="M102" s="197" t="s">
        <v>135</v>
      </c>
      <c r="N102" s="130">
        <v>462</v>
      </c>
      <c r="P102" s="394"/>
    </row>
    <row r="103" spans="1:16" ht="15" customHeight="1" x14ac:dyDescent="0.2">
      <c r="A103" s="82"/>
      <c r="B103" s="82" t="s">
        <v>325</v>
      </c>
      <c r="C103" s="207"/>
      <c r="D103" s="267"/>
      <c r="E103" s="83"/>
      <c r="F103" s="79"/>
      <c r="G103" s="83"/>
      <c r="H103" s="79"/>
      <c r="I103" s="83"/>
      <c r="J103" s="186"/>
      <c r="K103" s="83">
        <v>0</v>
      </c>
      <c r="L103" s="108" t="s">
        <v>135</v>
      </c>
      <c r="M103" s="197" t="s">
        <v>135</v>
      </c>
      <c r="N103" s="59">
        <v>463</v>
      </c>
      <c r="P103" s="394"/>
    </row>
    <row r="104" spans="1:16" ht="15" customHeight="1" x14ac:dyDescent="0.2">
      <c r="A104" s="68"/>
      <c r="B104" s="68" t="s">
        <v>326</v>
      </c>
      <c r="C104" s="207">
        <v>54878421</v>
      </c>
      <c r="D104" s="267">
        <v>54878421</v>
      </c>
      <c r="E104" s="83">
        <v>0</v>
      </c>
      <c r="F104" s="468" t="s">
        <v>135</v>
      </c>
      <c r="G104" s="83">
        <v>0</v>
      </c>
      <c r="H104" s="468" t="s">
        <v>135</v>
      </c>
      <c r="I104" s="83">
        <v>0</v>
      </c>
      <c r="J104" s="482" t="s">
        <v>135</v>
      </c>
      <c r="K104" s="69">
        <v>0</v>
      </c>
      <c r="L104" s="73" t="s">
        <v>135</v>
      </c>
      <c r="M104" s="199"/>
      <c r="N104" s="59">
        <v>46401</v>
      </c>
      <c r="P104" s="394"/>
    </row>
    <row r="105" spans="1:16" ht="15" customHeight="1" x14ac:dyDescent="0.2">
      <c r="A105" s="68"/>
      <c r="B105" s="68" t="s">
        <v>327</v>
      </c>
      <c r="C105" s="207">
        <v>910000</v>
      </c>
      <c r="D105" s="267">
        <v>910000</v>
      </c>
      <c r="E105" s="83">
        <v>110000</v>
      </c>
      <c r="F105" s="468">
        <f t="shared" ref="F105:F127" si="15">+E105/D105</f>
        <v>0.12087912087912088</v>
      </c>
      <c r="G105" s="83">
        <v>110000</v>
      </c>
      <c r="H105" s="468">
        <f t="shared" si="12"/>
        <v>0.12087912087912088</v>
      </c>
      <c r="I105" s="83">
        <v>0</v>
      </c>
      <c r="J105" s="482">
        <f t="shared" si="13"/>
        <v>0</v>
      </c>
      <c r="K105" s="69">
        <v>0</v>
      </c>
      <c r="L105" s="73" t="s">
        <v>135</v>
      </c>
      <c r="M105" s="199"/>
      <c r="N105" s="59">
        <v>46410</v>
      </c>
      <c r="P105" s="394"/>
    </row>
    <row r="106" spans="1:16" ht="15" customHeight="1" x14ac:dyDescent="0.2">
      <c r="A106" s="70"/>
      <c r="B106" s="80" t="s">
        <v>328</v>
      </c>
      <c r="C106" s="438">
        <v>89194580.229999989</v>
      </c>
      <c r="D106" s="625">
        <v>89484980.229999989</v>
      </c>
      <c r="E106" s="55">
        <v>89387229.569999993</v>
      </c>
      <c r="F106" s="622">
        <f t="shared" si="15"/>
        <v>0.99890763053476961</v>
      </c>
      <c r="G106" s="55">
        <v>89387229.569999993</v>
      </c>
      <c r="H106" s="622">
        <f t="shared" si="12"/>
        <v>0.99890763053476961</v>
      </c>
      <c r="I106" s="55">
        <v>1421500</v>
      </c>
      <c r="J106" s="623">
        <f t="shared" si="13"/>
        <v>1.5885347421951374E-2</v>
      </c>
      <c r="K106" s="81">
        <v>2843000</v>
      </c>
      <c r="L106" s="375">
        <v>3.2000000000000001E-2</v>
      </c>
      <c r="M106" s="607">
        <f t="shared" si="11"/>
        <v>-0.5</v>
      </c>
      <c r="N106" s="59" t="s">
        <v>334</v>
      </c>
      <c r="P106" s="394"/>
    </row>
    <row r="107" spans="1:16" ht="15" customHeight="1" x14ac:dyDescent="0.2">
      <c r="A107" s="62"/>
      <c r="B107" s="68" t="s">
        <v>329</v>
      </c>
      <c r="C107" s="205">
        <v>5830790</v>
      </c>
      <c r="D107" s="210">
        <v>5830790</v>
      </c>
      <c r="E107" s="69">
        <v>0</v>
      </c>
      <c r="F107" s="468" t="s">
        <v>135</v>
      </c>
      <c r="G107" s="69">
        <v>0</v>
      </c>
      <c r="H107" s="468" t="s">
        <v>135</v>
      </c>
      <c r="I107" s="69">
        <v>0</v>
      </c>
      <c r="J107" s="482" t="s">
        <v>135</v>
      </c>
      <c r="K107" s="210">
        <v>0</v>
      </c>
      <c r="L107" s="73" t="s">
        <v>135</v>
      </c>
      <c r="M107" s="197"/>
      <c r="N107" s="59">
        <v>465</v>
      </c>
      <c r="P107" s="394"/>
    </row>
    <row r="108" spans="1:16" ht="15" customHeight="1" x14ac:dyDescent="0.2">
      <c r="A108" s="66"/>
      <c r="B108" s="82" t="s">
        <v>330</v>
      </c>
      <c r="C108" s="207">
        <v>116594341</v>
      </c>
      <c r="D108" s="212">
        <v>116594341</v>
      </c>
      <c r="E108" s="83">
        <v>100924325</v>
      </c>
      <c r="F108" s="399">
        <f t="shared" si="15"/>
        <v>0.86560225937552149</v>
      </c>
      <c r="G108" s="83">
        <v>100924325</v>
      </c>
      <c r="H108" s="399">
        <f t="shared" si="12"/>
        <v>0.86560225937552149</v>
      </c>
      <c r="I108" s="83">
        <v>16820720.84</v>
      </c>
      <c r="J108" s="294">
        <f t="shared" si="13"/>
        <v>0.14426704328643189</v>
      </c>
      <c r="K108" s="83">
        <v>14030000</v>
      </c>
      <c r="L108" s="108">
        <v>0.16700000000000001</v>
      </c>
      <c r="M108" s="199">
        <f t="shared" si="11"/>
        <v>0.19891096507483952</v>
      </c>
      <c r="N108" s="59">
        <v>46701</v>
      </c>
      <c r="P108" s="394"/>
    </row>
    <row r="109" spans="1:16" ht="15" customHeight="1" x14ac:dyDescent="0.2">
      <c r="A109" s="68"/>
      <c r="B109" s="68" t="s">
        <v>331</v>
      </c>
      <c r="C109" s="205">
        <v>59615875.520000003</v>
      </c>
      <c r="D109" s="210">
        <v>59611278.32</v>
      </c>
      <c r="E109" s="69">
        <v>59561177.549999997</v>
      </c>
      <c r="F109" s="468">
        <f t="shared" ref="F109:F120" si="16">+E109/D109</f>
        <v>0.9991595420965298</v>
      </c>
      <c r="G109" s="69">
        <v>59561177.549999997</v>
      </c>
      <c r="H109" s="468">
        <f t="shared" ref="H109:H122" si="17">+G109/D109</f>
        <v>0.9991595420965298</v>
      </c>
      <c r="I109" s="69">
        <v>9920000</v>
      </c>
      <c r="J109" s="482">
        <f t="shared" ref="J109:J122" si="18">I109/D109</f>
        <v>0.1664114623871733</v>
      </c>
      <c r="K109" s="69">
        <v>9720000</v>
      </c>
      <c r="L109" s="73">
        <v>0.16700000000000001</v>
      </c>
      <c r="M109" s="197">
        <f>+I109/K109-1</f>
        <v>2.0576131687242816E-2</v>
      </c>
      <c r="N109" s="59">
        <v>46703</v>
      </c>
      <c r="P109" s="394"/>
    </row>
    <row r="110" spans="1:16" ht="15" customHeight="1" x14ac:dyDescent="0.2">
      <c r="A110" s="68"/>
      <c r="B110" s="68" t="s">
        <v>342</v>
      </c>
      <c r="C110" s="205"/>
      <c r="D110" s="210"/>
      <c r="E110" s="69"/>
      <c r="F110" s="468"/>
      <c r="G110" s="69"/>
      <c r="H110" s="468"/>
      <c r="I110" s="69"/>
      <c r="J110" s="482"/>
      <c r="K110" s="69">
        <v>0</v>
      </c>
      <c r="L110" s="73">
        <v>0</v>
      </c>
      <c r="M110" s="197"/>
      <c r="N110" s="59" t="s">
        <v>402</v>
      </c>
      <c r="P110" s="394"/>
    </row>
    <row r="111" spans="1:16" ht="15" customHeight="1" x14ac:dyDescent="0.2">
      <c r="A111" s="68"/>
      <c r="B111" s="68" t="s">
        <v>343</v>
      </c>
      <c r="C111" s="205">
        <v>1514016</v>
      </c>
      <c r="D111" s="210">
        <v>1514016</v>
      </c>
      <c r="E111" s="69">
        <v>1142000</v>
      </c>
      <c r="F111" s="468">
        <f>+E111/D111</f>
        <v>0.75428529156891344</v>
      </c>
      <c r="G111" s="69">
        <v>1142000</v>
      </c>
      <c r="H111" s="468">
        <f t="shared" si="17"/>
        <v>0.75428529156891344</v>
      </c>
      <c r="I111" s="69">
        <v>285000</v>
      </c>
      <c r="J111" s="482">
        <f t="shared" si="18"/>
        <v>0.18824107539154145</v>
      </c>
      <c r="K111" s="69">
        <v>285000</v>
      </c>
      <c r="L111" s="73">
        <v>0.19</v>
      </c>
      <c r="M111" s="197">
        <f t="shared" ref="M111" si="19">+I111/K111-1</f>
        <v>0</v>
      </c>
      <c r="N111" s="59" t="s">
        <v>403</v>
      </c>
      <c r="P111" s="394"/>
    </row>
    <row r="112" spans="1:16" ht="15" customHeight="1" x14ac:dyDescent="0.2">
      <c r="A112" s="68"/>
      <c r="B112" s="68" t="s">
        <v>341</v>
      </c>
      <c r="C112" s="205">
        <v>271003.62</v>
      </c>
      <c r="D112" s="210">
        <v>271003.62</v>
      </c>
      <c r="E112" s="69">
        <v>0</v>
      </c>
      <c r="F112" s="468" t="s">
        <v>135</v>
      </c>
      <c r="G112" s="69">
        <v>0</v>
      </c>
      <c r="H112" s="468" t="s">
        <v>135</v>
      </c>
      <c r="I112" s="69">
        <v>0</v>
      </c>
      <c r="J112" s="482" t="s">
        <v>135</v>
      </c>
      <c r="K112" s="69">
        <v>0</v>
      </c>
      <c r="L112" s="73">
        <v>0.16700000000000001</v>
      </c>
      <c r="M112" s="197"/>
      <c r="N112" s="59" t="s">
        <v>398</v>
      </c>
      <c r="P112" s="394"/>
    </row>
    <row r="113" spans="1:16" ht="15" customHeight="1" x14ac:dyDescent="0.2">
      <c r="A113" s="68"/>
      <c r="B113" s="68" t="s">
        <v>338</v>
      </c>
      <c r="C113" s="205">
        <v>15540453.550000001</v>
      </c>
      <c r="D113" s="210">
        <v>15540453.550000001</v>
      </c>
      <c r="E113" s="69">
        <v>15409576.619999999</v>
      </c>
      <c r="F113" s="468">
        <f t="shared" si="16"/>
        <v>0.99157830692785653</v>
      </c>
      <c r="G113" s="69">
        <v>15409576.619999999</v>
      </c>
      <c r="H113" s="468">
        <f t="shared" si="17"/>
        <v>0.99157830692785653</v>
      </c>
      <c r="I113" s="69">
        <v>2590000</v>
      </c>
      <c r="J113" s="482">
        <f t="shared" si="18"/>
        <v>0.16666180248001836</v>
      </c>
      <c r="K113" s="69">
        <v>2568000</v>
      </c>
      <c r="L113" s="73"/>
      <c r="M113" s="197">
        <f t="shared" ref="M113" si="20">+I113/K113-1</f>
        <v>8.5669781931463351E-3</v>
      </c>
      <c r="N113" s="59" t="s">
        <v>395</v>
      </c>
      <c r="P113" s="394"/>
    </row>
    <row r="114" spans="1:16" ht="15" customHeight="1" x14ac:dyDescent="0.2">
      <c r="A114" s="68"/>
      <c r="B114" s="68" t="s">
        <v>340</v>
      </c>
      <c r="C114" s="205"/>
      <c r="D114" s="210"/>
      <c r="E114" s="69"/>
      <c r="F114" s="141" t="s">
        <v>135</v>
      </c>
      <c r="G114" s="69"/>
      <c r="H114" s="468"/>
      <c r="I114" s="69"/>
      <c r="J114" s="482"/>
      <c r="K114" s="69">
        <v>0</v>
      </c>
      <c r="L114" s="73" t="s">
        <v>135</v>
      </c>
      <c r="M114" s="197"/>
      <c r="N114" s="59" t="s">
        <v>396</v>
      </c>
      <c r="P114" s="394"/>
    </row>
    <row r="115" spans="1:16" ht="15" customHeight="1" x14ac:dyDescent="0.2">
      <c r="A115" s="68"/>
      <c r="B115" s="68" t="s">
        <v>339</v>
      </c>
      <c r="C115" s="205">
        <v>2248848</v>
      </c>
      <c r="D115" s="210">
        <v>2248848</v>
      </c>
      <c r="E115" s="69">
        <v>2248848</v>
      </c>
      <c r="F115" s="468">
        <f t="shared" si="16"/>
        <v>1</v>
      </c>
      <c r="G115" s="69">
        <v>2248848</v>
      </c>
      <c r="H115" s="468">
        <f t="shared" si="17"/>
        <v>1</v>
      </c>
      <c r="I115" s="69">
        <v>0</v>
      </c>
      <c r="J115" s="482" t="s">
        <v>135</v>
      </c>
      <c r="K115" s="69">
        <v>0</v>
      </c>
      <c r="L115" s="73">
        <v>9.6000000000000002E-2</v>
      </c>
      <c r="M115" s="197"/>
      <c r="N115" s="59" t="s">
        <v>397</v>
      </c>
      <c r="P115" s="394"/>
    </row>
    <row r="116" spans="1:16" ht="15" customHeight="1" x14ac:dyDescent="0.2">
      <c r="A116" s="68"/>
      <c r="B116" s="68" t="s">
        <v>337</v>
      </c>
      <c r="C116" s="205">
        <v>1919978</v>
      </c>
      <c r="D116" s="210">
        <v>1919978</v>
      </c>
      <c r="E116" s="69">
        <v>561169</v>
      </c>
      <c r="F116" s="468">
        <f t="shared" si="16"/>
        <v>0.29227886986205048</v>
      </c>
      <c r="G116" s="69">
        <v>561169</v>
      </c>
      <c r="H116" s="468">
        <f t="shared" si="17"/>
        <v>0.29227886986205048</v>
      </c>
      <c r="I116" s="69">
        <v>0</v>
      </c>
      <c r="J116" s="482" t="s">
        <v>135</v>
      </c>
      <c r="K116" s="69">
        <v>185000</v>
      </c>
      <c r="L116" s="73">
        <v>0</v>
      </c>
      <c r="M116" s="197">
        <f t="shared" ref="M116" si="21">+I116/K116-1</f>
        <v>-1</v>
      </c>
      <c r="N116" s="59" t="s">
        <v>401</v>
      </c>
      <c r="P116" s="394"/>
    </row>
    <row r="117" spans="1:16" ht="15" customHeight="1" x14ac:dyDescent="0.2">
      <c r="A117" s="68"/>
      <c r="B117" s="68" t="s">
        <v>335</v>
      </c>
      <c r="C117" s="205">
        <v>155101.56</v>
      </c>
      <c r="D117" s="210">
        <v>155101.56</v>
      </c>
      <c r="E117" s="69">
        <v>155101.56</v>
      </c>
      <c r="F117" s="468">
        <f t="shared" si="16"/>
        <v>1</v>
      </c>
      <c r="G117" s="69">
        <v>155101.56</v>
      </c>
      <c r="H117" s="468">
        <f t="shared" si="17"/>
        <v>1</v>
      </c>
      <c r="I117" s="69">
        <v>0</v>
      </c>
      <c r="J117" s="482" t="s">
        <v>135</v>
      </c>
      <c r="K117" s="69">
        <v>0</v>
      </c>
      <c r="L117" s="73" t="s">
        <v>135</v>
      </c>
      <c r="M117" s="197"/>
      <c r="N117" s="59" t="s">
        <v>399</v>
      </c>
      <c r="P117" s="394"/>
    </row>
    <row r="118" spans="1:16" ht="15" customHeight="1" x14ac:dyDescent="0.2">
      <c r="A118" s="68"/>
      <c r="B118" s="68" t="s">
        <v>336</v>
      </c>
      <c r="C118" s="205">
        <v>1008512.45</v>
      </c>
      <c r="D118" s="210">
        <v>1008512.45</v>
      </c>
      <c r="E118" s="69">
        <v>1008512.45</v>
      </c>
      <c r="F118" s="468">
        <f t="shared" si="16"/>
        <v>1</v>
      </c>
      <c r="G118" s="69">
        <v>1008512.45</v>
      </c>
      <c r="H118" s="468">
        <f t="shared" si="17"/>
        <v>1</v>
      </c>
      <c r="I118" s="69">
        <v>0</v>
      </c>
      <c r="J118" s="482" t="s">
        <v>135</v>
      </c>
      <c r="K118" s="69">
        <v>0</v>
      </c>
      <c r="L118" s="73" t="s">
        <v>135</v>
      </c>
      <c r="M118" s="197"/>
      <c r="N118" s="59" t="s">
        <v>400</v>
      </c>
      <c r="P118" s="394"/>
    </row>
    <row r="119" spans="1:16" ht="15" customHeight="1" x14ac:dyDescent="0.2">
      <c r="A119" s="68"/>
      <c r="B119" s="68" t="s">
        <v>333</v>
      </c>
      <c r="C119" s="205">
        <v>2541014</v>
      </c>
      <c r="D119" s="210">
        <v>2541014</v>
      </c>
      <c r="E119" s="69">
        <v>2541014</v>
      </c>
      <c r="F119" s="468">
        <f t="shared" si="16"/>
        <v>1</v>
      </c>
      <c r="G119" s="69">
        <v>2541014</v>
      </c>
      <c r="H119" s="468">
        <f t="shared" si="17"/>
        <v>1</v>
      </c>
      <c r="I119" s="69">
        <v>0</v>
      </c>
      <c r="J119" s="482" t="s">
        <v>135</v>
      </c>
      <c r="K119" s="69">
        <v>0</v>
      </c>
      <c r="L119" s="73" t="s">
        <v>135</v>
      </c>
      <c r="M119" s="197"/>
      <c r="N119" s="59">
        <v>46743</v>
      </c>
      <c r="P119" s="394"/>
    </row>
    <row r="120" spans="1:16" ht="15" customHeight="1" x14ac:dyDescent="0.2">
      <c r="A120" s="68"/>
      <c r="B120" s="68" t="s">
        <v>332</v>
      </c>
      <c r="C120" s="205">
        <v>1136412.6100000001</v>
      </c>
      <c r="D120" s="210">
        <v>1136412.6100000001</v>
      </c>
      <c r="E120" s="69">
        <v>1136412.6100000001</v>
      </c>
      <c r="F120" s="468">
        <f t="shared" si="16"/>
        <v>1</v>
      </c>
      <c r="G120" s="69">
        <v>1136412.6100000001</v>
      </c>
      <c r="H120" s="468">
        <f t="shared" si="17"/>
        <v>1</v>
      </c>
      <c r="I120" s="69">
        <v>284000</v>
      </c>
      <c r="J120" s="482">
        <f t="shared" si="18"/>
        <v>0.24990922971190893</v>
      </c>
      <c r="K120" s="69">
        <v>277000</v>
      </c>
      <c r="L120" s="73">
        <v>0.25</v>
      </c>
      <c r="M120" s="197">
        <f t="shared" ref="M120:M121" si="22">+I120/K120-1</f>
        <v>2.5270758122743597E-2</v>
      </c>
      <c r="N120" s="59">
        <v>46746</v>
      </c>
      <c r="P120" s="394"/>
    </row>
    <row r="121" spans="1:16" ht="15" customHeight="1" x14ac:dyDescent="0.2">
      <c r="A121" s="68"/>
      <c r="B121" s="68" t="s">
        <v>344</v>
      </c>
      <c r="C121" s="205">
        <v>1890399</v>
      </c>
      <c r="D121" s="210">
        <v>1890399</v>
      </c>
      <c r="E121" s="69">
        <v>0</v>
      </c>
      <c r="F121" s="468" t="s">
        <v>135</v>
      </c>
      <c r="G121" s="69">
        <v>0</v>
      </c>
      <c r="H121" s="468" t="s">
        <v>135</v>
      </c>
      <c r="I121" s="69">
        <v>0</v>
      </c>
      <c r="J121" s="482" t="s">
        <v>135</v>
      </c>
      <c r="K121" s="69">
        <v>310000</v>
      </c>
      <c r="L121" s="73">
        <v>0.16400000000000001</v>
      </c>
      <c r="M121" s="197">
        <f t="shared" si="22"/>
        <v>-1</v>
      </c>
      <c r="N121" s="59" t="s">
        <v>404</v>
      </c>
      <c r="P121" s="394"/>
    </row>
    <row r="122" spans="1:16" ht="15" customHeight="1" x14ac:dyDescent="0.2">
      <c r="A122" s="70"/>
      <c r="B122" s="70" t="s">
        <v>345</v>
      </c>
      <c r="C122" s="439">
        <v>2186196.83</v>
      </c>
      <c r="D122" s="180">
        <v>2186196.83</v>
      </c>
      <c r="E122" s="71">
        <v>381855.95</v>
      </c>
      <c r="F122" s="469">
        <f t="shared" si="15"/>
        <v>0.17466677508630366</v>
      </c>
      <c r="G122" s="69">
        <v>381855.95</v>
      </c>
      <c r="H122" s="468">
        <f t="shared" si="17"/>
        <v>0.17466677508630366</v>
      </c>
      <c r="I122" s="69">
        <v>179378.92</v>
      </c>
      <c r="J122" s="482">
        <f t="shared" si="18"/>
        <v>8.2050672445627873E-2</v>
      </c>
      <c r="K122" s="71">
        <v>1149773</v>
      </c>
      <c r="L122" s="74">
        <v>0.246</v>
      </c>
      <c r="M122" s="198">
        <f t="shared" si="11"/>
        <v>-0.84398753493080814</v>
      </c>
      <c r="N122" s="59" t="s">
        <v>346</v>
      </c>
      <c r="P122" s="394"/>
    </row>
    <row r="123" spans="1:16" ht="15" customHeight="1" x14ac:dyDescent="0.2">
      <c r="A123" s="66"/>
      <c r="B123" s="66" t="s">
        <v>347</v>
      </c>
      <c r="C123" s="438">
        <v>1126444.52</v>
      </c>
      <c r="D123" s="210">
        <v>1156444.52</v>
      </c>
      <c r="E123" s="83">
        <v>0</v>
      </c>
      <c r="F123" s="263" t="s">
        <v>135</v>
      </c>
      <c r="G123" s="67">
        <v>0</v>
      </c>
      <c r="H123" s="263" t="s">
        <v>135</v>
      </c>
      <c r="I123" s="67">
        <v>0</v>
      </c>
      <c r="J123" s="264" t="s">
        <v>135</v>
      </c>
      <c r="K123" s="67">
        <v>0</v>
      </c>
      <c r="L123" s="72">
        <v>0</v>
      </c>
      <c r="M123" s="488">
        <v>-1</v>
      </c>
      <c r="N123" s="59">
        <v>47</v>
      </c>
      <c r="P123" s="394"/>
    </row>
    <row r="124" spans="1:16" ht="15" customHeight="1" x14ac:dyDescent="0.2">
      <c r="A124" s="68"/>
      <c r="B124" s="68" t="s">
        <v>348</v>
      </c>
      <c r="C124" s="438">
        <v>104263033.93000001</v>
      </c>
      <c r="D124" s="210">
        <v>104858699.39</v>
      </c>
      <c r="E124" s="69">
        <v>29684823.670000002</v>
      </c>
      <c r="F124" s="468">
        <f t="shared" si="15"/>
        <v>0.28309357108839878</v>
      </c>
      <c r="G124" s="83">
        <v>15941704.619999999</v>
      </c>
      <c r="H124" s="468">
        <f t="shared" si="12"/>
        <v>0.15203034858088563</v>
      </c>
      <c r="I124" s="69">
        <v>1126526.93</v>
      </c>
      <c r="J124" s="482">
        <f t="shared" si="13"/>
        <v>1.074328535975941E-2</v>
      </c>
      <c r="K124" s="69">
        <v>935852</v>
      </c>
      <c r="L124" s="73">
        <v>1.2999999999999999E-2</v>
      </c>
      <c r="M124" s="197">
        <f t="shared" si="11"/>
        <v>0.20374474810119536</v>
      </c>
      <c r="N124" s="59">
        <v>48</v>
      </c>
      <c r="P124" s="394"/>
    </row>
    <row r="125" spans="1:16" ht="15" customHeight="1" x14ac:dyDescent="0.2">
      <c r="A125" s="70"/>
      <c r="B125" s="70" t="s">
        <v>349</v>
      </c>
      <c r="C125" s="439">
        <v>125828.35</v>
      </c>
      <c r="D125" s="180">
        <v>125828.35</v>
      </c>
      <c r="E125" s="71">
        <v>6970.8</v>
      </c>
      <c r="F125" s="469">
        <f t="shared" si="15"/>
        <v>5.5399280050958309E-2</v>
      </c>
      <c r="G125" s="71">
        <v>6970.8</v>
      </c>
      <c r="H125" s="469">
        <f t="shared" si="12"/>
        <v>5.5399280050958309E-2</v>
      </c>
      <c r="I125" s="71">
        <v>6970.8</v>
      </c>
      <c r="J125" s="483">
        <f t="shared" si="13"/>
        <v>5.5399280050958309E-2</v>
      </c>
      <c r="K125" s="71">
        <v>0</v>
      </c>
      <c r="L125" s="74" t="s">
        <v>135</v>
      </c>
      <c r="M125" s="198"/>
      <c r="N125" s="59">
        <v>49</v>
      </c>
      <c r="P125" s="394"/>
    </row>
    <row r="126" spans="1:16" ht="15" customHeight="1" x14ac:dyDescent="0.2">
      <c r="A126" s="60"/>
      <c r="B126" s="60" t="s">
        <v>487</v>
      </c>
      <c r="C126" s="439">
        <v>6477736.8899999997</v>
      </c>
      <c r="D126" s="180">
        <v>4350236.8899999997</v>
      </c>
      <c r="E126" s="61">
        <v>0</v>
      </c>
      <c r="F126" s="470">
        <f t="shared" si="15"/>
        <v>0</v>
      </c>
      <c r="G126" s="61">
        <v>0</v>
      </c>
      <c r="H126" s="470" t="s">
        <v>135</v>
      </c>
      <c r="I126" s="61">
        <v>0</v>
      </c>
      <c r="J126" s="485" t="s">
        <v>135</v>
      </c>
      <c r="K126" s="61">
        <v>0</v>
      </c>
      <c r="L126" s="386" t="s">
        <v>135</v>
      </c>
      <c r="M126" s="178" t="s">
        <v>135</v>
      </c>
      <c r="N126" s="59">
        <v>5</v>
      </c>
      <c r="P126" s="393"/>
    </row>
    <row r="127" spans="1:16" ht="15" customHeight="1" x14ac:dyDescent="0.2">
      <c r="A127" s="76"/>
      <c r="B127" s="77" t="s">
        <v>351</v>
      </c>
      <c r="C127" s="215">
        <f>SUM(C99:C126)</f>
        <v>473500987.06</v>
      </c>
      <c r="D127" s="218">
        <f>SUM(D99:D126)</f>
        <v>472284955.31999999</v>
      </c>
      <c r="E127" s="78">
        <f>SUM(E99:E126)</f>
        <v>304295249.20000005</v>
      </c>
      <c r="F127" s="472">
        <f t="shared" si="15"/>
        <v>0.64430434586641161</v>
      </c>
      <c r="G127" s="78">
        <f>SUM(G99:G126)</f>
        <v>290552130.15000004</v>
      </c>
      <c r="H127" s="472">
        <f t="shared" si="12"/>
        <v>0.6152051359610522</v>
      </c>
      <c r="I127" s="78">
        <f>SUM(I99:I126)</f>
        <v>32634097.490000002</v>
      </c>
      <c r="J127" s="486">
        <f t="shared" si="13"/>
        <v>6.9098321092799869E-2</v>
      </c>
      <c r="K127" s="78">
        <f>SUM(K99:K126)</f>
        <v>32303625</v>
      </c>
      <c r="L127" s="472">
        <v>7.4999999999999997E-2</v>
      </c>
      <c r="M127" s="203">
        <f t="shared" si="11"/>
        <v>1.0230198313656791E-2</v>
      </c>
      <c r="P127" s="393"/>
    </row>
    <row r="128" spans="1:16" ht="21" customHeight="1" thickBot="1" x14ac:dyDescent="0.25">
      <c r="A128" s="9"/>
      <c r="B128" s="2" t="s">
        <v>3</v>
      </c>
      <c r="C128" s="174">
        <f>C98+C127</f>
        <v>1002147561.6700001</v>
      </c>
      <c r="D128" s="164">
        <f>D98+D127</f>
        <v>1009437961.6700001</v>
      </c>
      <c r="E128" s="85">
        <f>E98+E127</f>
        <v>687788251.41000009</v>
      </c>
      <c r="F128" s="91">
        <f>+E128/D128</f>
        <v>0.68135762426859081</v>
      </c>
      <c r="G128" s="85">
        <f>G98+G127</f>
        <v>674045132.36000013</v>
      </c>
      <c r="H128" s="91">
        <f t="shared" si="12"/>
        <v>0.66774299952507166</v>
      </c>
      <c r="I128" s="85">
        <f>I98+I127</f>
        <v>76865597.49000001</v>
      </c>
      <c r="J128" s="183">
        <f t="shared" si="13"/>
        <v>7.6146925723731093E-2</v>
      </c>
      <c r="K128" s="85">
        <f>K98+K127</f>
        <v>82431853</v>
      </c>
      <c r="L128" s="40">
        <v>8.6999999999999994E-2</v>
      </c>
      <c r="M128" s="155">
        <f t="shared" si="11"/>
        <v>-6.7525541491830765E-2</v>
      </c>
      <c r="P128" s="393"/>
    </row>
    <row r="129" spans="1:16" s="6" customFormat="1" ht="19.5" customHeight="1" thickBot="1" x14ac:dyDescent="0.25">
      <c r="A129" s="5"/>
      <c r="B129" s="4" t="s">
        <v>298</v>
      </c>
      <c r="C129" s="175">
        <f>+C11+C57+C61+C128</f>
        <v>1996110606.4500003</v>
      </c>
      <c r="D129" s="166">
        <f>+D11+D57+D61+D128</f>
        <v>2003110606.4500003</v>
      </c>
      <c r="E129" s="167">
        <f>+E11+E57+E61+E128</f>
        <v>867114910.44000006</v>
      </c>
      <c r="F129" s="195">
        <f>+E129/D129</f>
        <v>0.4328841890447272</v>
      </c>
      <c r="G129" s="167">
        <f>+G11+G57+G61+G128</f>
        <v>836741483.01000011</v>
      </c>
      <c r="H129" s="195">
        <f t="shared" si="12"/>
        <v>0.41772105859541614</v>
      </c>
      <c r="I129" s="167">
        <f>+I11+I57+I61+I128</f>
        <v>106540028.40000001</v>
      </c>
      <c r="J129" s="187">
        <f t="shared" si="13"/>
        <v>5.3187291833482364E-2</v>
      </c>
      <c r="K129" s="158">
        <f>+K11+K57+K61+K128</f>
        <v>116104145</v>
      </c>
      <c r="L129" s="204">
        <v>6.0999999999999999E-2</v>
      </c>
      <c r="M129" s="157">
        <f t="shared" si="11"/>
        <v>-8.2375324326276145E-2</v>
      </c>
      <c r="N129" s="14"/>
      <c r="P129" s="395"/>
    </row>
    <row r="130" spans="1:16" x14ac:dyDescent="0.2">
      <c r="P130" s="394"/>
    </row>
    <row r="131" spans="1:16" x14ac:dyDescent="0.2">
      <c r="P131" s="394"/>
    </row>
    <row r="132" spans="1:16" x14ac:dyDescent="0.2">
      <c r="P132" s="394"/>
    </row>
    <row r="133" spans="1:16" x14ac:dyDescent="0.2">
      <c r="C133" s="384"/>
      <c r="D133" s="384"/>
      <c r="E133" s="384"/>
      <c r="F133" s="473"/>
      <c r="G133" s="384"/>
      <c r="H133" s="473"/>
      <c r="I133" s="384"/>
      <c r="J133" s="473"/>
      <c r="K133" s="384"/>
      <c r="P133" s="393"/>
    </row>
    <row r="134" spans="1:16" x14ac:dyDescent="0.2">
      <c r="C134" s="43"/>
      <c r="D134" s="43"/>
      <c r="P134" s="394"/>
    </row>
    <row r="135" spans="1:16" x14ac:dyDescent="0.2">
      <c r="I135" s="385"/>
      <c r="K135" s="385"/>
      <c r="P135" s="394"/>
    </row>
    <row r="136" spans="1:16" x14ac:dyDescent="0.2">
      <c r="P136" s="394"/>
    </row>
    <row r="137" spans="1:16" x14ac:dyDescent="0.2">
      <c r="P137" s="394"/>
    </row>
    <row r="138" spans="1:16" x14ac:dyDescent="0.2">
      <c r="P138" s="394"/>
    </row>
    <row r="139" spans="1:16" x14ac:dyDescent="0.2">
      <c r="P139" s="394"/>
    </row>
    <row r="140" spans="1:16" x14ac:dyDescent="0.2">
      <c r="P140" s="394"/>
    </row>
    <row r="141" spans="1:16" x14ac:dyDescent="0.2">
      <c r="C141" s="43"/>
      <c r="D141" s="376"/>
      <c r="P141" s="394"/>
    </row>
    <row r="142" spans="1:16" x14ac:dyDescent="0.2">
      <c r="P142" s="394"/>
    </row>
    <row r="143" spans="1:16" x14ac:dyDescent="0.2">
      <c r="P143" s="394"/>
    </row>
    <row r="144" spans="1:16" x14ac:dyDescent="0.2">
      <c r="P144" s="393"/>
    </row>
    <row r="145" spans="16:16" x14ac:dyDescent="0.2">
      <c r="P145" s="393"/>
    </row>
    <row r="146" spans="16:16" x14ac:dyDescent="0.2">
      <c r="P146" s="393"/>
    </row>
    <row r="147" spans="16:16" x14ac:dyDescent="0.2">
      <c r="P147" s="393"/>
    </row>
    <row r="148" spans="16:16" x14ac:dyDescent="0.2">
      <c r="P148" s="393"/>
    </row>
    <row r="149" spans="16:16" x14ac:dyDescent="0.2">
      <c r="P149" s="394"/>
    </row>
    <row r="150" spans="16:16" x14ac:dyDescent="0.2">
      <c r="P150" s="394"/>
    </row>
    <row r="151" spans="16:16" x14ac:dyDescent="0.2">
      <c r="P151" s="394"/>
    </row>
    <row r="152" spans="16:16" x14ac:dyDescent="0.2">
      <c r="P152" s="394"/>
    </row>
    <row r="153" spans="16:16" x14ac:dyDescent="0.2">
      <c r="P153" s="394"/>
    </row>
    <row r="154" spans="16:16" x14ac:dyDescent="0.2">
      <c r="P154" s="393"/>
    </row>
    <row r="155" spans="16:16" x14ac:dyDescent="0.2">
      <c r="P155" s="393"/>
    </row>
    <row r="156" spans="16:16" x14ac:dyDescent="0.2">
      <c r="P156" s="394"/>
    </row>
    <row r="157" spans="16:16" x14ac:dyDescent="0.2">
      <c r="P157" s="393"/>
    </row>
    <row r="158" spans="16:16" x14ac:dyDescent="0.2">
      <c r="P158" s="394"/>
    </row>
    <row r="159" spans="16:16" x14ac:dyDescent="0.2">
      <c r="P159" s="393"/>
    </row>
    <row r="160" spans="16:16" x14ac:dyDescent="0.2">
      <c r="P160" s="394"/>
    </row>
    <row r="161" spans="16:16" x14ac:dyDescent="0.2">
      <c r="P161" s="394"/>
    </row>
    <row r="162" spans="16:16" x14ac:dyDescent="0.2">
      <c r="P162" s="394"/>
    </row>
    <row r="163" spans="16:16" x14ac:dyDescent="0.2">
      <c r="P163" s="393"/>
    </row>
    <row r="164" spans="16:16" x14ac:dyDescent="0.2">
      <c r="P164" s="394"/>
    </row>
    <row r="165" spans="16:16" x14ac:dyDescent="0.2">
      <c r="P165" s="394"/>
    </row>
    <row r="166" spans="16:16" x14ac:dyDescent="0.2">
      <c r="P166" s="394"/>
    </row>
    <row r="167" spans="16:16" x14ac:dyDescent="0.2">
      <c r="P167" s="394"/>
    </row>
    <row r="168" spans="16:16" x14ac:dyDescent="0.2">
      <c r="P168" s="394"/>
    </row>
    <row r="169" spans="16:16" x14ac:dyDescent="0.2">
      <c r="P169" s="394"/>
    </row>
    <row r="170" spans="16:16" x14ac:dyDescent="0.2">
      <c r="P170" s="394"/>
    </row>
    <row r="171" spans="16:16" x14ac:dyDescent="0.2">
      <c r="P171" s="394"/>
    </row>
    <row r="172" spans="16:16" x14ac:dyDescent="0.2">
      <c r="P172" s="394"/>
    </row>
    <row r="173" spans="16:16" x14ac:dyDescent="0.2">
      <c r="P173" s="394"/>
    </row>
    <row r="174" spans="16:16" x14ac:dyDescent="0.2">
      <c r="P174" s="394"/>
    </row>
    <row r="175" spans="16:16" x14ac:dyDescent="0.2">
      <c r="P175" s="394"/>
    </row>
    <row r="176" spans="16:16" x14ac:dyDescent="0.2">
      <c r="P176" s="394"/>
    </row>
    <row r="177" spans="16:16" x14ac:dyDescent="0.2">
      <c r="P177" s="394"/>
    </row>
    <row r="178" spans="16:16" x14ac:dyDescent="0.2">
      <c r="P178" s="394"/>
    </row>
    <row r="179" spans="16:16" x14ac:dyDescent="0.2">
      <c r="P179" s="394"/>
    </row>
    <row r="180" spans="16:16" x14ac:dyDescent="0.2">
      <c r="P180" s="393"/>
    </row>
    <row r="181" spans="16:16" x14ac:dyDescent="0.2">
      <c r="P181" s="394"/>
    </row>
    <row r="182" spans="16:16" x14ac:dyDescent="0.2">
      <c r="P182" s="394"/>
    </row>
    <row r="183" spans="16:16" x14ac:dyDescent="0.2">
      <c r="P183" s="394"/>
    </row>
    <row r="184" spans="16:16" x14ac:dyDescent="0.2">
      <c r="P184" s="394"/>
    </row>
    <row r="185" spans="16:16" x14ac:dyDescent="0.2">
      <c r="P185" s="394"/>
    </row>
    <row r="186" spans="16:16" x14ac:dyDescent="0.2">
      <c r="P186" s="394"/>
    </row>
    <row r="187" spans="16:16" x14ac:dyDescent="0.2">
      <c r="P187" s="394"/>
    </row>
    <row r="188" spans="16:16" x14ac:dyDescent="0.2">
      <c r="P188" s="394"/>
    </row>
    <row r="189" spans="16:16" x14ac:dyDescent="0.2">
      <c r="P189" s="394"/>
    </row>
    <row r="190" spans="16:16" x14ac:dyDescent="0.2">
      <c r="P190" s="394"/>
    </row>
    <row r="191" spans="16:16" x14ac:dyDescent="0.2">
      <c r="P191" s="394"/>
    </row>
    <row r="192" spans="16:16" x14ac:dyDescent="0.2">
      <c r="P192" s="394"/>
    </row>
    <row r="193" spans="16:16" x14ac:dyDescent="0.2">
      <c r="P193" s="394"/>
    </row>
    <row r="194" spans="16:16" x14ac:dyDescent="0.2">
      <c r="P194" s="394"/>
    </row>
    <row r="195" spans="16:16" x14ac:dyDescent="0.2">
      <c r="P195" s="394"/>
    </row>
    <row r="196" spans="16:16" x14ac:dyDescent="0.2">
      <c r="P196" s="394"/>
    </row>
    <row r="197" spans="16:16" x14ac:dyDescent="0.2">
      <c r="P197" s="394"/>
    </row>
    <row r="198" spans="16:16" x14ac:dyDescent="0.2">
      <c r="P198" s="394"/>
    </row>
    <row r="199" spans="16:16" x14ac:dyDescent="0.2">
      <c r="P199" s="394"/>
    </row>
    <row r="200" spans="16:16" x14ac:dyDescent="0.2">
      <c r="P200" s="394"/>
    </row>
    <row r="201" spans="16:16" x14ac:dyDescent="0.2">
      <c r="P201" s="394"/>
    </row>
    <row r="202" spans="16:16" x14ac:dyDescent="0.2">
      <c r="P202" s="393"/>
    </row>
    <row r="203" spans="16:16" x14ac:dyDescent="0.2">
      <c r="P203" s="393"/>
    </row>
    <row r="204" spans="16:16" x14ac:dyDescent="0.2">
      <c r="P204" s="393"/>
    </row>
    <row r="205" spans="16:16" x14ac:dyDescent="0.2">
      <c r="P205" s="394"/>
    </row>
    <row r="206" spans="16:16" x14ac:dyDescent="0.2">
      <c r="P206" s="394"/>
    </row>
    <row r="207" spans="16:16" x14ac:dyDescent="0.2">
      <c r="P207" s="394"/>
    </row>
    <row r="208" spans="16:16" x14ac:dyDescent="0.2">
      <c r="P208" s="394"/>
    </row>
    <row r="209" spans="16:16" x14ac:dyDescent="0.2">
      <c r="P209" s="394"/>
    </row>
    <row r="210" spans="16:16" x14ac:dyDescent="0.2">
      <c r="P210" s="394"/>
    </row>
    <row r="211" spans="16:16" x14ac:dyDescent="0.2">
      <c r="P211" s="394"/>
    </row>
    <row r="212" spans="16:16" x14ac:dyDescent="0.2">
      <c r="P212" s="393"/>
    </row>
    <row r="213" spans="16:16" x14ac:dyDescent="0.2">
      <c r="P213" s="393"/>
    </row>
    <row r="214" spans="16:16" x14ac:dyDescent="0.2">
      <c r="P214" s="393"/>
    </row>
    <row r="215" spans="16:16" x14ac:dyDescent="0.2">
      <c r="P215" s="394"/>
    </row>
    <row r="216" spans="16:16" x14ac:dyDescent="0.2">
      <c r="P216" s="394"/>
    </row>
  </sheetData>
  <sortState ref="B16:N18">
    <sortCondition ref="N16:N18"/>
  </sortState>
  <mergeCells count="4">
    <mergeCell ref="K2:L2"/>
    <mergeCell ref="K64:L64"/>
    <mergeCell ref="D2:J2"/>
    <mergeCell ref="D64:J64"/>
  </mergeCells>
  <hyperlinks>
    <hyperlink ref="B89" r:id="rId1"/>
  </hyperlinks>
  <printOptions horizontalCentered="1"/>
  <pageMargins left="0.51181102362204722" right="0.31496062992125984" top="1.1417322834645669" bottom="0.74803149606299213" header="0.51181102362204722" footer="0.31496062992125984"/>
  <pageSetup paperSize="9" scale="67" orientation="portrait" r:id="rId2"/>
  <headerFooter>
    <oddHeader>&amp;L&amp;"Arial,Negreta"&amp;8&amp;K03+000Ajuntament de Barcelona&amp;C&amp;"Arial,Negreta"&amp;8&amp;K03+000Pressupost 2015
Execució Pressupostària a Gener&amp;R&amp;"Arial,Negreta"&amp;8&amp;K03+000Direcció de Pressupostos i Política Fiscal</oddHeader>
  </headerFooter>
  <rowBreaks count="1" manualBreakCount="1">
    <brk id="6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tabColor rgb="FF92D050"/>
  </sheetPr>
  <dimension ref="A1:R161"/>
  <sheetViews>
    <sheetView topLeftCell="D1" zoomScaleNormal="100" workbookViewId="0">
      <selection activeCell="D15" sqref="D15"/>
    </sheetView>
  </sheetViews>
  <sheetFormatPr defaultColWidth="11.42578125" defaultRowHeight="12" x14ac:dyDescent="0.2"/>
  <cols>
    <col min="1" max="1" width="6.85546875" style="498" customWidth="1"/>
    <col min="2" max="2" width="43.7109375" style="498" bestFit="1" customWidth="1"/>
    <col min="3" max="5" width="16.7109375" style="498" bestFit="1" customWidth="1"/>
    <col min="6" max="6" width="9.28515625" style="499" bestFit="1" customWidth="1"/>
    <col min="7" max="7" width="14.7109375" style="498" bestFit="1" customWidth="1"/>
    <col min="8" max="8" width="9.28515625" style="499" bestFit="1" customWidth="1"/>
    <col min="9" max="9" width="14.7109375" style="498" bestFit="1" customWidth="1"/>
    <col min="10" max="10" width="8" style="499" bestFit="1" customWidth="1"/>
    <col min="11" max="11" width="13.28515625" style="498" customWidth="1"/>
    <col min="12" max="12" width="13.140625" style="499" bestFit="1" customWidth="1"/>
    <col min="13" max="13" width="11.28515625" style="499" bestFit="1" customWidth="1"/>
    <col min="14" max="14" width="16.5703125" style="498" bestFit="1" customWidth="1"/>
    <col min="15" max="15" width="20.42578125" style="500" bestFit="1" customWidth="1"/>
    <col min="16" max="18" width="15.5703125" style="498" bestFit="1" customWidth="1"/>
    <col min="19" max="16384" width="11.42578125" style="498"/>
  </cols>
  <sheetData>
    <row r="1" spans="1:16" ht="15" customHeight="1" thickBot="1" x14ac:dyDescent="0.25">
      <c r="A1" s="497" t="s">
        <v>19</v>
      </c>
      <c r="K1" s="499"/>
    </row>
    <row r="2" spans="1:16" ht="12.75" customHeight="1" x14ac:dyDescent="0.2">
      <c r="A2" s="497" t="s">
        <v>457</v>
      </c>
      <c r="C2" s="176" t="s">
        <v>512</v>
      </c>
      <c r="D2" s="660" t="s">
        <v>510</v>
      </c>
      <c r="E2" s="661"/>
      <c r="F2" s="661"/>
      <c r="G2" s="661"/>
      <c r="H2" s="661"/>
      <c r="I2" s="661"/>
      <c r="J2" s="662"/>
      <c r="K2" s="644" t="s">
        <v>511</v>
      </c>
      <c r="L2" s="645"/>
      <c r="M2" s="501"/>
      <c r="O2" s="630"/>
    </row>
    <row r="3" spans="1:16" ht="12.75" customHeight="1" x14ac:dyDescent="0.2">
      <c r="A3" s="497" t="s">
        <v>556</v>
      </c>
      <c r="C3" s="502" t="s">
        <v>467</v>
      </c>
      <c r="D3" s="503">
        <v>2</v>
      </c>
      <c r="E3" s="504">
        <v>3</v>
      </c>
      <c r="F3" s="505" t="s">
        <v>39</v>
      </c>
      <c r="G3" s="504">
        <v>4</v>
      </c>
      <c r="H3" s="505" t="s">
        <v>40</v>
      </c>
      <c r="I3" s="504">
        <v>5</v>
      </c>
      <c r="J3" s="506" t="s">
        <v>41</v>
      </c>
      <c r="K3" s="504" t="s">
        <v>42</v>
      </c>
      <c r="L3" s="507" t="s">
        <v>43</v>
      </c>
      <c r="M3" s="508" t="s">
        <v>368</v>
      </c>
      <c r="O3" s="631"/>
    </row>
    <row r="4" spans="1:16" ht="14.1" customHeight="1" x14ac:dyDescent="0.2">
      <c r="A4" s="509"/>
      <c r="B4" s="510" t="s">
        <v>443</v>
      </c>
      <c r="C4" s="511" t="s">
        <v>13</v>
      </c>
      <c r="D4" s="512" t="s">
        <v>14</v>
      </c>
      <c r="E4" s="513" t="s">
        <v>15</v>
      </c>
      <c r="F4" s="513" t="s">
        <v>18</v>
      </c>
      <c r="G4" s="513" t="s">
        <v>16</v>
      </c>
      <c r="H4" s="513" t="s">
        <v>18</v>
      </c>
      <c r="I4" s="513" t="s">
        <v>17</v>
      </c>
      <c r="J4" s="514" t="s">
        <v>18</v>
      </c>
      <c r="K4" s="513" t="s">
        <v>17</v>
      </c>
      <c r="L4" s="515" t="s">
        <v>18</v>
      </c>
      <c r="M4" s="516" t="s">
        <v>554</v>
      </c>
      <c r="O4" s="632"/>
    </row>
    <row r="5" spans="1:16" ht="14.1" customHeight="1" x14ac:dyDescent="0.2">
      <c r="A5" s="517" t="s">
        <v>56</v>
      </c>
      <c r="B5" s="13" t="s">
        <v>99</v>
      </c>
      <c r="C5" s="518">
        <v>199301489.00999999</v>
      </c>
      <c r="D5" s="519">
        <v>199301489.00999999</v>
      </c>
      <c r="E5" s="520">
        <v>86412489.340000004</v>
      </c>
      <c r="F5" s="521">
        <f>+E5/D5</f>
        <v>0.43357673727999213</v>
      </c>
      <c r="G5" s="520">
        <v>86412489.340000004</v>
      </c>
      <c r="H5" s="521">
        <f>+G5/D5</f>
        <v>0.43357673727999213</v>
      </c>
      <c r="I5" s="520">
        <v>86412489.340000004</v>
      </c>
      <c r="J5" s="522">
        <f>+I5/D5</f>
        <v>0.43357673727999213</v>
      </c>
      <c r="K5" s="523">
        <v>32696189.870000001</v>
      </c>
      <c r="L5" s="524">
        <v>0.18547810830092962</v>
      </c>
      <c r="M5" s="525">
        <f>+I5/K5-1</f>
        <v>1.6428917156272926</v>
      </c>
      <c r="O5" s="632"/>
    </row>
    <row r="6" spans="1:16" ht="14.1" customHeight="1" x14ac:dyDescent="0.2">
      <c r="A6" s="17">
        <v>0</v>
      </c>
      <c r="B6" s="510" t="s">
        <v>99</v>
      </c>
      <c r="C6" s="526">
        <f>SUBTOTAL(9,C5:C5)</f>
        <v>199301489.00999999</v>
      </c>
      <c r="D6" s="527">
        <f>SUBTOTAL(9,D5:D5)</f>
        <v>199301489.00999999</v>
      </c>
      <c r="E6" s="528">
        <f>SUBTOTAL(9,E5:E5)</f>
        <v>86412489.340000004</v>
      </c>
      <c r="F6" s="529">
        <f t="shared" ref="F6:F75" si="0">+E6/D6</f>
        <v>0.43357673727999213</v>
      </c>
      <c r="G6" s="528">
        <f>SUBTOTAL(9,G5:G5)</f>
        <v>86412489.340000004</v>
      </c>
      <c r="H6" s="529">
        <f t="shared" ref="H6:H75" si="1">+G6/D6</f>
        <v>0.43357673727999213</v>
      </c>
      <c r="I6" s="528">
        <f>SUBTOTAL(9,I5:I5)</f>
        <v>86412489.340000004</v>
      </c>
      <c r="J6" s="530">
        <f t="shared" ref="J6:J75" si="2">+I6/D6</f>
        <v>0.43357673727999213</v>
      </c>
      <c r="K6" s="116">
        <f>SUBTOTAL(9,K5:K5)</f>
        <v>32696189.870000001</v>
      </c>
      <c r="L6" s="531"/>
      <c r="M6" s="532">
        <f t="shared" ref="M6:M75" si="3">+I6/K6-1</f>
        <v>1.6428917156272926</v>
      </c>
      <c r="O6" s="630"/>
    </row>
    <row r="7" spans="1:16" ht="14.1" customHeight="1" x14ac:dyDescent="0.2">
      <c r="A7" s="533" t="s">
        <v>57</v>
      </c>
      <c r="B7" s="37" t="s">
        <v>507</v>
      </c>
      <c r="C7" s="518">
        <v>7623547.1299999999</v>
      </c>
      <c r="D7" s="519">
        <v>7919842.75</v>
      </c>
      <c r="E7" s="520">
        <v>1251339.3899999999</v>
      </c>
      <c r="F7" s="534">
        <f t="shared" si="0"/>
        <v>0.15800053479597179</v>
      </c>
      <c r="G7" s="520">
        <v>1131014.92</v>
      </c>
      <c r="H7" s="534">
        <f t="shared" si="1"/>
        <v>0.1428077495604316</v>
      </c>
      <c r="I7" s="520">
        <v>642134.54</v>
      </c>
      <c r="J7" s="535">
        <f t="shared" si="2"/>
        <v>8.107920324554424E-2</v>
      </c>
      <c r="K7" s="536">
        <v>525274.49</v>
      </c>
      <c r="L7" s="524">
        <v>6.6015696575364005E-2</v>
      </c>
      <c r="M7" s="537">
        <f t="shared" si="3"/>
        <v>0.22247425341367721</v>
      </c>
      <c r="O7" s="632"/>
    </row>
    <row r="8" spans="1:16" ht="14.1" customHeight="1" x14ac:dyDescent="0.2">
      <c r="A8" s="538" t="s">
        <v>58</v>
      </c>
      <c r="B8" s="38" t="s">
        <v>110</v>
      </c>
      <c r="C8" s="518">
        <v>167280142.05000001</v>
      </c>
      <c r="D8" s="519">
        <v>173086918.03999999</v>
      </c>
      <c r="E8" s="520">
        <v>18183296.579999998</v>
      </c>
      <c r="F8" s="539">
        <f t="shared" si="0"/>
        <v>0.10505298023619486</v>
      </c>
      <c r="G8" s="520">
        <v>17946302.140000001</v>
      </c>
      <c r="H8" s="539">
        <f t="shared" si="1"/>
        <v>0.103683758098071</v>
      </c>
      <c r="I8" s="520">
        <v>11196587.84</v>
      </c>
      <c r="J8" s="524">
        <f t="shared" si="2"/>
        <v>6.4687660782153933E-2</v>
      </c>
      <c r="K8" s="540">
        <v>11132032.77</v>
      </c>
      <c r="L8" s="524">
        <v>0.06</v>
      </c>
      <c r="M8" s="541">
        <f t="shared" si="3"/>
        <v>5.7990370073264241E-3</v>
      </c>
      <c r="N8" s="542" t="s">
        <v>154</v>
      </c>
    </row>
    <row r="9" spans="1:16" ht="14.1" customHeight="1" x14ac:dyDescent="0.2">
      <c r="A9" s="538" t="s">
        <v>59</v>
      </c>
      <c r="B9" s="38" t="s">
        <v>126</v>
      </c>
      <c r="C9" s="518">
        <v>51836587</v>
      </c>
      <c r="D9" s="519">
        <v>51836587</v>
      </c>
      <c r="E9" s="520">
        <v>0</v>
      </c>
      <c r="F9" s="539" t="s">
        <v>135</v>
      </c>
      <c r="G9" s="520">
        <v>0</v>
      </c>
      <c r="H9" s="539" t="s">
        <v>135</v>
      </c>
      <c r="I9" s="520">
        <v>0</v>
      </c>
      <c r="J9" s="524">
        <f t="shared" si="2"/>
        <v>0</v>
      </c>
      <c r="K9" s="540">
        <v>129386.75</v>
      </c>
      <c r="L9" s="524">
        <v>2E-3</v>
      </c>
      <c r="M9" s="537">
        <f t="shared" si="3"/>
        <v>-1</v>
      </c>
      <c r="O9" s="543"/>
    </row>
    <row r="10" spans="1:16" ht="14.1" customHeight="1" x14ac:dyDescent="0.2">
      <c r="A10" s="538">
        <v>134</v>
      </c>
      <c r="B10" s="38" t="s">
        <v>515</v>
      </c>
      <c r="C10" s="518">
        <v>15868431.810000001</v>
      </c>
      <c r="D10" s="519">
        <v>16718556.66</v>
      </c>
      <c r="E10" s="520">
        <v>10164650.199999999</v>
      </c>
      <c r="F10" s="539">
        <f t="shared" si="0"/>
        <v>0.60798610829363298</v>
      </c>
      <c r="G10" s="520">
        <v>4439528.33</v>
      </c>
      <c r="H10" s="539">
        <f t="shared" si="1"/>
        <v>0.26554495225187696</v>
      </c>
      <c r="I10" s="520">
        <v>128341.24</v>
      </c>
      <c r="J10" s="524">
        <f t="shared" si="2"/>
        <v>7.6765741570899463E-3</v>
      </c>
      <c r="K10" s="540">
        <v>0</v>
      </c>
      <c r="L10" s="524">
        <v>0</v>
      </c>
      <c r="M10" s="544" t="s">
        <v>135</v>
      </c>
      <c r="N10" s="626" t="s">
        <v>560</v>
      </c>
      <c r="O10" s="543"/>
    </row>
    <row r="11" spans="1:16" ht="14.1" customHeight="1" x14ac:dyDescent="0.2">
      <c r="A11" s="538" t="s">
        <v>60</v>
      </c>
      <c r="B11" s="38" t="s">
        <v>522</v>
      </c>
      <c r="C11" s="518">
        <v>1692440.07</v>
      </c>
      <c r="D11" s="519">
        <v>329402.94</v>
      </c>
      <c r="E11" s="520">
        <v>27490.18</v>
      </c>
      <c r="F11" s="539">
        <f t="shared" si="0"/>
        <v>8.3454567831118931E-2</v>
      </c>
      <c r="G11" s="520">
        <v>27490.18</v>
      </c>
      <c r="H11" s="539">
        <f t="shared" si="1"/>
        <v>8.3454567831118931E-2</v>
      </c>
      <c r="I11" s="520">
        <v>27490.18</v>
      </c>
      <c r="J11" s="524">
        <f t="shared" si="2"/>
        <v>8.3454567831118931E-2</v>
      </c>
      <c r="K11" s="540">
        <v>0</v>
      </c>
      <c r="L11" s="524">
        <v>0</v>
      </c>
      <c r="M11" s="544" t="s">
        <v>135</v>
      </c>
      <c r="N11" s="626" t="s">
        <v>560</v>
      </c>
      <c r="O11" s="545"/>
    </row>
    <row r="12" spans="1:16" ht="14.1" customHeight="1" x14ac:dyDescent="0.2">
      <c r="A12" s="538">
        <v>136</v>
      </c>
      <c r="B12" s="38" t="s">
        <v>516</v>
      </c>
      <c r="C12" s="518">
        <v>39090866.25</v>
      </c>
      <c r="D12" s="519">
        <v>43501814.630000003</v>
      </c>
      <c r="E12" s="520">
        <v>4979303.46</v>
      </c>
      <c r="F12" s="539">
        <f t="shared" si="0"/>
        <v>0.11446197135340053</v>
      </c>
      <c r="G12" s="520">
        <v>4821945.46</v>
      </c>
      <c r="H12" s="539">
        <f t="shared" si="1"/>
        <v>0.11084469696293218</v>
      </c>
      <c r="I12" s="520">
        <v>2903764.27</v>
      </c>
      <c r="J12" s="524">
        <f t="shared" si="2"/>
        <v>6.6750417073348639E-2</v>
      </c>
      <c r="K12" s="540">
        <v>2511996.1800000002</v>
      </c>
      <c r="L12" s="524">
        <v>6.2E-2</v>
      </c>
      <c r="M12" s="544">
        <f>+I12/K12-1</f>
        <v>0.15595887172089573</v>
      </c>
      <c r="N12" s="626" t="s">
        <v>559</v>
      </c>
      <c r="O12" s="545"/>
    </row>
    <row r="13" spans="1:16" ht="14.1" customHeight="1" x14ac:dyDescent="0.2">
      <c r="A13" s="538" t="s">
        <v>61</v>
      </c>
      <c r="B13" s="38" t="s">
        <v>508</v>
      </c>
      <c r="C13" s="518">
        <v>19474656.210000001</v>
      </c>
      <c r="D13" s="519">
        <v>20330406.93</v>
      </c>
      <c r="E13" s="520">
        <v>6905731.4699999997</v>
      </c>
      <c r="F13" s="539">
        <f t="shared" si="0"/>
        <v>0.33967502439952391</v>
      </c>
      <c r="G13" s="520">
        <v>6609075.4699999997</v>
      </c>
      <c r="H13" s="539">
        <f t="shared" si="1"/>
        <v>0.32508328499059708</v>
      </c>
      <c r="I13" s="520">
        <v>644496.41</v>
      </c>
      <c r="J13" s="524">
        <f t="shared" si="2"/>
        <v>3.1701107224222196E-2</v>
      </c>
      <c r="K13" s="540">
        <v>562091.71</v>
      </c>
      <c r="L13" s="524">
        <v>2.7E-2</v>
      </c>
      <c r="M13" s="544">
        <f t="shared" si="3"/>
        <v>0.14660365654565521</v>
      </c>
      <c r="O13" s="545"/>
      <c r="P13" s="545"/>
    </row>
    <row r="14" spans="1:16" ht="14.1" customHeight="1" x14ac:dyDescent="0.2">
      <c r="A14" s="538" t="s">
        <v>62</v>
      </c>
      <c r="B14" s="38" t="s">
        <v>523</v>
      </c>
      <c r="C14" s="518">
        <v>248187563.34999999</v>
      </c>
      <c r="D14" s="519">
        <v>245457173.46000001</v>
      </c>
      <c r="E14" s="520">
        <v>28943395.620000001</v>
      </c>
      <c r="F14" s="539">
        <f t="shared" si="0"/>
        <v>0.11791627521823742</v>
      </c>
      <c r="G14" s="520">
        <v>27345570.02</v>
      </c>
      <c r="H14" s="539">
        <f t="shared" si="1"/>
        <v>0.11140668506254214</v>
      </c>
      <c r="I14" s="520">
        <v>20971497.059999999</v>
      </c>
      <c r="J14" s="524">
        <f t="shared" si="2"/>
        <v>8.543851770303848E-2</v>
      </c>
      <c r="K14" s="540">
        <v>2930027.65</v>
      </c>
      <c r="L14" s="524">
        <v>0.01</v>
      </c>
      <c r="M14" s="544">
        <f t="shared" si="3"/>
        <v>6.1574399852506509</v>
      </c>
      <c r="O14" s="545"/>
      <c r="P14" s="545"/>
    </row>
    <row r="15" spans="1:16" ht="14.1" customHeight="1" x14ac:dyDescent="0.2">
      <c r="A15" s="538">
        <v>152</v>
      </c>
      <c r="B15" s="38" t="s">
        <v>517</v>
      </c>
      <c r="C15" s="518">
        <v>31658076.68</v>
      </c>
      <c r="D15" s="519">
        <v>31658076.68</v>
      </c>
      <c r="E15" s="520">
        <v>4429593.42</v>
      </c>
      <c r="F15" s="539">
        <f t="shared" si="0"/>
        <v>0.13991985251581621</v>
      </c>
      <c r="G15" s="520">
        <v>4369593.42</v>
      </c>
      <c r="H15" s="539">
        <f t="shared" si="1"/>
        <v>0.1380246015627504</v>
      </c>
      <c r="I15" s="520">
        <v>431500</v>
      </c>
      <c r="J15" s="524">
        <f t="shared" si="2"/>
        <v>1.3630013104131505E-2</v>
      </c>
      <c r="K15" s="540">
        <v>430000</v>
      </c>
      <c r="L15" s="524">
        <v>3.5999999999999997E-2</v>
      </c>
      <c r="M15" s="544">
        <f t="shared" si="3"/>
        <v>3.4883720930232176E-3</v>
      </c>
      <c r="N15" s="626" t="s">
        <v>558</v>
      </c>
      <c r="O15" s="545"/>
      <c r="P15" s="545"/>
    </row>
    <row r="16" spans="1:16" ht="14.1" customHeight="1" x14ac:dyDescent="0.2">
      <c r="A16" s="538" t="s">
        <v>63</v>
      </c>
      <c r="B16" s="38" t="s">
        <v>524</v>
      </c>
      <c r="C16" s="518">
        <v>76359469.819999993</v>
      </c>
      <c r="D16" s="519">
        <v>76237457.849999994</v>
      </c>
      <c r="E16" s="520">
        <v>7902193.21</v>
      </c>
      <c r="F16" s="539">
        <f t="shared" si="0"/>
        <v>0.10365237027640475</v>
      </c>
      <c r="G16" s="520">
        <v>7054987.4100000001</v>
      </c>
      <c r="H16" s="539">
        <f t="shared" si="1"/>
        <v>9.2539646637758405E-2</v>
      </c>
      <c r="I16" s="520">
        <v>270266.17</v>
      </c>
      <c r="J16" s="524">
        <f t="shared" si="2"/>
        <v>3.5450574772805071E-3</v>
      </c>
      <c r="K16" s="540">
        <f>294526.95+0</f>
        <v>294526.95</v>
      </c>
      <c r="L16" s="524">
        <f>K16/(32882208+10649162)</f>
        <v>6.7658552901045848E-3</v>
      </c>
      <c r="M16" s="544">
        <f t="shared" si="3"/>
        <v>-8.2372020624937758E-2</v>
      </c>
      <c r="N16" s="626" t="s">
        <v>570</v>
      </c>
      <c r="O16" s="545"/>
    </row>
    <row r="17" spans="1:15" ht="14.1" customHeight="1" x14ac:dyDescent="0.2">
      <c r="A17" s="538">
        <v>160</v>
      </c>
      <c r="B17" s="627" t="s">
        <v>168</v>
      </c>
      <c r="C17" s="518">
        <v>22800419.210000001</v>
      </c>
      <c r="D17" s="519">
        <v>23002356.23</v>
      </c>
      <c r="E17" s="520">
        <v>16283751.539999999</v>
      </c>
      <c r="F17" s="539">
        <f t="shared" si="0"/>
        <v>0.70791667502142663</v>
      </c>
      <c r="G17" s="520">
        <v>16283751.539999999</v>
      </c>
      <c r="H17" s="539">
        <f t="shared" si="1"/>
        <v>0.70791667502142663</v>
      </c>
      <c r="I17" s="520">
        <v>0</v>
      </c>
      <c r="J17" s="524">
        <f t="shared" si="2"/>
        <v>0</v>
      </c>
      <c r="K17" s="540">
        <v>538923</v>
      </c>
      <c r="L17" s="558">
        <v>2.3E-2</v>
      </c>
      <c r="M17" s="544">
        <f t="shared" si="3"/>
        <v>-1</v>
      </c>
      <c r="N17" s="626" t="s">
        <v>557</v>
      </c>
      <c r="O17" s="545"/>
    </row>
    <row r="18" spans="1:15" ht="14.1" customHeight="1" x14ac:dyDescent="0.2">
      <c r="A18" s="538" t="s">
        <v>64</v>
      </c>
      <c r="B18" s="627" t="s">
        <v>525</v>
      </c>
      <c r="C18" s="518">
        <v>2253145.13</v>
      </c>
      <c r="D18" s="519">
        <v>2253145.13</v>
      </c>
      <c r="E18" s="520">
        <v>0</v>
      </c>
      <c r="F18" s="539" t="s">
        <v>135</v>
      </c>
      <c r="G18" s="520">
        <v>0</v>
      </c>
      <c r="H18" s="539" t="s">
        <v>135</v>
      </c>
      <c r="I18" s="520">
        <v>0</v>
      </c>
      <c r="J18" s="524">
        <f t="shared" si="2"/>
        <v>0</v>
      </c>
      <c r="K18" s="540">
        <v>0</v>
      </c>
      <c r="L18" s="558">
        <v>0</v>
      </c>
      <c r="M18" s="544" t="s">
        <v>135</v>
      </c>
      <c r="N18" s="626" t="s">
        <v>560</v>
      </c>
    </row>
    <row r="19" spans="1:15" ht="14.1" customHeight="1" x14ac:dyDescent="0.2">
      <c r="A19" s="538" t="s">
        <v>65</v>
      </c>
      <c r="B19" s="38" t="s">
        <v>125</v>
      </c>
      <c r="C19" s="518">
        <v>158630554.56</v>
      </c>
      <c r="D19" s="519">
        <v>158626747.56</v>
      </c>
      <c r="E19" s="520">
        <v>697507.97</v>
      </c>
      <c r="F19" s="539">
        <f t="shared" si="0"/>
        <v>4.3971649216105252E-3</v>
      </c>
      <c r="G19" s="520">
        <v>697507.97</v>
      </c>
      <c r="H19" s="539">
        <f t="shared" si="1"/>
        <v>4.3971649216105252E-3</v>
      </c>
      <c r="I19" s="520">
        <v>22507.97</v>
      </c>
      <c r="J19" s="524">
        <f t="shared" si="2"/>
        <v>1.418926526970897E-4</v>
      </c>
      <c r="K19" s="540">
        <v>18035.91</v>
      </c>
      <c r="L19" s="524">
        <v>0</v>
      </c>
      <c r="M19" s="544">
        <f t="shared" si="3"/>
        <v>0.24795311132069298</v>
      </c>
    </row>
    <row r="20" spans="1:15" ht="14.1" customHeight="1" x14ac:dyDescent="0.2">
      <c r="A20" s="538" t="s">
        <v>66</v>
      </c>
      <c r="B20" s="38" t="s">
        <v>102</v>
      </c>
      <c r="C20" s="518">
        <v>168939654.47999999</v>
      </c>
      <c r="D20" s="519">
        <v>169042394.24000001</v>
      </c>
      <c r="E20" s="520">
        <v>126199.76</v>
      </c>
      <c r="F20" s="539">
        <f t="shared" si="0"/>
        <v>7.4655686561577177E-4</v>
      </c>
      <c r="G20" s="520">
        <v>126199.76</v>
      </c>
      <c r="H20" s="539">
        <f t="shared" si="1"/>
        <v>7.4655686561577177E-4</v>
      </c>
      <c r="I20" s="520">
        <v>106490.85</v>
      </c>
      <c r="J20" s="524">
        <f t="shared" si="2"/>
        <v>6.2996534377529178E-4</v>
      </c>
      <c r="K20" s="540">
        <v>114364.77</v>
      </c>
      <c r="L20" s="524">
        <v>1E-3</v>
      </c>
      <c r="M20" s="544">
        <f t="shared" si="3"/>
        <v>-6.8849174444192918E-2</v>
      </c>
    </row>
    <row r="21" spans="1:15" ht="14.1" customHeight="1" x14ac:dyDescent="0.2">
      <c r="A21" s="538" t="s">
        <v>67</v>
      </c>
      <c r="B21" s="38" t="s">
        <v>540</v>
      </c>
      <c r="C21" s="518">
        <v>12029885</v>
      </c>
      <c r="D21" s="519">
        <v>12029885</v>
      </c>
      <c r="E21" s="520">
        <v>0</v>
      </c>
      <c r="F21" s="539" t="s">
        <v>135</v>
      </c>
      <c r="G21" s="520">
        <v>0</v>
      </c>
      <c r="H21" s="539" t="s">
        <v>135</v>
      </c>
      <c r="I21" s="520">
        <v>0</v>
      </c>
      <c r="J21" s="524">
        <f t="shared" si="2"/>
        <v>0</v>
      </c>
      <c r="K21" s="540">
        <v>0</v>
      </c>
      <c r="L21" s="524">
        <v>0</v>
      </c>
      <c r="M21" s="544" t="s">
        <v>135</v>
      </c>
    </row>
    <row r="22" spans="1:15" ht="14.1" customHeight="1" x14ac:dyDescent="0.2">
      <c r="A22" s="538" t="s">
        <v>68</v>
      </c>
      <c r="B22" s="38" t="s">
        <v>103</v>
      </c>
      <c r="C22" s="518">
        <v>36992943.420000002</v>
      </c>
      <c r="D22" s="519">
        <v>36982859.649999999</v>
      </c>
      <c r="E22" s="520">
        <v>345286.61</v>
      </c>
      <c r="F22" s="539">
        <f t="shared" si="0"/>
        <v>9.3363956510593947E-3</v>
      </c>
      <c r="G22" s="520">
        <v>345286.61</v>
      </c>
      <c r="H22" s="539">
        <f t="shared" si="1"/>
        <v>9.3363956510593947E-3</v>
      </c>
      <c r="I22" s="520">
        <v>42786.61</v>
      </c>
      <c r="J22" s="524">
        <f t="shared" si="2"/>
        <v>1.156930816192306E-3</v>
      </c>
      <c r="K22" s="540">
        <v>48176.03</v>
      </c>
      <c r="L22" s="524">
        <v>2E-3</v>
      </c>
      <c r="M22" s="544">
        <f t="shared" si="3"/>
        <v>-0.11186932588675325</v>
      </c>
    </row>
    <row r="23" spans="1:15" ht="14.1" customHeight="1" x14ac:dyDescent="0.2">
      <c r="A23" s="538" t="s">
        <v>69</v>
      </c>
      <c r="B23" s="38" t="s">
        <v>116</v>
      </c>
      <c r="C23" s="518">
        <v>1332914.3600000001</v>
      </c>
      <c r="D23" s="519">
        <v>2080514.36</v>
      </c>
      <c r="E23" s="520">
        <v>585558.53</v>
      </c>
      <c r="F23" s="539">
        <f t="shared" si="0"/>
        <v>0.28144892496680485</v>
      </c>
      <c r="G23" s="520">
        <v>347558.53</v>
      </c>
      <c r="H23" s="539">
        <f t="shared" si="1"/>
        <v>0.16705413655496232</v>
      </c>
      <c r="I23" s="520">
        <v>0</v>
      </c>
      <c r="J23" s="524">
        <f t="shared" si="2"/>
        <v>0</v>
      </c>
      <c r="K23" s="540">
        <v>0</v>
      </c>
      <c r="L23" s="524">
        <v>0</v>
      </c>
      <c r="M23" s="544" t="s">
        <v>135</v>
      </c>
    </row>
    <row r="24" spans="1:15" ht="14.1" customHeight="1" x14ac:dyDescent="0.2">
      <c r="A24" s="538" t="s">
        <v>70</v>
      </c>
      <c r="B24" s="38" t="s">
        <v>113</v>
      </c>
      <c r="C24" s="518">
        <v>54635171.149999999</v>
      </c>
      <c r="D24" s="519">
        <v>55135171.149999999</v>
      </c>
      <c r="E24" s="520">
        <v>47494228</v>
      </c>
      <c r="F24" s="539">
        <f t="shared" si="0"/>
        <v>0.86141435692269541</v>
      </c>
      <c r="G24" s="520">
        <v>47494228</v>
      </c>
      <c r="H24" s="539">
        <f t="shared" si="1"/>
        <v>0.86141435692269541</v>
      </c>
      <c r="I24" s="520">
        <v>0</v>
      </c>
      <c r="J24" s="524">
        <f t="shared" si="2"/>
        <v>0</v>
      </c>
      <c r="K24" s="540">
        <v>3878.33</v>
      </c>
      <c r="L24" s="524">
        <v>0</v>
      </c>
      <c r="M24" s="544">
        <f t="shared" si="3"/>
        <v>-1</v>
      </c>
    </row>
    <row r="25" spans="1:15" ht="14.1" customHeight="1" x14ac:dyDescent="0.2">
      <c r="A25" s="546">
        <v>172</v>
      </c>
      <c r="B25" s="39" t="s">
        <v>518</v>
      </c>
      <c r="C25" s="518">
        <v>3147933.73</v>
      </c>
      <c r="D25" s="519">
        <v>3164131.25</v>
      </c>
      <c r="E25" s="520">
        <v>305078.78000000003</v>
      </c>
      <c r="F25" s="539">
        <f t="shared" si="0"/>
        <v>9.6417865093301691E-2</v>
      </c>
      <c r="G25" s="520">
        <v>279078.78000000003</v>
      </c>
      <c r="H25" s="539">
        <f t="shared" si="1"/>
        <v>8.8200759687196928E-2</v>
      </c>
      <c r="I25" s="520">
        <v>39356.42</v>
      </c>
      <c r="J25" s="524">
        <f t="shared" si="2"/>
        <v>1.2438301982574205E-2</v>
      </c>
      <c r="K25" s="540">
        <v>0</v>
      </c>
      <c r="L25" s="524">
        <v>0</v>
      </c>
      <c r="M25" s="544" t="s">
        <v>135</v>
      </c>
      <c r="N25" s="626" t="s">
        <v>560</v>
      </c>
    </row>
    <row r="26" spans="1:15" ht="14.1" customHeight="1" x14ac:dyDescent="0.2">
      <c r="A26" s="546" t="s">
        <v>71</v>
      </c>
      <c r="B26" s="39" t="s">
        <v>137</v>
      </c>
      <c r="C26" s="518">
        <v>2411275.08</v>
      </c>
      <c r="D26" s="519">
        <v>2411275.08</v>
      </c>
      <c r="E26" s="520">
        <v>2024159.32</v>
      </c>
      <c r="F26" s="547">
        <f t="shared" si="0"/>
        <v>0.8394559943778791</v>
      </c>
      <c r="G26" s="520">
        <v>1958159.25</v>
      </c>
      <c r="H26" s="547">
        <f t="shared" si="1"/>
        <v>0.81208455486546971</v>
      </c>
      <c r="I26" s="520">
        <v>0</v>
      </c>
      <c r="J26" s="548">
        <f t="shared" si="2"/>
        <v>0</v>
      </c>
      <c r="K26" s="549">
        <v>39099</v>
      </c>
      <c r="L26" s="628">
        <v>8.9999999999999993E-3</v>
      </c>
      <c r="M26" s="544">
        <f t="shared" si="3"/>
        <v>-1</v>
      </c>
    </row>
    <row r="27" spans="1:15" ht="14.1" customHeight="1" x14ac:dyDescent="0.2">
      <c r="A27" s="17">
        <v>1</v>
      </c>
      <c r="B27" s="510" t="s">
        <v>130</v>
      </c>
      <c r="C27" s="526">
        <f>SUBTOTAL(9,C7:C26)</f>
        <v>1122245676.49</v>
      </c>
      <c r="D27" s="527">
        <f>SUBTOTAL(9,D7:D26)</f>
        <v>1131804716.5899999</v>
      </c>
      <c r="E27" s="528">
        <f>SUBTOTAL(9,E7:E26)</f>
        <v>150648764.03999999</v>
      </c>
      <c r="F27" s="529">
        <f t="shared" si="0"/>
        <v>0.13310490920543938</v>
      </c>
      <c r="G27" s="528">
        <f>SUBTOTAL(9,G7:G26)</f>
        <v>141277277.78999999</v>
      </c>
      <c r="H27" s="529">
        <f t="shared" si="1"/>
        <v>0.12482478268481909</v>
      </c>
      <c r="I27" s="528">
        <f>SUBTOTAL(9,I7:I26)</f>
        <v>37427219.560000002</v>
      </c>
      <c r="J27" s="530">
        <f t="shared" si="2"/>
        <v>3.3068619534263821E-2</v>
      </c>
      <c r="K27" s="116">
        <f>SUBTOTAL(9,K7:K26)</f>
        <v>19277813.539999995</v>
      </c>
      <c r="L27" s="531">
        <v>1.7000000000000001E-2</v>
      </c>
      <c r="M27" s="532">
        <f t="shared" si="3"/>
        <v>0.94146600092076693</v>
      </c>
    </row>
    <row r="28" spans="1:15" ht="14.1" customHeight="1" x14ac:dyDescent="0.2">
      <c r="A28" s="533" t="s">
        <v>72</v>
      </c>
      <c r="B28" s="37" t="s">
        <v>104</v>
      </c>
      <c r="C28" s="518">
        <v>708758.5</v>
      </c>
      <c r="D28" s="519">
        <v>654494.4</v>
      </c>
      <c r="E28" s="520">
        <v>46869.93</v>
      </c>
      <c r="F28" s="534">
        <f t="shared" si="0"/>
        <v>7.1612423269014985E-2</v>
      </c>
      <c r="G28" s="520">
        <v>46869.93</v>
      </c>
      <c r="H28" s="534">
        <f t="shared" si="1"/>
        <v>7.1612423269014985E-2</v>
      </c>
      <c r="I28" s="520">
        <v>46869.93</v>
      </c>
      <c r="J28" s="535">
        <f t="shared" si="2"/>
        <v>7.1612423269014985E-2</v>
      </c>
      <c r="K28" s="536">
        <v>54120.85</v>
      </c>
      <c r="L28" s="535">
        <v>7.1999999999999995E-2</v>
      </c>
      <c r="M28" s="537">
        <f t="shared" si="3"/>
        <v>-0.13397646193657342</v>
      </c>
    </row>
    <row r="29" spans="1:15" ht="14.1" customHeight="1" x14ac:dyDescent="0.2">
      <c r="A29" s="538" t="s">
        <v>73</v>
      </c>
      <c r="B29" s="38" t="s">
        <v>543</v>
      </c>
      <c r="C29" s="518">
        <v>21205708.129999999</v>
      </c>
      <c r="D29" s="519">
        <v>21296408.09</v>
      </c>
      <c r="E29" s="520">
        <v>2350383.91</v>
      </c>
      <c r="F29" s="539">
        <f t="shared" si="0"/>
        <v>0.11036527380895057</v>
      </c>
      <c r="G29" s="520">
        <v>1769427.79</v>
      </c>
      <c r="H29" s="539">
        <f t="shared" si="1"/>
        <v>8.3085738333069301E-2</v>
      </c>
      <c r="I29" s="520">
        <v>994409.75</v>
      </c>
      <c r="J29" s="524">
        <f t="shared" si="2"/>
        <v>4.6693777927130246E-2</v>
      </c>
      <c r="K29" s="540">
        <v>1027830.38</v>
      </c>
      <c r="L29" s="524">
        <v>4.2999999999999997E-2</v>
      </c>
      <c r="M29" s="544">
        <f t="shared" si="3"/>
        <v>-3.2515705558343155E-2</v>
      </c>
    </row>
    <row r="30" spans="1:15" ht="14.1" customHeight="1" x14ac:dyDescent="0.2">
      <c r="A30" s="538" t="s">
        <v>74</v>
      </c>
      <c r="B30" s="38" t="s">
        <v>526</v>
      </c>
      <c r="C30" s="518">
        <v>180790299.88999999</v>
      </c>
      <c r="D30" s="519">
        <v>180762289.88999999</v>
      </c>
      <c r="E30" s="520">
        <v>130443422.95999999</v>
      </c>
      <c r="F30" s="539">
        <f t="shared" si="0"/>
        <v>0.7216296221926557</v>
      </c>
      <c r="G30" s="520">
        <v>128852122.47</v>
      </c>
      <c r="H30" s="539">
        <f t="shared" si="1"/>
        <v>0.71282634529807576</v>
      </c>
      <c r="I30" s="520">
        <v>6937272.7199999997</v>
      </c>
      <c r="J30" s="524">
        <f t="shared" si="2"/>
        <v>3.8377875851326994E-2</v>
      </c>
      <c r="K30" s="549">
        <f>8150000+816295</f>
        <v>8966295</v>
      </c>
      <c r="L30" s="524">
        <f>(816295+8150000)/(108054175+57804050)</f>
        <v>5.4059996120180351E-2</v>
      </c>
      <c r="M30" s="544">
        <f t="shared" si="3"/>
        <v>-0.22629439249991223</v>
      </c>
      <c r="N30" s="626" t="s">
        <v>561</v>
      </c>
    </row>
    <row r="31" spans="1:15" ht="14.1" customHeight="1" x14ac:dyDescent="0.2">
      <c r="A31" s="538" t="s">
        <v>75</v>
      </c>
      <c r="B31" s="38" t="s">
        <v>105</v>
      </c>
      <c r="C31" s="518">
        <v>29950298.399999999</v>
      </c>
      <c r="D31" s="519">
        <v>29968764.34</v>
      </c>
      <c r="E31" s="520">
        <v>13038184.26</v>
      </c>
      <c r="F31" s="539">
        <f t="shared" si="0"/>
        <v>0.43505912062572549</v>
      </c>
      <c r="G31" s="520">
        <v>8402418.4199999999</v>
      </c>
      <c r="H31" s="539">
        <f t="shared" si="1"/>
        <v>0.28037253470558005</v>
      </c>
      <c r="I31" s="520">
        <v>189813.42</v>
      </c>
      <c r="J31" s="524">
        <f t="shared" si="2"/>
        <v>6.3337085855972941E-3</v>
      </c>
      <c r="K31" s="540">
        <v>197316.59</v>
      </c>
      <c r="L31" s="524">
        <v>7.0000000000000001E-3</v>
      </c>
      <c r="M31" s="544">
        <f t="shared" si="3"/>
        <v>-3.8026047378986183E-2</v>
      </c>
      <c r="N31" s="498" t="s">
        <v>154</v>
      </c>
    </row>
    <row r="32" spans="1:15" ht="14.1" customHeight="1" x14ac:dyDescent="0.2">
      <c r="A32" s="550">
        <v>234</v>
      </c>
      <c r="B32" s="38" t="s">
        <v>451</v>
      </c>
      <c r="C32" s="518">
        <v>8908528.6099999994</v>
      </c>
      <c r="D32" s="519">
        <v>8906008.6099999994</v>
      </c>
      <c r="E32" s="520">
        <v>8712230.7100000009</v>
      </c>
      <c r="F32" s="539">
        <f t="shared" si="0"/>
        <v>0.97824189168395626</v>
      </c>
      <c r="G32" s="520">
        <v>8663930.7100000009</v>
      </c>
      <c r="H32" s="539">
        <f t="shared" si="1"/>
        <v>0.97281858679900846</v>
      </c>
      <c r="I32" s="520">
        <v>0</v>
      </c>
      <c r="J32" s="524">
        <f t="shared" si="2"/>
        <v>0</v>
      </c>
      <c r="K32" s="540">
        <v>500000</v>
      </c>
      <c r="L32" s="548">
        <v>6.0999999999999999E-2</v>
      </c>
      <c r="M32" s="544">
        <f t="shared" si="3"/>
        <v>-1</v>
      </c>
    </row>
    <row r="33" spans="1:15" ht="14.1" customHeight="1" x14ac:dyDescent="0.2">
      <c r="A33" s="550">
        <v>239</v>
      </c>
      <c r="B33" s="38" t="s">
        <v>498</v>
      </c>
      <c r="C33" s="518">
        <v>2850236.89</v>
      </c>
      <c r="D33" s="519">
        <v>2850236.89</v>
      </c>
      <c r="E33" s="520">
        <v>0</v>
      </c>
      <c r="F33" s="539" t="s">
        <v>135</v>
      </c>
      <c r="G33" s="520">
        <v>0</v>
      </c>
      <c r="H33" s="539" t="s">
        <v>135</v>
      </c>
      <c r="I33" s="520">
        <v>0</v>
      </c>
      <c r="J33" s="524">
        <f t="shared" si="2"/>
        <v>0</v>
      </c>
      <c r="K33" s="551">
        <v>0</v>
      </c>
      <c r="L33" s="548">
        <v>0</v>
      </c>
      <c r="M33" s="544" t="s">
        <v>135</v>
      </c>
    </row>
    <row r="34" spans="1:15" ht="14.1" customHeight="1" x14ac:dyDescent="0.2">
      <c r="A34" s="17">
        <v>2</v>
      </c>
      <c r="B34" s="510" t="s">
        <v>129</v>
      </c>
      <c r="C34" s="526">
        <f>SUBTOTAL(9,C28:C33)</f>
        <v>244413830.41999996</v>
      </c>
      <c r="D34" s="527">
        <f>SUBTOTAL(9,D28:D33)</f>
        <v>244438202.21999997</v>
      </c>
      <c r="E34" s="528">
        <f>SUBTOTAL(9,E28:E33)</f>
        <v>154591091.77000001</v>
      </c>
      <c r="F34" s="552">
        <f t="shared" si="0"/>
        <v>0.63243425277225895</v>
      </c>
      <c r="G34" s="528">
        <f>SUBTOTAL(9,G28:G33)</f>
        <v>147734769.31999999</v>
      </c>
      <c r="H34" s="553">
        <f>G34/D34</f>
        <v>0.60438494465376291</v>
      </c>
      <c r="I34" s="528">
        <f>SUBTOTAL(9,I28:I33)</f>
        <v>8168365.8199999994</v>
      </c>
      <c r="J34" s="554">
        <f>I34/D34</f>
        <v>3.3416895337203809E-2</v>
      </c>
      <c r="K34" s="116">
        <f>SUBTOTAL(9,K28:K33)</f>
        <v>10745562.82</v>
      </c>
      <c r="L34" s="531">
        <v>0.05</v>
      </c>
      <c r="M34" s="532">
        <f>+I34/K34-1</f>
        <v>-0.23983825167381978</v>
      </c>
    </row>
    <row r="35" spans="1:15" ht="14.1" customHeight="1" x14ac:dyDescent="0.2">
      <c r="A35" s="533">
        <v>311</v>
      </c>
      <c r="B35" s="37" t="s">
        <v>519</v>
      </c>
      <c r="C35" s="555">
        <v>16774924.1</v>
      </c>
      <c r="D35" s="556">
        <v>17946924.100000001</v>
      </c>
      <c r="E35" s="557">
        <v>15721352.92</v>
      </c>
      <c r="F35" s="534">
        <f t="shared" si="0"/>
        <v>0.87599149761824635</v>
      </c>
      <c r="G35" s="557">
        <v>15469352.92</v>
      </c>
      <c r="H35" s="534">
        <f t="shared" si="1"/>
        <v>0.86195009427827241</v>
      </c>
      <c r="I35" s="557">
        <v>2602176.2999999998</v>
      </c>
      <c r="J35" s="535">
        <f t="shared" si="2"/>
        <v>0.14499288488103651</v>
      </c>
      <c r="K35" s="540">
        <v>2583263.4900000002</v>
      </c>
      <c r="L35" s="535">
        <v>0.151</v>
      </c>
      <c r="M35" s="537">
        <f t="shared" si="3"/>
        <v>7.3212856811597504E-3</v>
      </c>
      <c r="N35" s="626" t="s">
        <v>562</v>
      </c>
    </row>
    <row r="36" spans="1:15" ht="14.1" customHeight="1" x14ac:dyDescent="0.2">
      <c r="A36" s="533" t="s">
        <v>76</v>
      </c>
      <c r="B36" s="37" t="s">
        <v>138</v>
      </c>
      <c r="C36" s="555">
        <v>2248848</v>
      </c>
      <c r="D36" s="556">
        <v>2248848</v>
      </c>
      <c r="E36" s="557">
        <v>2248848</v>
      </c>
      <c r="F36" s="534">
        <f t="shared" si="0"/>
        <v>1</v>
      </c>
      <c r="G36" s="557">
        <v>2248848</v>
      </c>
      <c r="H36" s="534">
        <f t="shared" si="1"/>
        <v>1</v>
      </c>
      <c r="I36" s="557">
        <v>0</v>
      </c>
      <c r="J36" s="535">
        <f t="shared" si="2"/>
        <v>0</v>
      </c>
      <c r="K36" s="536">
        <v>0</v>
      </c>
      <c r="L36" s="535">
        <v>0</v>
      </c>
      <c r="M36" s="537" t="s">
        <v>135</v>
      </c>
    </row>
    <row r="37" spans="1:15" ht="14.1" customHeight="1" x14ac:dyDescent="0.2">
      <c r="A37" s="538" t="s">
        <v>77</v>
      </c>
      <c r="B37" s="38" t="s">
        <v>503</v>
      </c>
      <c r="C37" s="555">
        <v>20329827.850000001</v>
      </c>
      <c r="D37" s="556">
        <v>21329827.850000001</v>
      </c>
      <c r="E37" s="557">
        <v>8261679.1600000001</v>
      </c>
      <c r="F37" s="539">
        <f t="shared" si="0"/>
        <v>0.38732985648545681</v>
      </c>
      <c r="G37" s="557">
        <v>8261679.1600000001</v>
      </c>
      <c r="H37" s="539">
        <f t="shared" si="1"/>
        <v>0.38732985648545681</v>
      </c>
      <c r="I37" s="557">
        <v>0</v>
      </c>
      <c r="J37" s="524">
        <f t="shared" si="2"/>
        <v>0</v>
      </c>
      <c r="K37" s="540">
        <v>9720000</v>
      </c>
      <c r="L37" s="524">
        <v>0.129</v>
      </c>
      <c r="M37" s="544">
        <f t="shared" si="3"/>
        <v>-1</v>
      </c>
    </row>
    <row r="38" spans="1:15" ht="14.1" customHeight="1" x14ac:dyDescent="0.2">
      <c r="A38" s="550">
        <v>323</v>
      </c>
      <c r="B38" s="38" t="s">
        <v>527</v>
      </c>
      <c r="C38" s="555">
        <v>39307154.049999997</v>
      </c>
      <c r="D38" s="556">
        <v>39307154.049999997</v>
      </c>
      <c r="E38" s="557">
        <v>39307154.049999997</v>
      </c>
      <c r="F38" s="539">
        <f t="shared" si="0"/>
        <v>1</v>
      </c>
      <c r="G38" s="557">
        <v>39307154.049999997</v>
      </c>
      <c r="H38" s="539">
        <f t="shared" si="1"/>
        <v>1</v>
      </c>
      <c r="I38" s="557">
        <v>9920000</v>
      </c>
      <c r="J38" s="524">
        <f t="shared" si="2"/>
        <v>0.25237136189970488</v>
      </c>
      <c r="K38" s="540">
        <f>0+0</f>
        <v>0</v>
      </c>
      <c r="L38" s="558">
        <f>(K38)/(2047300+7241452)</f>
        <v>0</v>
      </c>
      <c r="M38" s="544" t="s">
        <v>135</v>
      </c>
      <c r="N38" s="626" t="s">
        <v>567</v>
      </c>
    </row>
    <row r="39" spans="1:15" ht="14.1" customHeight="1" x14ac:dyDescent="0.2">
      <c r="A39" s="538" t="s">
        <v>78</v>
      </c>
      <c r="B39" s="38" t="s">
        <v>521</v>
      </c>
      <c r="C39" s="555">
        <v>7463831</v>
      </c>
      <c r="D39" s="556">
        <v>7463831</v>
      </c>
      <c r="E39" s="557">
        <v>7463831</v>
      </c>
      <c r="F39" s="539">
        <f t="shared" si="0"/>
        <v>1</v>
      </c>
      <c r="G39" s="557">
        <v>7463831</v>
      </c>
      <c r="H39" s="539">
        <f t="shared" si="1"/>
        <v>1</v>
      </c>
      <c r="I39" s="557">
        <v>0</v>
      </c>
      <c r="J39" s="524">
        <f t="shared" si="2"/>
        <v>0</v>
      </c>
      <c r="K39" s="520">
        <v>0</v>
      </c>
      <c r="L39" s="524">
        <v>0</v>
      </c>
      <c r="M39" s="544" t="s">
        <v>135</v>
      </c>
      <c r="N39" s="626" t="s">
        <v>565</v>
      </c>
    </row>
    <row r="40" spans="1:15" ht="14.1" customHeight="1" x14ac:dyDescent="0.2">
      <c r="A40" s="538" t="s">
        <v>520</v>
      </c>
      <c r="B40" s="38" t="s">
        <v>118</v>
      </c>
      <c r="C40" s="555">
        <v>14209859.460000001</v>
      </c>
      <c r="D40" s="556">
        <v>14193835.460000001</v>
      </c>
      <c r="E40" s="557">
        <v>10123126.300000001</v>
      </c>
      <c r="F40" s="539">
        <f t="shared" si="0"/>
        <v>0.71320583703596063</v>
      </c>
      <c r="G40" s="557">
        <v>10068371.1</v>
      </c>
      <c r="H40" s="539">
        <f t="shared" si="1"/>
        <v>0.70934816233243825</v>
      </c>
      <c r="I40" s="557">
        <v>0</v>
      </c>
      <c r="J40" s="524">
        <f t="shared" si="2"/>
        <v>0</v>
      </c>
      <c r="K40" s="520">
        <v>0</v>
      </c>
      <c r="L40" s="524">
        <v>0</v>
      </c>
      <c r="M40" s="544" t="s">
        <v>135</v>
      </c>
      <c r="N40" s="626" t="s">
        <v>564</v>
      </c>
    </row>
    <row r="41" spans="1:15" ht="14.1" customHeight="1" x14ac:dyDescent="0.2">
      <c r="A41" s="538">
        <v>328</v>
      </c>
      <c r="B41" s="38" t="s">
        <v>452</v>
      </c>
      <c r="C41" s="555">
        <v>9039781.6799999997</v>
      </c>
      <c r="D41" s="556">
        <v>9039781.6799999997</v>
      </c>
      <c r="E41" s="557">
        <v>7879921.6799999997</v>
      </c>
      <c r="F41" s="539">
        <f t="shared" si="0"/>
        <v>0.8716938040034613</v>
      </c>
      <c r="G41" s="557">
        <v>7879921.6799999997</v>
      </c>
      <c r="H41" s="539">
        <f t="shared" si="1"/>
        <v>0.8716938040034613</v>
      </c>
      <c r="I41" s="557">
        <v>0</v>
      </c>
      <c r="J41" s="524">
        <f t="shared" si="2"/>
        <v>0</v>
      </c>
      <c r="K41" s="520">
        <v>0</v>
      </c>
      <c r="L41" s="524">
        <v>0</v>
      </c>
      <c r="M41" s="544" t="s">
        <v>135</v>
      </c>
      <c r="N41" s="626" t="s">
        <v>563</v>
      </c>
    </row>
    <row r="42" spans="1:15" ht="14.1" customHeight="1" x14ac:dyDescent="0.2">
      <c r="A42" s="538">
        <v>329</v>
      </c>
      <c r="B42" s="38" t="s">
        <v>545</v>
      </c>
      <c r="C42" s="555">
        <v>28919222.559999999</v>
      </c>
      <c r="D42" s="556">
        <v>28919222.559999999</v>
      </c>
      <c r="E42" s="557">
        <v>22679082.559999999</v>
      </c>
      <c r="F42" s="539">
        <f t="shared" si="0"/>
        <v>0.78422172355936248</v>
      </c>
      <c r="G42" s="557">
        <v>22679082.559999999</v>
      </c>
      <c r="H42" s="539">
        <f t="shared" si="1"/>
        <v>0.78422172355936248</v>
      </c>
      <c r="I42" s="557">
        <v>9300000</v>
      </c>
      <c r="J42" s="524">
        <f t="shared" si="2"/>
        <v>0.32158540848409312</v>
      </c>
      <c r="K42" s="540">
        <v>9600000</v>
      </c>
      <c r="L42" s="558">
        <v>0.32800000000000001</v>
      </c>
      <c r="M42" s="544">
        <f t="shared" si="3"/>
        <v>-3.125E-2</v>
      </c>
      <c r="N42" s="626" t="s">
        <v>566</v>
      </c>
    </row>
    <row r="43" spans="1:15" ht="14.1" customHeight="1" x14ac:dyDescent="0.2">
      <c r="A43" s="550" t="s">
        <v>453</v>
      </c>
      <c r="B43" s="38" t="s">
        <v>504</v>
      </c>
      <c r="C43" s="555">
        <v>23154846.73</v>
      </c>
      <c r="D43" s="556">
        <v>20952172.640000001</v>
      </c>
      <c r="E43" s="557">
        <v>10010405.050000001</v>
      </c>
      <c r="F43" s="539">
        <f t="shared" si="0"/>
        <v>0.47777408204860994</v>
      </c>
      <c r="G43" s="557">
        <v>10010405.050000001</v>
      </c>
      <c r="H43" s="539">
        <f t="shared" si="1"/>
        <v>0.47777408204860994</v>
      </c>
      <c r="I43" s="557">
        <v>31599.08</v>
      </c>
      <c r="J43" s="524">
        <f t="shared" si="2"/>
        <v>1.5081529034212846E-3</v>
      </c>
      <c r="K43" s="540">
        <v>1026458.5</v>
      </c>
      <c r="L43" s="524">
        <v>4.4999999999999998E-2</v>
      </c>
      <c r="M43" s="544">
        <f t="shared" si="3"/>
        <v>-0.96921543345395844</v>
      </c>
    </row>
    <row r="44" spans="1:15" ht="14.1" customHeight="1" x14ac:dyDescent="0.2">
      <c r="A44" s="538" t="s">
        <v>79</v>
      </c>
      <c r="B44" s="38" t="s">
        <v>114</v>
      </c>
      <c r="C44" s="555">
        <v>12497819.630000001</v>
      </c>
      <c r="D44" s="556">
        <v>12478019.630000001</v>
      </c>
      <c r="E44" s="557">
        <v>12405811.1</v>
      </c>
      <c r="F44" s="539">
        <f t="shared" si="0"/>
        <v>0.99421314181728038</v>
      </c>
      <c r="G44" s="557">
        <v>12375666.1</v>
      </c>
      <c r="H44" s="539">
        <f t="shared" si="1"/>
        <v>0.99179729371847436</v>
      </c>
      <c r="I44" s="557">
        <v>0</v>
      </c>
      <c r="J44" s="524">
        <f t="shared" si="2"/>
        <v>0</v>
      </c>
      <c r="K44" s="540">
        <v>1600000</v>
      </c>
      <c r="L44" s="524">
        <v>0.13</v>
      </c>
      <c r="M44" s="544">
        <f t="shared" si="3"/>
        <v>-1</v>
      </c>
    </row>
    <row r="45" spans="1:15" ht="14.1" customHeight="1" x14ac:dyDescent="0.2">
      <c r="A45" s="538" t="s">
        <v>80</v>
      </c>
      <c r="B45" s="38" t="s">
        <v>528</v>
      </c>
      <c r="C45" s="555">
        <v>64496879.130000003</v>
      </c>
      <c r="D45" s="556">
        <v>64496879.130000003</v>
      </c>
      <c r="E45" s="557">
        <v>64496879.130000003</v>
      </c>
      <c r="F45" s="539">
        <f t="shared" si="0"/>
        <v>1</v>
      </c>
      <c r="G45" s="557">
        <v>64496879.130000003</v>
      </c>
      <c r="H45" s="539">
        <f t="shared" si="1"/>
        <v>1</v>
      </c>
      <c r="I45" s="557">
        <v>17000000</v>
      </c>
      <c r="J45" s="524">
        <f t="shared" si="2"/>
        <v>0.26357864487884408</v>
      </c>
      <c r="K45" s="520">
        <v>0</v>
      </c>
      <c r="L45" s="524">
        <v>0</v>
      </c>
      <c r="M45" s="544" t="s">
        <v>135</v>
      </c>
      <c r="N45" s="626" t="s">
        <v>568</v>
      </c>
      <c r="O45" s="545"/>
    </row>
    <row r="46" spans="1:15" ht="14.1" customHeight="1" x14ac:dyDescent="0.2">
      <c r="A46" s="538" t="s">
        <v>81</v>
      </c>
      <c r="B46" s="38" t="s">
        <v>106</v>
      </c>
      <c r="C46" s="555">
        <v>16590471.789999999</v>
      </c>
      <c r="D46" s="556">
        <v>16624046.35</v>
      </c>
      <c r="E46" s="557">
        <v>13846580.460000001</v>
      </c>
      <c r="F46" s="539">
        <f t="shared" si="0"/>
        <v>0.83292479872086023</v>
      </c>
      <c r="G46" s="557">
        <v>13808860.460000001</v>
      </c>
      <c r="H46" s="539">
        <f t="shared" si="1"/>
        <v>0.83065579638497589</v>
      </c>
      <c r="I46" s="557">
        <v>3171.57</v>
      </c>
      <c r="J46" s="524">
        <f t="shared" si="2"/>
        <v>1.9078207153819685E-4</v>
      </c>
      <c r="K46" s="540">
        <v>13417747</v>
      </c>
      <c r="L46" s="558">
        <v>0.48399999999999999</v>
      </c>
      <c r="M46" s="544">
        <f t="shared" si="3"/>
        <v>-0.99976362872246738</v>
      </c>
      <c r="O46" s="545"/>
    </row>
    <row r="47" spans="1:15" ht="14.1" customHeight="1" x14ac:dyDescent="0.2">
      <c r="A47" s="550">
        <v>336</v>
      </c>
      <c r="B47" s="38" t="s">
        <v>529</v>
      </c>
      <c r="C47" s="555">
        <v>211322.62</v>
      </c>
      <c r="D47" s="556">
        <v>211322.62</v>
      </c>
      <c r="E47" s="557">
        <v>211322.62</v>
      </c>
      <c r="F47" s="539">
        <f t="shared" si="0"/>
        <v>1</v>
      </c>
      <c r="G47" s="557">
        <v>211322.62</v>
      </c>
      <c r="H47" s="539">
        <f t="shared" si="1"/>
        <v>1</v>
      </c>
      <c r="I47" s="557">
        <v>0</v>
      </c>
      <c r="J47" s="524">
        <f t="shared" si="2"/>
        <v>0</v>
      </c>
      <c r="K47" s="520">
        <v>0</v>
      </c>
      <c r="L47" s="524">
        <v>0</v>
      </c>
      <c r="M47" s="544" t="s">
        <v>135</v>
      </c>
    </row>
    <row r="48" spans="1:15" ht="14.1" customHeight="1" x14ac:dyDescent="0.2">
      <c r="A48" s="550">
        <v>337</v>
      </c>
      <c r="B48" s="38" t="s">
        <v>530</v>
      </c>
      <c r="C48" s="555">
        <v>13215052.93</v>
      </c>
      <c r="D48" s="556">
        <v>13149272.68</v>
      </c>
      <c r="E48" s="557">
        <v>6648131.4400000004</v>
      </c>
      <c r="F48" s="539">
        <f t="shared" si="0"/>
        <v>0.50558929012946752</v>
      </c>
      <c r="G48" s="557">
        <v>6416976.2400000002</v>
      </c>
      <c r="H48" s="539">
        <f t="shared" si="1"/>
        <v>0.48800997562094822</v>
      </c>
      <c r="I48" s="557">
        <v>142279.54999999999</v>
      </c>
      <c r="J48" s="524">
        <f t="shared" si="2"/>
        <v>1.0820336110027341E-2</v>
      </c>
      <c r="K48" s="629">
        <v>0</v>
      </c>
      <c r="L48" s="524">
        <v>0</v>
      </c>
      <c r="M48" s="544" t="s">
        <v>135</v>
      </c>
      <c r="N48" s="626" t="s">
        <v>565</v>
      </c>
    </row>
    <row r="49" spans="1:18" ht="14.1" customHeight="1" x14ac:dyDescent="0.2">
      <c r="A49" s="550">
        <v>338</v>
      </c>
      <c r="B49" s="38" t="s">
        <v>531</v>
      </c>
      <c r="C49" s="555">
        <v>6508517.5999999996</v>
      </c>
      <c r="D49" s="556">
        <v>6510119.04</v>
      </c>
      <c r="E49" s="557">
        <v>4168729.38</v>
      </c>
      <c r="F49" s="539">
        <f t="shared" si="0"/>
        <v>0.64034610648225565</v>
      </c>
      <c r="G49" s="557">
        <v>3947784.57</v>
      </c>
      <c r="H49" s="539">
        <f t="shared" si="1"/>
        <v>0.60640743214428228</v>
      </c>
      <c r="I49" s="557">
        <v>33588.51</v>
      </c>
      <c r="J49" s="524">
        <f t="shared" si="2"/>
        <v>5.159431001740945E-3</v>
      </c>
      <c r="K49" s="540">
        <v>17310</v>
      </c>
      <c r="L49" s="524">
        <v>3.0000000000000001E-3</v>
      </c>
      <c r="M49" s="544">
        <f t="shared" si="3"/>
        <v>0.94041074523396895</v>
      </c>
    </row>
    <row r="50" spans="1:18" ht="14.1" customHeight="1" x14ac:dyDescent="0.2">
      <c r="A50" s="550" t="s">
        <v>82</v>
      </c>
      <c r="B50" s="38" t="s">
        <v>119</v>
      </c>
      <c r="C50" s="555">
        <v>13397166.07</v>
      </c>
      <c r="D50" s="556">
        <v>13378014.07</v>
      </c>
      <c r="E50" s="557">
        <v>10629493.77</v>
      </c>
      <c r="F50" s="547">
        <f t="shared" si="0"/>
        <v>0.79454945363202178</v>
      </c>
      <c r="G50" s="557">
        <v>10602368.17</v>
      </c>
      <c r="H50" s="547">
        <f t="shared" si="1"/>
        <v>0.79252182831648044</v>
      </c>
      <c r="I50" s="557">
        <v>2000000</v>
      </c>
      <c r="J50" s="548">
        <f t="shared" si="2"/>
        <v>0.14949902052240852</v>
      </c>
      <c r="K50" s="549">
        <v>1900000</v>
      </c>
      <c r="L50" s="548">
        <v>0.111</v>
      </c>
      <c r="M50" s="544">
        <f t="shared" si="3"/>
        <v>5.2631578947368363E-2</v>
      </c>
    </row>
    <row r="51" spans="1:18" ht="14.1" customHeight="1" x14ac:dyDescent="0.2">
      <c r="A51" s="550">
        <v>342</v>
      </c>
      <c r="B51" s="38" t="s">
        <v>532</v>
      </c>
      <c r="C51" s="555">
        <v>5026210.57</v>
      </c>
      <c r="D51" s="556">
        <v>5026210.57</v>
      </c>
      <c r="E51" s="557">
        <v>4667210.57</v>
      </c>
      <c r="F51" s="547">
        <f t="shared" si="0"/>
        <v>0.92857442102748988</v>
      </c>
      <c r="G51" s="557">
        <v>4667210.57</v>
      </c>
      <c r="H51" s="547">
        <f t="shared" si="1"/>
        <v>0.92857442102748988</v>
      </c>
      <c r="I51" s="557">
        <v>0</v>
      </c>
      <c r="J51" s="548">
        <f t="shared" si="2"/>
        <v>0</v>
      </c>
      <c r="K51" s="113">
        <v>0</v>
      </c>
      <c r="L51" s="548">
        <v>0</v>
      </c>
      <c r="M51" s="544" t="s">
        <v>135</v>
      </c>
    </row>
    <row r="52" spans="1:18" ht="14.1" customHeight="1" x14ac:dyDescent="0.2">
      <c r="A52" s="550">
        <v>343</v>
      </c>
      <c r="B52" s="38" t="s">
        <v>455</v>
      </c>
      <c r="C52" s="555">
        <v>7608676.7199999997</v>
      </c>
      <c r="D52" s="556">
        <v>7608676.7199999997</v>
      </c>
      <c r="E52" s="557">
        <v>7608676.7199999997</v>
      </c>
      <c r="F52" s="547">
        <f t="shared" si="0"/>
        <v>1</v>
      </c>
      <c r="G52" s="557">
        <v>7608676.7199999997</v>
      </c>
      <c r="H52" s="547">
        <f t="shared" si="1"/>
        <v>1</v>
      </c>
      <c r="I52" s="557">
        <v>0</v>
      </c>
      <c r="J52" s="548">
        <f t="shared" si="2"/>
        <v>0</v>
      </c>
      <c r="K52" s="113">
        <v>0</v>
      </c>
      <c r="L52" s="548">
        <v>0</v>
      </c>
      <c r="M52" s="544" t="s">
        <v>135</v>
      </c>
    </row>
    <row r="53" spans="1:18" ht="14.1" customHeight="1" x14ac:dyDescent="0.2">
      <c r="A53" s="17">
        <v>3</v>
      </c>
      <c r="B53" s="510" t="s">
        <v>128</v>
      </c>
      <c r="C53" s="526">
        <f>SUBTOTAL(9,C35:C52)</f>
        <v>301000412.49000001</v>
      </c>
      <c r="D53" s="527">
        <f>SUBTOTAL(9,D35:D52)</f>
        <v>300884158.15000004</v>
      </c>
      <c r="E53" s="528">
        <f>SUBTOTAL(9,E35:E52)</f>
        <v>248378235.91</v>
      </c>
      <c r="F53" s="529">
        <f t="shared" si="0"/>
        <v>0.82549456055501524</v>
      </c>
      <c r="G53" s="528">
        <f>SUBTOTAL(9,G35:G52)</f>
        <v>247524390.09999999</v>
      </c>
      <c r="H53" s="529">
        <f t="shared" si="1"/>
        <v>0.8226567713698022</v>
      </c>
      <c r="I53" s="528">
        <f>SUBTOTAL(9,I35:I52)</f>
        <v>41032815.00999999</v>
      </c>
      <c r="J53" s="530">
        <f t="shared" si="2"/>
        <v>0.13637412904119686</v>
      </c>
      <c r="K53" s="116">
        <f>SUBTOTAL(9,K35:K52)</f>
        <v>39864778.990000002</v>
      </c>
      <c r="L53" s="531">
        <v>0.128</v>
      </c>
      <c r="M53" s="532">
        <f t="shared" si="3"/>
        <v>2.9299949719851393E-2</v>
      </c>
    </row>
    <row r="54" spans="1:18" ht="14.1" customHeight="1" x14ac:dyDescent="0.2">
      <c r="A54" s="533">
        <v>430</v>
      </c>
      <c r="B54" s="37" t="s">
        <v>533</v>
      </c>
      <c r="C54" s="555">
        <v>3157718.66</v>
      </c>
      <c r="D54" s="556">
        <v>3422094.52</v>
      </c>
      <c r="E54" s="557">
        <v>307845.05</v>
      </c>
      <c r="F54" s="547">
        <f t="shared" si="0"/>
        <v>8.9958079240897174E-2</v>
      </c>
      <c r="G54" s="557">
        <v>272845.05</v>
      </c>
      <c r="H54" s="547">
        <f t="shared" si="1"/>
        <v>7.9730424862724122E-2</v>
      </c>
      <c r="I54" s="557">
        <v>249736.05</v>
      </c>
      <c r="J54" s="524">
        <f t="shared" si="2"/>
        <v>7.2977543004861242E-2</v>
      </c>
      <c r="K54" s="536">
        <v>87380.98</v>
      </c>
      <c r="L54" s="524">
        <v>3.2000000000000001E-2</v>
      </c>
      <c r="M54" s="537">
        <f t="shared" si="3"/>
        <v>1.8580138377939912</v>
      </c>
    </row>
    <row r="55" spans="1:18" ht="14.1" customHeight="1" x14ac:dyDescent="0.2">
      <c r="A55" s="533" t="s">
        <v>83</v>
      </c>
      <c r="B55" s="37" t="s">
        <v>107</v>
      </c>
      <c r="C55" s="555">
        <v>25783615.18</v>
      </c>
      <c r="D55" s="556">
        <v>25785202.039999999</v>
      </c>
      <c r="E55" s="557">
        <v>17137633.07</v>
      </c>
      <c r="F55" s="534">
        <f t="shared" si="0"/>
        <v>0.66463055218317768</v>
      </c>
      <c r="G55" s="557">
        <v>16902663.07</v>
      </c>
      <c r="H55" s="534">
        <f t="shared" si="1"/>
        <v>0.65551796118484096</v>
      </c>
      <c r="I55" s="557">
        <v>32709.42</v>
      </c>
      <c r="J55" s="535">
        <f t="shared" si="2"/>
        <v>1.2685345629349196E-3</v>
      </c>
      <c r="K55" s="536">
        <v>1005987.91</v>
      </c>
      <c r="L55" s="535">
        <v>3.4000000000000002E-2</v>
      </c>
      <c r="M55" s="537">
        <f t="shared" si="3"/>
        <v>-0.96748527524550465</v>
      </c>
    </row>
    <row r="56" spans="1:18" ht="14.1" customHeight="1" x14ac:dyDescent="0.2">
      <c r="A56" s="538" t="s">
        <v>84</v>
      </c>
      <c r="B56" s="38" t="s">
        <v>534</v>
      </c>
      <c r="C56" s="555">
        <v>4243112</v>
      </c>
      <c r="D56" s="556">
        <v>4243112</v>
      </c>
      <c r="E56" s="557">
        <v>1142000</v>
      </c>
      <c r="F56" s="539">
        <f t="shared" si="0"/>
        <v>0.26914208250925264</v>
      </c>
      <c r="G56" s="557">
        <v>1142000</v>
      </c>
      <c r="H56" s="539">
        <f t="shared" si="1"/>
        <v>0.26914208250925264</v>
      </c>
      <c r="I56" s="557">
        <v>285000</v>
      </c>
      <c r="J56" s="524">
        <f t="shared" si="2"/>
        <v>6.7167682587685643E-2</v>
      </c>
      <c r="K56" s="540">
        <v>1310684.8799999999</v>
      </c>
      <c r="L56" s="524">
        <v>0.17499999999999999</v>
      </c>
      <c r="M56" s="544">
        <f t="shared" si="3"/>
        <v>-0.78255642958206706</v>
      </c>
    </row>
    <row r="57" spans="1:18" ht="14.1" customHeight="1" x14ac:dyDescent="0.2">
      <c r="A57" s="538" t="s">
        <v>85</v>
      </c>
      <c r="B57" s="38" t="s">
        <v>108</v>
      </c>
      <c r="C57" s="555">
        <v>67192674.75</v>
      </c>
      <c r="D57" s="556">
        <v>66936674.75</v>
      </c>
      <c r="E57" s="557">
        <v>9593289.5299999993</v>
      </c>
      <c r="F57" s="539">
        <f t="shared" si="0"/>
        <v>0.14331888409201265</v>
      </c>
      <c r="G57" s="557">
        <v>4539553.53</v>
      </c>
      <c r="H57" s="539">
        <f t="shared" si="1"/>
        <v>6.7818629278413631E-2</v>
      </c>
      <c r="I57" s="557">
        <v>3202506.04</v>
      </c>
      <c r="J57" s="524">
        <f t="shared" si="2"/>
        <v>4.7843817338715351E-2</v>
      </c>
      <c r="K57" s="540">
        <v>1835028.46</v>
      </c>
      <c r="L57" s="524">
        <v>4.3999999999999997E-2</v>
      </c>
      <c r="M57" s="544">
        <f t="shared" si="3"/>
        <v>0.74520783181749684</v>
      </c>
      <c r="O57" s="559"/>
      <c r="P57" s="559"/>
    </row>
    <row r="58" spans="1:18" ht="14.1" customHeight="1" x14ac:dyDescent="0.2">
      <c r="A58" s="538" t="s">
        <v>86</v>
      </c>
      <c r="B58" s="38" t="s">
        <v>535</v>
      </c>
      <c r="C58" s="555">
        <v>133403395</v>
      </c>
      <c r="D58" s="556">
        <v>133403395</v>
      </c>
      <c r="E58" s="557">
        <v>116780074</v>
      </c>
      <c r="F58" s="539">
        <f t="shared" si="0"/>
        <v>0.87539057008256804</v>
      </c>
      <c r="G58" s="557">
        <v>116780074</v>
      </c>
      <c r="H58" s="539">
        <f t="shared" si="1"/>
        <v>0.87539057008256804</v>
      </c>
      <c r="I58" s="557">
        <v>16820720.84</v>
      </c>
      <c r="J58" s="524">
        <f t="shared" si="2"/>
        <v>0.1260891511793984</v>
      </c>
      <c r="K58" s="540">
        <v>14030000</v>
      </c>
      <c r="L58" s="524">
        <v>0.13900000000000001</v>
      </c>
      <c r="M58" s="544">
        <f t="shared" si="3"/>
        <v>0.19891096507483952</v>
      </c>
      <c r="O58" s="559"/>
      <c r="P58" s="559"/>
    </row>
    <row r="59" spans="1:18" ht="14.1" customHeight="1" x14ac:dyDescent="0.2">
      <c r="A59" s="538">
        <v>491</v>
      </c>
      <c r="B59" s="38" t="s">
        <v>548</v>
      </c>
      <c r="C59" s="555">
        <v>17459000</v>
      </c>
      <c r="D59" s="556">
        <v>17459000</v>
      </c>
      <c r="E59" s="557">
        <v>17159000</v>
      </c>
      <c r="F59" s="539">
        <f t="shared" si="0"/>
        <v>0.98281688527407063</v>
      </c>
      <c r="G59" s="557">
        <v>17159000</v>
      </c>
      <c r="H59" s="539">
        <f t="shared" si="1"/>
        <v>0.98281688527407063</v>
      </c>
      <c r="I59" s="557">
        <v>3300000</v>
      </c>
      <c r="J59" s="524">
        <f t="shared" si="2"/>
        <v>0.18901426198522253</v>
      </c>
      <c r="K59" s="540">
        <v>5400000</v>
      </c>
      <c r="L59" s="524">
        <v>0.38600000000000001</v>
      </c>
      <c r="M59" s="544">
        <f t="shared" si="3"/>
        <v>-0.38888888888888884</v>
      </c>
      <c r="O59" s="559"/>
      <c r="P59" s="559"/>
    </row>
    <row r="60" spans="1:18" ht="14.1" customHeight="1" x14ac:dyDescent="0.2">
      <c r="A60" s="538" t="s">
        <v>87</v>
      </c>
      <c r="B60" s="38" t="s">
        <v>536</v>
      </c>
      <c r="C60" s="555">
        <v>1138067.27</v>
      </c>
      <c r="D60" s="556">
        <v>1049997.24</v>
      </c>
      <c r="E60" s="557">
        <v>128146.1</v>
      </c>
      <c r="F60" s="539">
        <f t="shared" si="0"/>
        <v>0.12204422556386911</v>
      </c>
      <c r="G60" s="557">
        <v>77146.100000000006</v>
      </c>
      <c r="H60" s="539">
        <f t="shared" si="1"/>
        <v>7.3472669318635553E-2</v>
      </c>
      <c r="I60" s="557">
        <v>51914.1</v>
      </c>
      <c r="J60" s="524">
        <f t="shared" si="2"/>
        <v>4.9442129962170185E-2</v>
      </c>
      <c r="K60" s="540">
        <v>54069.84</v>
      </c>
      <c r="L60" s="524">
        <v>4.4999999999999998E-2</v>
      </c>
      <c r="M60" s="544">
        <f>+I60/K60-1</f>
        <v>-3.986954649764074E-2</v>
      </c>
    </row>
    <row r="61" spans="1:18" ht="14.1" customHeight="1" x14ac:dyDescent="0.2">
      <c r="A61" s="17">
        <v>4</v>
      </c>
      <c r="B61" s="510" t="s">
        <v>127</v>
      </c>
      <c r="C61" s="526">
        <f>SUBTOTAL(9,C54:C60)</f>
        <v>252377582.86000001</v>
      </c>
      <c r="D61" s="527">
        <f>SUBTOTAL(9,D54:D60)</f>
        <v>252299475.55000001</v>
      </c>
      <c r="E61" s="528">
        <f>SUBTOTAL(9,E54:E60)</f>
        <v>162247987.75</v>
      </c>
      <c r="F61" s="529">
        <f t="shared" si="0"/>
        <v>0.6430769917230611</v>
      </c>
      <c r="G61" s="528">
        <f>SUBTOTAL(9,G54:G60)</f>
        <v>156873281.75</v>
      </c>
      <c r="H61" s="529">
        <f t="shared" si="1"/>
        <v>0.62177410954986823</v>
      </c>
      <c r="I61" s="528">
        <f>SUBTOTAL(9,I54:I60)</f>
        <v>23942586.450000003</v>
      </c>
      <c r="J61" s="530">
        <f t="shared" si="2"/>
        <v>9.4897487986474738E-2</v>
      </c>
      <c r="K61" s="116">
        <f>SUBTOTAL(9,K54:K60)</f>
        <v>23723152.07</v>
      </c>
      <c r="L61" s="531">
        <v>0.12</v>
      </c>
      <c r="M61" s="532">
        <f t="shared" si="3"/>
        <v>9.2497986503865537E-3</v>
      </c>
    </row>
    <row r="62" spans="1:18" ht="14.1" customHeight="1" x14ac:dyDescent="0.2">
      <c r="A62" s="533" t="s">
        <v>88</v>
      </c>
      <c r="B62" s="37" t="s">
        <v>117</v>
      </c>
      <c r="C62" s="555">
        <v>27475672.920000002</v>
      </c>
      <c r="D62" s="556">
        <v>28015031.949999999</v>
      </c>
      <c r="E62" s="557">
        <v>5425915.1399999997</v>
      </c>
      <c r="F62" s="534">
        <f t="shared" si="0"/>
        <v>0.1936787061204833</v>
      </c>
      <c r="G62" s="557">
        <v>4084309.28</v>
      </c>
      <c r="H62" s="534">
        <f t="shared" si="1"/>
        <v>0.14578992047160597</v>
      </c>
      <c r="I62" s="557">
        <v>2062499.25</v>
      </c>
      <c r="J62" s="535">
        <f t="shared" si="2"/>
        <v>7.3621163583930879E-2</v>
      </c>
      <c r="K62" s="536">
        <v>2069706.7</v>
      </c>
      <c r="L62" s="535">
        <v>7.3999999999999996E-2</v>
      </c>
      <c r="M62" s="537">
        <f t="shared" si="3"/>
        <v>-3.4823533208835356E-3</v>
      </c>
    </row>
    <row r="63" spans="1:18" ht="14.1" customHeight="1" x14ac:dyDescent="0.2">
      <c r="A63" s="538" t="s">
        <v>89</v>
      </c>
      <c r="B63" s="38" t="s">
        <v>505</v>
      </c>
      <c r="C63" s="555">
        <v>55247619.460000001</v>
      </c>
      <c r="D63" s="556">
        <v>56742419.649999999</v>
      </c>
      <c r="E63" s="557">
        <v>7947882.5700000003</v>
      </c>
      <c r="F63" s="539">
        <f t="shared" si="0"/>
        <v>0.14006950389187361</v>
      </c>
      <c r="G63" s="557">
        <v>6343426.1399999997</v>
      </c>
      <c r="H63" s="539">
        <f t="shared" si="1"/>
        <v>0.11179336692244847</v>
      </c>
      <c r="I63" s="557">
        <v>2591129.5499999998</v>
      </c>
      <c r="J63" s="524">
        <f t="shared" si="2"/>
        <v>4.566477013110596E-2</v>
      </c>
      <c r="K63" s="540">
        <v>2861104.75</v>
      </c>
      <c r="L63" s="524">
        <v>5.0999999999999997E-2</v>
      </c>
      <c r="M63" s="544">
        <f t="shared" si="3"/>
        <v>-9.4360473869403161E-2</v>
      </c>
    </row>
    <row r="64" spans="1:18" ht="14.1" customHeight="1" x14ac:dyDescent="0.2">
      <c r="A64" s="538" t="s">
        <v>90</v>
      </c>
      <c r="B64" s="38" t="s">
        <v>120</v>
      </c>
      <c r="C64" s="555">
        <v>6330784.5</v>
      </c>
      <c r="D64" s="556">
        <v>6534464.4199999999</v>
      </c>
      <c r="E64" s="557">
        <v>695668.66</v>
      </c>
      <c r="F64" s="539">
        <f t="shared" si="0"/>
        <v>0.10646146574320164</v>
      </c>
      <c r="G64" s="557">
        <v>695668.66</v>
      </c>
      <c r="H64" s="539">
        <f t="shared" si="1"/>
        <v>0.10646146574320164</v>
      </c>
      <c r="I64" s="557">
        <v>344174.13</v>
      </c>
      <c r="J64" s="524">
        <f t="shared" si="2"/>
        <v>5.2670595151851789E-2</v>
      </c>
      <c r="K64" s="540">
        <v>356662.81</v>
      </c>
      <c r="L64" s="524">
        <v>6.7000000000000004E-2</v>
      </c>
      <c r="M64" s="544">
        <f t="shared" si="3"/>
        <v>-3.5015369278338815E-2</v>
      </c>
      <c r="Q64" s="500"/>
      <c r="R64" s="500"/>
    </row>
    <row r="65" spans="1:18" ht="14.1" customHeight="1" x14ac:dyDescent="0.2">
      <c r="A65" s="538" t="s">
        <v>91</v>
      </c>
      <c r="B65" s="38" t="s">
        <v>115</v>
      </c>
      <c r="C65" s="555">
        <v>2703306.46</v>
      </c>
      <c r="D65" s="556">
        <v>2735702.68</v>
      </c>
      <c r="E65" s="557">
        <v>99922.29</v>
      </c>
      <c r="F65" s="539">
        <f t="shared" si="0"/>
        <v>3.6525274011136324E-2</v>
      </c>
      <c r="G65" s="557">
        <v>79922.289999999994</v>
      </c>
      <c r="H65" s="539">
        <f t="shared" si="1"/>
        <v>2.9214538035982767E-2</v>
      </c>
      <c r="I65" s="557">
        <v>79922.289999999994</v>
      </c>
      <c r="J65" s="524">
        <f t="shared" si="2"/>
        <v>2.9214538035982767E-2</v>
      </c>
      <c r="K65" s="540">
        <v>79908</v>
      </c>
      <c r="L65" s="524">
        <v>0.05</v>
      </c>
      <c r="M65" s="544">
        <f t="shared" si="3"/>
        <v>1.788306552534813E-4</v>
      </c>
      <c r="Q65" s="500"/>
      <c r="R65" s="500"/>
    </row>
    <row r="66" spans="1:18" ht="14.1" customHeight="1" x14ac:dyDescent="0.2">
      <c r="A66" s="538" t="s">
        <v>92</v>
      </c>
      <c r="B66" s="38" t="s">
        <v>109</v>
      </c>
      <c r="C66" s="555">
        <v>9126336.0500000007</v>
      </c>
      <c r="D66" s="556">
        <v>9019843.7799999993</v>
      </c>
      <c r="E66" s="557">
        <v>4680800.6399999997</v>
      </c>
      <c r="F66" s="539">
        <f t="shared" si="0"/>
        <v>0.51894475715631516</v>
      </c>
      <c r="G66" s="557">
        <v>1307961.3</v>
      </c>
      <c r="H66" s="539">
        <f t="shared" si="1"/>
        <v>0.14500930746718543</v>
      </c>
      <c r="I66" s="557">
        <v>258453.05</v>
      </c>
      <c r="J66" s="524">
        <f t="shared" si="2"/>
        <v>2.8653827749553332E-2</v>
      </c>
      <c r="K66" s="540">
        <v>42456.66</v>
      </c>
      <c r="L66" s="524">
        <v>2.9000000000000001E-2</v>
      </c>
      <c r="M66" s="544">
        <f t="shared" si="3"/>
        <v>5.0874560080797684</v>
      </c>
      <c r="Q66" s="500"/>
      <c r="R66" s="500"/>
    </row>
    <row r="67" spans="1:18" ht="14.1" customHeight="1" x14ac:dyDescent="0.2">
      <c r="A67" s="538" t="s">
        <v>93</v>
      </c>
      <c r="B67" s="38" t="s">
        <v>124</v>
      </c>
      <c r="C67" s="555">
        <v>36104377.189999998</v>
      </c>
      <c r="D67" s="556">
        <v>36640866.990000002</v>
      </c>
      <c r="E67" s="557">
        <v>8882762.0199999996</v>
      </c>
      <c r="F67" s="539">
        <f t="shared" si="0"/>
        <v>0.24242772482496869</v>
      </c>
      <c r="G67" s="557">
        <v>6386709.1500000004</v>
      </c>
      <c r="H67" s="539">
        <f t="shared" si="1"/>
        <v>0.17430562305589156</v>
      </c>
      <c r="I67" s="557">
        <v>872998.45</v>
      </c>
      <c r="J67" s="524">
        <f t="shared" si="2"/>
        <v>2.3825813134778117E-2</v>
      </c>
      <c r="K67" s="540">
        <v>968695.96</v>
      </c>
      <c r="L67" s="524">
        <v>6.8000000000000005E-2</v>
      </c>
      <c r="M67" s="544">
        <f t="shared" si="3"/>
        <v>-9.8790037278569831E-2</v>
      </c>
      <c r="Q67" s="500"/>
      <c r="R67" s="500"/>
    </row>
    <row r="68" spans="1:18" ht="14.1" customHeight="1" x14ac:dyDescent="0.2">
      <c r="A68" s="538" t="s">
        <v>94</v>
      </c>
      <c r="B68" s="38" t="s">
        <v>537</v>
      </c>
      <c r="C68" s="555">
        <v>59952489.780000001</v>
      </c>
      <c r="D68" s="556">
        <v>57313910.909999996</v>
      </c>
      <c r="E68" s="557">
        <v>34717336.560000002</v>
      </c>
      <c r="F68" s="539">
        <f t="shared" si="0"/>
        <v>0.6057401424676222</v>
      </c>
      <c r="G68" s="557">
        <v>34717336.560000002</v>
      </c>
      <c r="H68" s="539">
        <f t="shared" si="1"/>
        <v>0.6057401424676222</v>
      </c>
      <c r="I68" s="557">
        <v>2000000</v>
      </c>
      <c r="J68" s="524">
        <f t="shared" si="2"/>
        <v>3.489554225571169E-2</v>
      </c>
      <c r="K68" s="540">
        <v>3439133</v>
      </c>
      <c r="L68" s="524">
        <v>6.7000000000000004E-2</v>
      </c>
      <c r="M68" s="544">
        <f t="shared" si="3"/>
        <v>-0.41845808231318771</v>
      </c>
    </row>
    <row r="69" spans="1:18" ht="14.1" customHeight="1" x14ac:dyDescent="0.2">
      <c r="A69" s="538" t="s">
        <v>95</v>
      </c>
      <c r="B69" s="38" t="s">
        <v>122</v>
      </c>
      <c r="C69" s="555">
        <v>26939471.629999999</v>
      </c>
      <c r="D69" s="556">
        <v>13177936.75</v>
      </c>
      <c r="E69" s="557">
        <v>21513.5</v>
      </c>
      <c r="F69" s="539">
        <f t="shared" si="0"/>
        <v>1.6325393275240907E-3</v>
      </c>
      <c r="G69" s="557">
        <v>21513.5</v>
      </c>
      <c r="H69" s="539">
        <f t="shared" si="1"/>
        <v>1.6325393275240907E-3</v>
      </c>
      <c r="I69" s="557">
        <v>21513.5</v>
      </c>
      <c r="J69" s="524">
        <f t="shared" si="2"/>
        <v>1.6325393275240907E-3</v>
      </c>
      <c r="K69" s="540">
        <v>0</v>
      </c>
      <c r="L69" s="524">
        <v>0</v>
      </c>
      <c r="M69" s="544" t="s">
        <v>135</v>
      </c>
    </row>
    <row r="70" spans="1:18" ht="14.1" customHeight="1" x14ac:dyDescent="0.2">
      <c r="A70" s="550">
        <v>931</v>
      </c>
      <c r="B70" s="38" t="s">
        <v>456</v>
      </c>
      <c r="C70" s="555">
        <v>5447022.2999999998</v>
      </c>
      <c r="D70" s="556">
        <v>5697137.6500000004</v>
      </c>
      <c r="E70" s="557">
        <v>1091289.3799999999</v>
      </c>
      <c r="F70" s="539">
        <f t="shared" si="0"/>
        <v>0.19155046745272161</v>
      </c>
      <c r="G70" s="557">
        <v>710033.45</v>
      </c>
      <c r="H70" s="539">
        <f t="shared" si="1"/>
        <v>0.12462985688962595</v>
      </c>
      <c r="I70" s="557">
        <v>321012.08</v>
      </c>
      <c r="J70" s="524">
        <f t="shared" si="2"/>
        <v>5.6346203957350405E-2</v>
      </c>
      <c r="K70" s="540">
        <v>284212.36</v>
      </c>
      <c r="L70" s="524">
        <v>5.2999999999999999E-2</v>
      </c>
      <c r="M70" s="544">
        <f t="shared" si="3"/>
        <v>0.12947966091270646</v>
      </c>
    </row>
    <row r="71" spans="1:18" ht="14.1" customHeight="1" x14ac:dyDescent="0.2">
      <c r="A71" s="538" t="s">
        <v>96</v>
      </c>
      <c r="B71" s="38" t="s">
        <v>111</v>
      </c>
      <c r="C71" s="555">
        <v>26643946.690000001</v>
      </c>
      <c r="D71" s="556">
        <v>28271406.690000001</v>
      </c>
      <c r="E71" s="557">
        <v>24885403.030000001</v>
      </c>
      <c r="F71" s="539">
        <f t="shared" si="0"/>
        <v>0.88023221846977717</v>
      </c>
      <c r="G71" s="557">
        <v>24685503.030000001</v>
      </c>
      <c r="H71" s="539">
        <f t="shared" si="1"/>
        <v>0.87316147019778878</v>
      </c>
      <c r="I71" s="557">
        <v>1097647.0900000001</v>
      </c>
      <c r="J71" s="524">
        <f t="shared" si="2"/>
        <v>3.8825343996351389E-2</v>
      </c>
      <c r="K71" s="540">
        <v>1265457.01</v>
      </c>
      <c r="L71" s="524">
        <v>4.8000000000000001E-2</v>
      </c>
      <c r="M71" s="544">
        <f t="shared" si="3"/>
        <v>-0.13260815553109928</v>
      </c>
    </row>
    <row r="72" spans="1:18" ht="14.1" customHeight="1" x14ac:dyDescent="0.2">
      <c r="A72" s="538" t="s">
        <v>97</v>
      </c>
      <c r="B72" s="38" t="s">
        <v>112</v>
      </c>
      <c r="C72" s="555">
        <v>85426699.129999995</v>
      </c>
      <c r="D72" s="556">
        <v>87859954.390000001</v>
      </c>
      <c r="E72" s="557">
        <v>26018164.989999998</v>
      </c>
      <c r="F72" s="539">
        <f t="shared" si="0"/>
        <v>0.29613223875018674</v>
      </c>
      <c r="G72" s="557">
        <v>25797254.039999999</v>
      </c>
      <c r="H72" s="539">
        <f t="shared" si="1"/>
        <v>0.29361788563523517</v>
      </c>
      <c r="I72" s="557">
        <v>916149.87</v>
      </c>
      <c r="J72" s="524">
        <f t="shared" si="2"/>
        <v>1.042738840875467E-2</v>
      </c>
      <c r="K72" s="540">
        <v>9333149.5399999991</v>
      </c>
      <c r="L72" s="524">
        <v>5.5E-2</v>
      </c>
      <c r="M72" s="544">
        <f t="shared" si="3"/>
        <v>-0.90183915235970813</v>
      </c>
    </row>
    <row r="73" spans="1:18" ht="14.1" customHeight="1" x14ac:dyDescent="0.2">
      <c r="A73" s="538" t="s">
        <v>98</v>
      </c>
      <c r="B73" s="38" t="s">
        <v>121</v>
      </c>
      <c r="C73" s="555">
        <v>732282.55</v>
      </c>
      <c r="D73" s="556">
        <v>732282.55</v>
      </c>
      <c r="E73" s="557">
        <v>53048.53</v>
      </c>
      <c r="F73" s="539">
        <f t="shared" si="0"/>
        <v>7.2442706712047139E-2</v>
      </c>
      <c r="G73" s="557">
        <v>53048.53</v>
      </c>
      <c r="H73" s="539">
        <f t="shared" si="1"/>
        <v>7.2442706712047139E-2</v>
      </c>
      <c r="I73" s="557">
        <v>53048.53</v>
      </c>
      <c r="J73" s="524">
        <f t="shared" si="2"/>
        <v>7.2442706712047139E-2</v>
      </c>
      <c r="K73" s="540">
        <v>57563.57</v>
      </c>
      <c r="L73" s="524">
        <v>7.4999999999999997E-2</v>
      </c>
      <c r="M73" s="544">
        <f t="shared" si="3"/>
        <v>-7.8435718979903424E-2</v>
      </c>
    </row>
    <row r="74" spans="1:18" ht="14.1" customHeight="1" x14ac:dyDescent="0.2">
      <c r="A74" s="560">
        <v>943</v>
      </c>
      <c r="B74" s="39" t="s">
        <v>123</v>
      </c>
      <c r="C74" s="555">
        <v>89097229.569999993</v>
      </c>
      <c r="D74" s="556">
        <v>89097229.569999993</v>
      </c>
      <c r="E74" s="557">
        <v>89097229.569999993</v>
      </c>
      <c r="F74" s="539">
        <f t="shared" si="0"/>
        <v>1</v>
      </c>
      <c r="G74" s="557">
        <v>89097229.569999993</v>
      </c>
      <c r="H74" s="539">
        <f t="shared" si="1"/>
        <v>1</v>
      </c>
      <c r="I74" s="557">
        <v>1421500</v>
      </c>
      <c r="J74" s="524">
        <f t="shared" si="2"/>
        <v>1.5954480367800734E-2</v>
      </c>
      <c r="K74" s="549">
        <v>2843000</v>
      </c>
      <c r="L74" s="521">
        <v>3.2000000000000001E-2</v>
      </c>
      <c r="M74" s="544">
        <f t="shared" si="3"/>
        <v>-0.5</v>
      </c>
      <c r="N74" s="626" t="s">
        <v>569</v>
      </c>
    </row>
    <row r="75" spans="1:18" ht="14.1" customHeight="1" thickBot="1" x14ac:dyDescent="0.25">
      <c r="A75" s="17">
        <v>9</v>
      </c>
      <c r="B75" s="510" t="s">
        <v>506</v>
      </c>
      <c r="C75" s="526">
        <f>SUBTOTAL(9,C62:C74)</f>
        <v>431227238.23000002</v>
      </c>
      <c r="D75" s="527">
        <f>SUBTOTAL(9,D62:D74)</f>
        <v>421838187.98000002</v>
      </c>
      <c r="E75" s="528">
        <f>SUBTOTAL(9,E62:E74)</f>
        <v>203616936.88</v>
      </c>
      <c r="F75" s="529">
        <f t="shared" si="0"/>
        <v>0.48268967268002244</v>
      </c>
      <c r="G75" s="528">
        <f>SUBTOTAL(9,G62:G74)</f>
        <v>193979915.5</v>
      </c>
      <c r="H75" s="529">
        <f t="shared" si="1"/>
        <v>0.45984436930398742</v>
      </c>
      <c r="I75" s="528">
        <f>SUBTOTAL(9,I62:I74)</f>
        <v>12040047.789999997</v>
      </c>
      <c r="J75" s="530">
        <f t="shared" si="2"/>
        <v>2.8541863048612455E-2</v>
      </c>
      <c r="K75" s="116">
        <f>SUBTOTAL(9,K62:K74)</f>
        <v>23601050.359999999</v>
      </c>
      <c r="L75" s="531">
        <v>4.5999999999999999E-2</v>
      </c>
      <c r="M75" s="532">
        <f t="shared" si="3"/>
        <v>-0.48985118855532173</v>
      </c>
    </row>
    <row r="76" spans="1:18" s="13" customFormat="1" ht="14.1" customHeight="1" thickBot="1" x14ac:dyDescent="0.25">
      <c r="A76" s="561"/>
      <c r="B76" s="562" t="s">
        <v>11</v>
      </c>
      <c r="C76" s="563">
        <f>SUBTOTAL(9,C5:C74)</f>
        <v>2550566229.5000014</v>
      </c>
      <c r="D76" s="564">
        <f>SUBTOTAL(9,D5:D74)</f>
        <v>2550566229.5</v>
      </c>
      <c r="E76" s="565">
        <f>SUBTOTAL(9,E5:E74)</f>
        <v>1005895505.6900003</v>
      </c>
      <c r="F76" s="566">
        <f>+E76/D76</f>
        <v>0.39438125309421623</v>
      </c>
      <c r="G76" s="565">
        <f>SUBTOTAL(9,G5:G74)</f>
        <v>973802123.79999995</v>
      </c>
      <c r="H76" s="566">
        <f>+G76/D76</f>
        <v>0.3817984071681601</v>
      </c>
      <c r="I76" s="565">
        <f>SUBTOTAL(9,I5:I74)</f>
        <v>209023523.97000003</v>
      </c>
      <c r="J76" s="567">
        <f>+I76/D76</f>
        <v>8.1951811935883717E-2</v>
      </c>
      <c r="K76" s="568">
        <f>SUBTOTAL(9,K5:K74)</f>
        <v>149908547.64999998</v>
      </c>
      <c r="L76" s="569">
        <v>5.8000000000000003E-2</v>
      </c>
      <c r="M76" s="570">
        <f>+I76/K76-1</f>
        <v>0.39434026442587622</v>
      </c>
      <c r="O76" s="571"/>
      <c r="P76" s="572" t="s">
        <v>154</v>
      </c>
    </row>
    <row r="77" spans="1:18" s="577" customFormat="1" ht="14.1" customHeight="1" x14ac:dyDescent="0.2">
      <c r="A77" s="573"/>
      <c r="B77" s="574"/>
      <c r="C77" s="575"/>
      <c r="D77" s="575"/>
      <c r="E77" s="575"/>
      <c r="F77" s="576"/>
      <c r="G77" s="575"/>
      <c r="H77" s="576"/>
      <c r="I77" s="575"/>
      <c r="J77" s="576"/>
      <c r="K77" s="575"/>
      <c r="L77" s="576"/>
      <c r="M77" s="576"/>
      <c r="O77" s="578"/>
      <c r="P77" s="579"/>
    </row>
    <row r="78" spans="1:18" ht="12.75" thickBot="1" x14ac:dyDescent="0.25">
      <c r="A78" s="497" t="s">
        <v>19</v>
      </c>
      <c r="K78" s="499"/>
    </row>
    <row r="79" spans="1:18" ht="12.75" customHeight="1" x14ac:dyDescent="0.2">
      <c r="A79" s="663" t="s">
        <v>500</v>
      </c>
      <c r="B79" s="664"/>
      <c r="C79" s="176" t="s">
        <v>512</v>
      </c>
      <c r="D79" s="665" t="s">
        <v>510</v>
      </c>
      <c r="E79" s="661"/>
      <c r="F79" s="661"/>
      <c r="G79" s="661"/>
      <c r="H79" s="661"/>
      <c r="I79" s="661"/>
      <c r="J79" s="662"/>
      <c r="K79" s="646" t="s">
        <v>511</v>
      </c>
      <c r="L79" s="645"/>
      <c r="M79" s="501"/>
    </row>
    <row r="80" spans="1:18" ht="12.75" customHeight="1" x14ac:dyDescent="0.2">
      <c r="C80" s="502" t="s">
        <v>467</v>
      </c>
      <c r="D80" s="503">
        <v>2</v>
      </c>
      <c r="E80" s="504">
        <v>3</v>
      </c>
      <c r="F80" s="505" t="s">
        <v>39</v>
      </c>
      <c r="G80" s="504">
        <v>4</v>
      </c>
      <c r="H80" s="505" t="s">
        <v>40</v>
      </c>
      <c r="I80" s="504">
        <v>5</v>
      </c>
      <c r="J80" s="506" t="s">
        <v>41</v>
      </c>
      <c r="K80" s="504" t="s">
        <v>42</v>
      </c>
      <c r="L80" s="507" t="s">
        <v>43</v>
      </c>
      <c r="M80" s="508" t="s">
        <v>368</v>
      </c>
    </row>
    <row r="81" spans="1:16" ht="14.1" customHeight="1" x14ac:dyDescent="0.2">
      <c r="A81" s="509"/>
      <c r="B81" s="510" t="s">
        <v>443</v>
      </c>
      <c r="C81" s="511" t="s">
        <v>13</v>
      </c>
      <c r="D81" s="512" t="s">
        <v>14</v>
      </c>
      <c r="E81" s="513" t="s">
        <v>15</v>
      </c>
      <c r="F81" s="513" t="s">
        <v>18</v>
      </c>
      <c r="G81" s="513" t="s">
        <v>16</v>
      </c>
      <c r="H81" s="513" t="s">
        <v>18</v>
      </c>
      <c r="I81" s="513" t="s">
        <v>17</v>
      </c>
      <c r="J81" s="514" t="s">
        <v>18</v>
      </c>
      <c r="K81" s="513" t="s">
        <v>17</v>
      </c>
      <c r="L81" s="515" t="s">
        <v>18</v>
      </c>
      <c r="M81" s="516" t="s">
        <v>554</v>
      </c>
    </row>
    <row r="82" spans="1:16" ht="14.1" customHeight="1" x14ac:dyDescent="0.2">
      <c r="A82" s="517" t="s">
        <v>56</v>
      </c>
      <c r="B82" s="13" t="s">
        <v>99</v>
      </c>
      <c r="C82" s="518">
        <v>36667752.200000003</v>
      </c>
      <c r="D82" s="520">
        <v>36667752.200000003</v>
      </c>
      <c r="E82" s="520">
        <v>4006239.34</v>
      </c>
      <c r="F82" s="521">
        <f>+E82/D82</f>
        <v>0.10925783828112592</v>
      </c>
      <c r="G82" s="520">
        <v>4006239.34</v>
      </c>
      <c r="H82" s="521">
        <f>+G82/D82</f>
        <v>0.10925783828112592</v>
      </c>
      <c r="I82" s="520">
        <v>4006239.34</v>
      </c>
      <c r="J82" s="522">
        <f>+I82/D82</f>
        <v>0.10925783828112592</v>
      </c>
      <c r="K82" s="523">
        <v>7758689.8700000001</v>
      </c>
      <c r="L82" s="580">
        <v>0.187</v>
      </c>
      <c r="M82" s="525">
        <f>+I82/K82-1</f>
        <v>-0.48364486696514908</v>
      </c>
    </row>
    <row r="83" spans="1:16" ht="14.1" customHeight="1" x14ac:dyDescent="0.2">
      <c r="A83" s="17">
        <v>0</v>
      </c>
      <c r="B83" s="510" t="s">
        <v>99</v>
      </c>
      <c r="C83" s="526">
        <f>SUBTOTAL(9,C82:C82)</f>
        <v>36667752.200000003</v>
      </c>
      <c r="D83" s="527">
        <f>SUBTOTAL(9,D82:D82)</f>
        <v>36667752.200000003</v>
      </c>
      <c r="E83" s="528">
        <f>SUBTOTAL(9,E82:E82)</f>
        <v>4006239.34</v>
      </c>
      <c r="F83" s="529">
        <f t="shared" ref="F83:F109" si="4">+E83/D83</f>
        <v>0.10925783828112592</v>
      </c>
      <c r="G83" s="528">
        <f>SUBTOTAL(9,G82:G82)</f>
        <v>4006239.34</v>
      </c>
      <c r="H83" s="529">
        <f t="shared" ref="H83:H109" si="5">+G83/D83</f>
        <v>0.10925783828112592</v>
      </c>
      <c r="I83" s="528">
        <f>SUBTOTAL(9,I82:I82)</f>
        <v>4006239.34</v>
      </c>
      <c r="J83" s="530">
        <f t="shared" ref="J83:J108" si="6">+I83/D83</f>
        <v>0.10925783828112592</v>
      </c>
      <c r="K83" s="528">
        <f>SUBTOTAL(9,K82:K82)</f>
        <v>7758689.8700000001</v>
      </c>
      <c r="L83" s="531"/>
      <c r="M83" s="532">
        <f t="shared" ref="M83:M109" si="7">+I83/K83-1</f>
        <v>-0.48364486696514908</v>
      </c>
    </row>
    <row r="84" spans="1:16" ht="14.1" customHeight="1" x14ac:dyDescent="0.2">
      <c r="A84" s="533" t="s">
        <v>57</v>
      </c>
      <c r="B84" s="37" t="s">
        <v>507</v>
      </c>
      <c r="C84" s="518">
        <v>7424467.5899999999</v>
      </c>
      <c r="D84" s="520">
        <v>7720763.21</v>
      </c>
      <c r="E84" s="520">
        <v>1091470.67</v>
      </c>
      <c r="F84" s="534">
        <f t="shared" si="4"/>
        <v>0.14136823527838771</v>
      </c>
      <c r="G84" s="520">
        <v>971146.2</v>
      </c>
      <c r="H84" s="534">
        <f t="shared" si="5"/>
        <v>0.12578370474335529</v>
      </c>
      <c r="I84" s="520">
        <v>642134.54</v>
      </c>
      <c r="J84" s="535">
        <f t="shared" si="6"/>
        <v>8.3169826937355334E-2</v>
      </c>
      <c r="K84" s="536">
        <v>525274.49</v>
      </c>
      <c r="L84" s="581">
        <v>6.8000000000000005E-2</v>
      </c>
      <c r="M84" s="537">
        <f t="shared" si="7"/>
        <v>0.22247425341367721</v>
      </c>
    </row>
    <row r="85" spans="1:16" ht="14.1" customHeight="1" x14ac:dyDescent="0.2">
      <c r="A85" s="538" t="s">
        <v>58</v>
      </c>
      <c r="B85" s="38" t="s">
        <v>110</v>
      </c>
      <c r="C85" s="518">
        <v>167280142.05000001</v>
      </c>
      <c r="D85" s="520">
        <v>173086918.03999999</v>
      </c>
      <c r="E85" s="520">
        <v>18183296.579999998</v>
      </c>
      <c r="F85" s="539">
        <f t="shared" si="4"/>
        <v>0.10505298023619486</v>
      </c>
      <c r="G85" s="520">
        <v>17946302.140000001</v>
      </c>
      <c r="H85" s="539">
        <f t="shared" si="5"/>
        <v>0.103683758098071</v>
      </c>
      <c r="I85" s="520">
        <v>11196587.84</v>
      </c>
      <c r="J85" s="524">
        <f t="shared" si="6"/>
        <v>6.4687660782153933E-2</v>
      </c>
      <c r="K85" s="540">
        <v>11132032.77</v>
      </c>
      <c r="L85" s="582">
        <v>0.06</v>
      </c>
      <c r="M85" s="544">
        <f t="shared" si="7"/>
        <v>5.7990370073264241E-3</v>
      </c>
      <c r="N85" s="542" t="s">
        <v>154</v>
      </c>
    </row>
    <row r="86" spans="1:16" ht="14.1" customHeight="1" x14ac:dyDescent="0.2">
      <c r="A86" s="538" t="s">
        <v>59</v>
      </c>
      <c r="B86" s="38" t="s">
        <v>126</v>
      </c>
      <c r="C86" s="518">
        <v>51836587</v>
      </c>
      <c r="D86" s="520">
        <v>51836587</v>
      </c>
      <c r="E86" s="520">
        <v>0</v>
      </c>
      <c r="F86" s="539" t="s">
        <v>135</v>
      </c>
      <c r="G86" s="520">
        <v>0</v>
      </c>
      <c r="H86" s="539" t="s">
        <v>135</v>
      </c>
      <c r="I86" s="520">
        <v>0</v>
      </c>
      <c r="J86" s="524">
        <f t="shared" si="6"/>
        <v>0</v>
      </c>
      <c r="K86" s="540">
        <v>129386.75</v>
      </c>
      <c r="L86" s="582">
        <v>2E-3</v>
      </c>
      <c r="M86" s="544">
        <f t="shared" si="7"/>
        <v>-1</v>
      </c>
    </row>
    <row r="87" spans="1:16" ht="14.1" customHeight="1" x14ac:dyDescent="0.2">
      <c r="A87" s="538">
        <v>134</v>
      </c>
      <c r="B87" s="38" t="s">
        <v>515</v>
      </c>
      <c r="C87" s="518">
        <v>15463303.810000001</v>
      </c>
      <c r="D87" s="520">
        <v>15435937.289999999</v>
      </c>
      <c r="E87" s="520">
        <v>10164650.199999999</v>
      </c>
      <c r="F87" s="539">
        <f t="shared" si="4"/>
        <v>0.65850553866819961</v>
      </c>
      <c r="G87" s="520">
        <v>4439528.33</v>
      </c>
      <c r="H87" s="539">
        <f t="shared" si="5"/>
        <v>0.28760989673598242</v>
      </c>
      <c r="I87" s="520">
        <v>128341.24</v>
      </c>
      <c r="J87" s="524">
        <f t="shared" si="6"/>
        <v>8.3144442471364821E-3</v>
      </c>
      <c r="K87" s="586">
        <v>0</v>
      </c>
      <c r="L87" s="582">
        <v>0</v>
      </c>
      <c r="M87" s="544" t="s">
        <v>135</v>
      </c>
      <c r="N87" s="626" t="s">
        <v>560</v>
      </c>
    </row>
    <row r="88" spans="1:16" ht="14.1" customHeight="1" x14ac:dyDescent="0.2">
      <c r="A88" s="538" t="s">
        <v>60</v>
      </c>
      <c r="B88" s="38" t="s">
        <v>522</v>
      </c>
      <c r="C88" s="518">
        <v>1692440.07</v>
      </c>
      <c r="D88" s="520">
        <v>329402.94</v>
      </c>
      <c r="E88" s="520">
        <v>27490.18</v>
      </c>
      <c r="F88" s="539">
        <f t="shared" si="4"/>
        <v>8.3454567831118931E-2</v>
      </c>
      <c r="G88" s="520">
        <v>27490.18</v>
      </c>
      <c r="H88" s="539">
        <f t="shared" si="5"/>
        <v>8.3454567831118931E-2</v>
      </c>
      <c r="I88" s="520">
        <v>27490.18</v>
      </c>
      <c r="J88" s="524">
        <f t="shared" si="6"/>
        <v>8.3454567831118931E-2</v>
      </c>
      <c r="K88" s="586">
        <v>0</v>
      </c>
      <c r="L88" s="582">
        <v>0</v>
      </c>
      <c r="M88" s="544" t="s">
        <v>135</v>
      </c>
      <c r="N88" s="626" t="s">
        <v>560</v>
      </c>
      <c r="O88" s="545"/>
    </row>
    <row r="89" spans="1:16" ht="14.1" customHeight="1" x14ac:dyDescent="0.2">
      <c r="A89" s="538">
        <v>136</v>
      </c>
      <c r="B89" s="38" t="s">
        <v>516</v>
      </c>
      <c r="C89" s="518">
        <v>38450866.25</v>
      </c>
      <c r="D89" s="520">
        <v>42420993.229999997</v>
      </c>
      <c r="E89" s="520">
        <v>4457055.3600000003</v>
      </c>
      <c r="F89" s="539">
        <f t="shared" si="4"/>
        <v>0.1050672089603028</v>
      </c>
      <c r="G89" s="520">
        <v>4299697.3600000003</v>
      </c>
      <c r="H89" s="539">
        <f t="shared" si="5"/>
        <v>0.10135777200424595</v>
      </c>
      <c r="I89" s="520">
        <v>2903764.27</v>
      </c>
      <c r="J89" s="524">
        <f t="shared" si="6"/>
        <v>6.8451114622805828E-2</v>
      </c>
      <c r="K89" s="540">
        <v>2511996.1800000002</v>
      </c>
      <c r="L89" s="582">
        <v>6.2E-2</v>
      </c>
      <c r="M89" s="544">
        <f t="shared" si="7"/>
        <v>0.15595887172089573</v>
      </c>
      <c r="N89" s="626" t="s">
        <v>559</v>
      </c>
      <c r="O89" s="545"/>
    </row>
    <row r="90" spans="1:16" ht="14.1" customHeight="1" x14ac:dyDescent="0.2">
      <c r="A90" s="538" t="s">
        <v>61</v>
      </c>
      <c r="B90" s="38" t="s">
        <v>508</v>
      </c>
      <c r="C90" s="518">
        <v>19474656.210000001</v>
      </c>
      <c r="D90" s="520">
        <v>20330406.93</v>
      </c>
      <c r="E90" s="520">
        <v>6905731.4699999997</v>
      </c>
      <c r="F90" s="539">
        <f t="shared" si="4"/>
        <v>0.33967502439952391</v>
      </c>
      <c r="G90" s="520">
        <v>6609075.4699999997</v>
      </c>
      <c r="H90" s="539">
        <f t="shared" si="5"/>
        <v>0.32508328499059708</v>
      </c>
      <c r="I90" s="520">
        <v>644496.41</v>
      </c>
      <c r="J90" s="524">
        <f t="shared" si="6"/>
        <v>3.1701107224222196E-2</v>
      </c>
      <c r="K90" s="540">
        <v>562091.71</v>
      </c>
      <c r="L90" s="582">
        <v>0.03</v>
      </c>
      <c r="M90" s="544">
        <f t="shared" si="7"/>
        <v>0.14660365654565521</v>
      </c>
      <c r="O90" s="545"/>
      <c r="P90" s="545"/>
    </row>
    <row r="91" spans="1:16" ht="14.1" customHeight="1" x14ac:dyDescent="0.2">
      <c r="A91" s="538" t="s">
        <v>62</v>
      </c>
      <c r="B91" s="38" t="s">
        <v>523</v>
      </c>
      <c r="C91" s="518">
        <v>27557934.539999999</v>
      </c>
      <c r="D91" s="520">
        <v>27595394.440000001</v>
      </c>
      <c r="E91" s="520">
        <v>7008836.4800000004</v>
      </c>
      <c r="F91" s="539">
        <f t="shared" si="4"/>
        <v>0.25398573284535375</v>
      </c>
      <c r="G91" s="520">
        <v>6931010.8799999999</v>
      </c>
      <c r="H91" s="539">
        <f t="shared" si="5"/>
        <v>0.25116549412148936</v>
      </c>
      <c r="I91" s="520">
        <v>971497.06</v>
      </c>
      <c r="J91" s="524">
        <f t="shared" si="6"/>
        <v>3.5205043439850175E-2</v>
      </c>
      <c r="K91" s="540">
        <v>2930027.65</v>
      </c>
      <c r="L91" s="582">
        <v>9.7000000000000003E-2</v>
      </c>
      <c r="M91" s="544">
        <f t="shared" si="7"/>
        <v>-0.66843416648303644</v>
      </c>
      <c r="O91" s="545"/>
      <c r="P91" s="545"/>
    </row>
    <row r="92" spans="1:16" ht="14.1" customHeight="1" x14ac:dyDescent="0.2">
      <c r="A92" s="538">
        <v>152</v>
      </c>
      <c r="B92" s="38" t="s">
        <v>517</v>
      </c>
      <c r="C92" s="518">
        <v>23402734.940000001</v>
      </c>
      <c r="D92" s="520">
        <v>23402734.940000001</v>
      </c>
      <c r="E92" s="520">
        <v>4429593.42</v>
      </c>
      <c r="F92" s="539">
        <f t="shared" si="4"/>
        <v>0.18927674185759075</v>
      </c>
      <c r="G92" s="520">
        <v>4369593.42</v>
      </c>
      <c r="H92" s="539">
        <f t="shared" si="5"/>
        <v>0.18671293894507526</v>
      </c>
      <c r="I92" s="520">
        <v>431500</v>
      </c>
      <c r="J92" s="524">
        <f t="shared" si="6"/>
        <v>1.8438015945840557E-2</v>
      </c>
      <c r="K92" s="540">
        <v>430000</v>
      </c>
      <c r="L92" s="582">
        <v>8.4000000000000005E-2</v>
      </c>
      <c r="M92" s="544">
        <f t="shared" si="7"/>
        <v>3.4883720930232176E-3</v>
      </c>
      <c r="N92" s="626" t="s">
        <v>558</v>
      </c>
      <c r="O92" s="545"/>
      <c r="P92" s="545"/>
    </row>
    <row r="93" spans="1:16" ht="14.1" customHeight="1" x14ac:dyDescent="0.2">
      <c r="A93" s="538" t="s">
        <v>63</v>
      </c>
      <c r="B93" s="38" t="s">
        <v>101</v>
      </c>
      <c r="C93" s="518">
        <v>27896547.940000001</v>
      </c>
      <c r="D93" s="520">
        <v>27774535.969999999</v>
      </c>
      <c r="E93" s="520">
        <v>7235618.0599999996</v>
      </c>
      <c r="F93" s="539">
        <f t="shared" si="4"/>
        <v>0.26051265331004558</v>
      </c>
      <c r="G93" s="520">
        <v>6588366.7199999997</v>
      </c>
      <c r="H93" s="539">
        <f t="shared" si="5"/>
        <v>0.23720888540194754</v>
      </c>
      <c r="I93" s="520">
        <v>270266.17</v>
      </c>
      <c r="J93" s="524">
        <f t="shared" si="6"/>
        <v>9.730717744192794E-3</v>
      </c>
      <c r="K93" s="540">
        <f>294526.95+0</f>
        <v>294526.95</v>
      </c>
      <c r="L93" s="582">
        <f>K93/(23638847+10649162)</f>
        <v>8.5897944672144715E-3</v>
      </c>
      <c r="M93" s="544">
        <f t="shared" si="7"/>
        <v>-8.2372020624937758E-2</v>
      </c>
      <c r="N93" s="626" t="s">
        <v>570</v>
      </c>
      <c r="O93" s="543"/>
    </row>
    <row r="94" spans="1:16" ht="14.1" customHeight="1" x14ac:dyDescent="0.2">
      <c r="A94" s="538" t="s">
        <v>538</v>
      </c>
      <c r="B94" s="627" t="s">
        <v>168</v>
      </c>
      <c r="C94" s="518">
        <v>20724083.260000002</v>
      </c>
      <c r="D94" s="520">
        <v>20724083.260000002</v>
      </c>
      <c r="E94" s="520">
        <v>16283751.539999999</v>
      </c>
      <c r="F94" s="539">
        <f t="shared" si="4"/>
        <v>0.78574049986710959</v>
      </c>
      <c r="G94" s="520">
        <v>16283751.539999999</v>
      </c>
      <c r="H94" s="539">
        <f t="shared" si="5"/>
        <v>0.78574049986710959</v>
      </c>
      <c r="I94" s="520">
        <v>0</v>
      </c>
      <c r="J94" s="524" t="s">
        <v>135</v>
      </c>
      <c r="K94" s="540">
        <v>538923</v>
      </c>
      <c r="L94" s="588">
        <v>2.4E-2</v>
      </c>
      <c r="M94" s="544">
        <f t="shared" si="7"/>
        <v>-1</v>
      </c>
      <c r="N94" s="626" t="s">
        <v>557</v>
      </c>
      <c r="O94" s="545"/>
      <c r="P94" s="545"/>
    </row>
    <row r="95" spans="1:16" ht="14.1" customHeight="1" x14ac:dyDescent="0.2">
      <c r="A95" s="538" t="s">
        <v>64</v>
      </c>
      <c r="B95" s="627" t="s">
        <v>525</v>
      </c>
      <c r="C95" s="518">
        <v>2253145.13</v>
      </c>
      <c r="D95" s="520">
        <v>2253145.13</v>
      </c>
      <c r="E95" s="520">
        <v>0</v>
      </c>
      <c r="F95" s="539" t="s">
        <v>135</v>
      </c>
      <c r="G95" s="520">
        <v>0</v>
      </c>
      <c r="H95" s="539" t="s">
        <v>135</v>
      </c>
      <c r="I95" s="520">
        <v>0</v>
      </c>
      <c r="J95" s="524" t="s">
        <v>135</v>
      </c>
      <c r="K95" s="540">
        <v>0</v>
      </c>
      <c r="L95" s="588">
        <v>0</v>
      </c>
      <c r="M95" s="544" t="s">
        <v>135</v>
      </c>
      <c r="N95" s="626" t="s">
        <v>560</v>
      </c>
    </row>
    <row r="96" spans="1:16" ht="14.1" customHeight="1" x14ac:dyDescent="0.2">
      <c r="A96" s="538" t="s">
        <v>65</v>
      </c>
      <c r="B96" s="38" t="s">
        <v>539</v>
      </c>
      <c r="C96" s="518">
        <v>158630554.56</v>
      </c>
      <c r="D96" s="520">
        <v>158626747.56</v>
      </c>
      <c r="E96" s="520">
        <v>697507.97</v>
      </c>
      <c r="F96" s="539">
        <f t="shared" si="4"/>
        <v>4.3971649216105252E-3</v>
      </c>
      <c r="G96" s="520">
        <v>697507.97</v>
      </c>
      <c r="H96" s="539">
        <f t="shared" si="5"/>
        <v>4.3971649216105252E-3</v>
      </c>
      <c r="I96" s="520">
        <v>22507.97</v>
      </c>
      <c r="J96" s="524">
        <f t="shared" si="6"/>
        <v>1.418926526970897E-4</v>
      </c>
      <c r="K96" s="540">
        <v>18035.91</v>
      </c>
      <c r="L96" s="582">
        <v>0</v>
      </c>
      <c r="M96" s="544">
        <f t="shared" si="7"/>
        <v>0.24795311132069298</v>
      </c>
    </row>
    <row r="97" spans="1:14" ht="14.1" customHeight="1" x14ac:dyDescent="0.2">
      <c r="A97" s="538" t="s">
        <v>66</v>
      </c>
      <c r="B97" s="38" t="s">
        <v>102</v>
      </c>
      <c r="C97" s="518">
        <v>168939654.47999999</v>
      </c>
      <c r="D97" s="520">
        <v>169042394.24000001</v>
      </c>
      <c r="E97" s="520">
        <v>126199.76</v>
      </c>
      <c r="F97" s="539">
        <f t="shared" si="4"/>
        <v>7.4655686561577177E-4</v>
      </c>
      <c r="G97" s="520">
        <v>126199.76</v>
      </c>
      <c r="H97" s="539">
        <f t="shared" si="5"/>
        <v>7.4655686561577177E-4</v>
      </c>
      <c r="I97" s="520">
        <v>106490.85</v>
      </c>
      <c r="J97" s="524">
        <f t="shared" si="6"/>
        <v>6.2996534377529178E-4</v>
      </c>
      <c r="K97" s="540">
        <v>114364.77</v>
      </c>
      <c r="L97" s="582">
        <v>1E-3</v>
      </c>
      <c r="M97" s="544">
        <f t="shared" si="7"/>
        <v>-6.8849174444192918E-2</v>
      </c>
    </row>
    <row r="98" spans="1:14" ht="14.1" customHeight="1" x14ac:dyDescent="0.2">
      <c r="A98" s="538" t="s">
        <v>67</v>
      </c>
      <c r="B98" s="38" t="s">
        <v>540</v>
      </c>
      <c r="C98" s="518">
        <v>12029885</v>
      </c>
      <c r="D98" s="520">
        <v>12029885</v>
      </c>
      <c r="E98" s="520">
        <v>0</v>
      </c>
      <c r="F98" s="539" t="s">
        <v>135</v>
      </c>
      <c r="G98" s="520">
        <v>0</v>
      </c>
      <c r="H98" s="539" t="s">
        <v>135</v>
      </c>
      <c r="I98" s="520">
        <v>0</v>
      </c>
      <c r="J98" s="524" t="s">
        <v>135</v>
      </c>
      <c r="K98" s="540">
        <v>0</v>
      </c>
      <c r="L98" s="582">
        <v>0</v>
      </c>
      <c r="M98" s="544" t="s">
        <v>135</v>
      </c>
    </row>
    <row r="99" spans="1:14" ht="14.1" customHeight="1" x14ac:dyDescent="0.2">
      <c r="A99" s="538" t="s">
        <v>68</v>
      </c>
      <c r="B99" s="38" t="s">
        <v>103</v>
      </c>
      <c r="C99" s="518">
        <v>31201317.460000001</v>
      </c>
      <c r="D99" s="520">
        <v>31191233.690000001</v>
      </c>
      <c r="E99" s="520">
        <v>345286.61</v>
      </c>
      <c r="F99" s="539">
        <f t="shared" si="4"/>
        <v>1.106998887673686E-2</v>
      </c>
      <c r="G99" s="520">
        <v>345286.61</v>
      </c>
      <c r="H99" s="539">
        <f t="shared" si="5"/>
        <v>1.106998887673686E-2</v>
      </c>
      <c r="I99" s="520">
        <v>42786.61</v>
      </c>
      <c r="J99" s="524">
        <f t="shared" si="6"/>
        <v>1.3717511280651111E-3</v>
      </c>
      <c r="K99" s="540">
        <v>48176.03</v>
      </c>
      <c r="L99" s="582">
        <v>2E-3</v>
      </c>
      <c r="M99" s="544">
        <f t="shared" si="7"/>
        <v>-0.11186932588675325</v>
      </c>
    </row>
    <row r="100" spans="1:14" ht="14.1" customHeight="1" x14ac:dyDescent="0.2">
      <c r="A100" s="538" t="s">
        <v>69</v>
      </c>
      <c r="B100" s="38" t="s">
        <v>116</v>
      </c>
      <c r="C100" s="518">
        <v>1332914.3600000001</v>
      </c>
      <c r="D100" s="520">
        <v>1332914.3600000001</v>
      </c>
      <c r="E100" s="520">
        <v>585558.53</v>
      </c>
      <c r="F100" s="539">
        <f t="shared" si="4"/>
        <v>0.4393069409200453</v>
      </c>
      <c r="G100" s="520">
        <v>347558.53</v>
      </c>
      <c r="H100" s="539">
        <f t="shared" si="5"/>
        <v>0.26075083323432724</v>
      </c>
      <c r="I100" s="520">
        <v>0</v>
      </c>
      <c r="J100" s="524" t="s">
        <v>135</v>
      </c>
      <c r="K100" s="540">
        <v>0</v>
      </c>
      <c r="L100" s="582">
        <v>0</v>
      </c>
      <c r="M100" s="544" t="s">
        <v>135</v>
      </c>
    </row>
    <row r="101" spans="1:14" ht="14.1" customHeight="1" x14ac:dyDescent="0.2">
      <c r="A101" s="538" t="s">
        <v>70</v>
      </c>
      <c r="B101" s="38" t="s">
        <v>113</v>
      </c>
      <c r="C101" s="518">
        <v>47869228.009999998</v>
      </c>
      <c r="D101" s="520">
        <v>47869228.009999998</v>
      </c>
      <c r="E101" s="520">
        <v>47494228</v>
      </c>
      <c r="F101" s="539">
        <f t="shared" si="4"/>
        <v>0.99216615714125034</v>
      </c>
      <c r="G101" s="520">
        <v>47494228</v>
      </c>
      <c r="H101" s="539">
        <f t="shared" si="5"/>
        <v>0.99216615714125034</v>
      </c>
      <c r="I101" s="520">
        <v>0</v>
      </c>
      <c r="J101" s="524" t="s">
        <v>135</v>
      </c>
      <c r="K101" s="540">
        <v>3878.33</v>
      </c>
      <c r="L101" s="582">
        <v>0</v>
      </c>
      <c r="M101" s="544">
        <f t="shared" si="7"/>
        <v>-1</v>
      </c>
    </row>
    <row r="102" spans="1:14" ht="14.1" customHeight="1" x14ac:dyDescent="0.2">
      <c r="A102" s="546" t="s">
        <v>541</v>
      </c>
      <c r="B102" s="39" t="s">
        <v>542</v>
      </c>
      <c r="C102" s="518">
        <v>2485349.2200000002</v>
      </c>
      <c r="D102" s="520">
        <v>2501546.7400000002</v>
      </c>
      <c r="E102" s="520">
        <v>305078.78000000003</v>
      </c>
      <c r="F102" s="539">
        <f t="shared" si="4"/>
        <v>0.12195605827456976</v>
      </c>
      <c r="G102" s="520">
        <v>279078.78000000003</v>
      </c>
      <c r="H102" s="539">
        <f t="shared" si="5"/>
        <v>0.11156248873446994</v>
      </c>
      <c r="I102" s="520">
        <v>39356.42</v>
      </c>
      <c r="J102" s="524">
        <f t="shared" si="6"/>
        <v>1.5732834158437511E-2</v>
      </c>
      <c r="K102" s="632">
        <v>0</v>
      </c>
      <c r="L102" s="628">
        <v>0</v>
      </c>
      <c r="M102" s="544" t="s">
        <v>135</v>
      </c>
      <c r="N102" s="626" t="s">
        <v>560</v>
      </c>
    </row>
    <row r="103" spans="1:14" ht="14.1" customHeight="1" x14ac:dyDescent="0.2">
      <c r="A103" s="546" t="s">
        <v>71</v>
      </c>
      <c r="B103" s="39" t="s">
        <v>137</v>
      </c>
      <c r="C103" s="518">
        <v>1483166.28</v>
      </c>
      <c r="D103" s="520">
        <v>1483166.28</v>
      </c>
      <c r="E103" s="520">
        <v>1096050.52</v>
      </c>
      <c r="F103" s="547">
        <f t="shared" si="4"/>
        <v>0.73899368855661951</v>
      </c>
      <c r="G103" s="520">
        <v>1030050.45</v>
      </c>
      <c r="H103" s="547">
        <f t="shared" si="5"/>
        <v>0.69449424780611912</v>
      </c>
      <c r="I103" s="520">
        <v>0</v>
      </c>
      <c r="J103" s="548">
        <f t="shared" si="6"/>
        <v>0</v>
      </c>
      <c r="K103" s="549">
        <v>39099</v>
      </c>
      <c r="L103" s="628">
        <v>1.0999999999999999E-2</v>
      </c>
      <c r="M103" s="544">
        <f t="shared" si="7"/>
        <v>-1</v>
      </c>
    </row>
    <row r="104" spans="1:14" ht="14.1" customHeight="1" x14ac:dyDescent="0.2">
      <c r="A104" s="17">
        <v>1</v>
      </c>
      <c r="B104" s="510" t="s">
        <v>130</v>
      </c>
      <c r="C104" s="526">
        <f>SUBTOTAL(9,C84:C103)</f>
        <v>827428978.15999997</v>
      </c>
      <c r="D104" s="527">
        <f>SUBTOTAL(9,D84:D103)</f>
        <v>836988018.26000011</v>
      </c>
      <c r="E104" s="528">
        <f>SUBTOTAL(9,E84:E103)</f>
        <v>126437404.13000001</v>
      </c>
      <c r="F104" s="529">
        <f t="shared" si="4"/>
        <v>0.15106238246139836</v>
      </c>
      <c r="G104" s="528">
        <f>SUBTOTAL(9,G84:G103)</f>
        <v>118785872.34000002</v>
      </c>
      <c r="H104" s="529">
        <f t="shared" si="5"/>
        <v>0.14192063655456133</v>
      </c>
      <c r="I104" s="528">
        <f>SUBTOTAL(9,I84:I103)</f>
        <v>17427219.560000002</v>
      </c>
      <c r="J104" s="530">
        <f t="shared" si="6"/>
        <v>2.0821348907991713E-2</v>
      </c>
      <c r="K104" s="528">
        <f>SUBTOTAL(9,K84:K103)</f>
        <v>19277813.539999995</v>
      </c>
      <c r="L104" s="531">
        <v>2.4E-2</v>
      </c>
      <c r="M104" s="532">
        <f t="shared" si="7"/>
        <v>-9.5996051427728157E-2</v>
      </c>
    </row>
    <row r="105" spans="1:14" ht="14.1" customHeight="1" x14ac:dyDescent="0.2">
      <c r="A105" s="533" t="s">
        <v>72</v>
      </c>
      <c r="B105" s="37" t="s">
        <v>104</v>
      </c>
      <c r="C105" s="518">
        <v>708758.5</v>
      </c>
      <c r="D105" s="520">
        <v>654494.4</v>
      </c>
      <c r="E105" s="520">
        <v>46869.93</v>
      </c>
      <c r="F105" s="534">
        <f t="shared" si="4"/>
        <v>7.1612423269014985E-2</v>
      </c>
      <c r="G105" s="520">
        <v>46869.93</v>
      </c>
      <c r="H105" s="534">
        <f t="shared" si="5"/>
        <v>7.1612423269014985E-2</v>
      </c>
      <c r="I105" s="520">
        <v>46869.93</v>
      </c>
      <c r="J105" s="535">
        <f t="shared" si="6"/>
        <v>7.1612423269014985E-2</v>
      </c>
      <c r="K105" s="536">
        <v>54120.85</v>
      </c>
      <c r="L105" s="581">
        <v>7.1999999999999995E-2</v>
      </c>
      <c r="M105" s="537">
        <f t="shared" si="7"/>
        <v>-0.13397646193657342</v>
      </c>
    </row>
    <row r="106" spans="1:14" ht="14.1" customHeight="1" x14ac:dyDescent="0.2">
      <c r="A106" s="538" t="s">
        <v>73</v>
      </c>
      <c r="B106" s="38" t="s">
        <v>543</v>
      </c>
      <c r="C106" s="518">
        <v>20680688.129999999</v>
      </c>
      <c r="D106" s="520">
        <v>20771388.09</v>
      </c>
      <c r="E106" s="520">
        <v>2350383.91</v>
      </c>
      <c r="F106" s="539">
        <f t="shared" si="4"/>
        <v>0.11315487919324703</v>
      </c>
      <c r="G106" s="520">
        <v>1769427.79</v>
      </c>
      <c r="H106" s="539">
        <f t="shared" si="5"/>
        <v>8.5185823033746028E-2</v>
      </c>
      <c r="I106" s="520">
        <v>994409.75</v>
      </c>
      <c r="J106" s="524">
        <f t="shared" si="6"/>
        <v>4.7874015241125854E-2</v>
      </c>
      <c r="K106" s="540">
        <v>1027830.38</v>
      </c>
      <c r="L106" s="582">
        <v>5.0999999999999997E-2</v>
      </c>
      <c r="M106" s="544">
        <f t="shared" si="7"/>
        <v>-3.2515705558343155E-2</v>
      </c>
    </row>
    <row r="107" spans="1:14" ht="14.1" customHeight="1" x14ac:dyDescent="0.2">
      <c r="A107" s="538" t="s">
        <v>74</v>
      </c>
      <c r="B107" s="38" t="s">
        <v>526</v>
      </c>
      <c r="C107" s="518">
        <v>180754699.88999999</v>
      </c>
      <c r="D107" s="520">
        <v>180726689.88999999</v>
      </c>
      <c r="E107" s="520">
        <v>130443422.95999999</v>
      </c>
      <c r="F107" s="539">
        <f t="shared" si="4"/>
        <v>0.72177177061891029</v>
      </c>
      <c r="G107" s="520">
        <v>128852122.47</v>
      </c>
      <c r="H107" s="539">
        <f t="shared" si="5"/>
        <v>0.71296675963260514</v>
      </c>
      <c r="I107" s="520">
        <v>6937272.7199999997</v>
      </c>
      <c r="J107" s="524">
        <f t="shared" si="6"/>
        <v>3.838543562227803E-2</v>
      </c>
      <c r="K107" s="540">
        <v>8966295.3699999992</v>
      </c>
      <c r="L107" s="582">
        <v>5.3686140000000005E-4</v>
      </c>
      <c r="M107" s="544">
        <f t="shared" si="7"/>
        <v>-0.22629442442737635</v>
      </c>
      <c r="N107" s="626" t="s">
        <v>561</v>
      </c>
    </row>
    <row r="108" spans="1:14" ht="14.1" customHeight="1" x14ac:dyDescent="0.2">
      <c r="A108" s="538" t="s">
        <v>75</v>
      </c>
      <c r="B108" s="38" t="s">
        <v>105</v>
      </c>
      <c r="C108" s="518">
        <v>29950298.399999999</v>
      </c>
      <c r="D108" s="520">
        <v>29968764.34</v>
      </c>
      <c r="E108" s="520">
        <v>13038184.26</v>
      </c>
      <c r="F108" s="539">
        <f t="shared" si="4"/>
        <v>0.43505912062572549</v>
      </c>
      <c r="G108" s="520">
        <v>8402418.4199999999</v>
      </c>
      <c r="H108" s="539">
        <f t="shared" si="5"/>
        <v>0.28037253470558005</v>
      </c>
      <c r="I108" s="520">
        <v>189813.42</v>
      </c>
      <c r="J108" s="524">
        <f t="shared" si="6"/>
        <v>6.3337085855972941E-3</v>
      </c>
      <c r="K108" s="540">
        <v>197316.59</v>
      </c>
      <c r="L108" s="582">
        <v>7.0000000000000001E-3</v>
      </c>
      <c r="M108" s="544">
        <f t="shared" si="7"/>
        <v>-3.8026047378986183E-2</v>
      </c>
      <c r="N108" s="498" t="s">
        <v>154</v>
      </c>
    </row>
    <row r="109" spans="1:14" ht="14.1" customHeight="1" x14ac:dyDescent="0.2">
      <c r="A109" s="546">
        <v>234</v>
      </c>
      <c r="B109" s="39" t="s">
        <v>451</v>
      </c>
      <c r="C109" s="518">
        <v>8908528.6099999994</v>
      </c>
      <c r="D109" s="520">
        <v>8906008.6099999994</v>
      </c>
      <c r="E109" s="520">
        <v>8712230.7100000009</v>
      </c>
      <c r="F109" s="547">
        <f t="shared" si="4"/>
        <v>0.97824189168395626</v>
      </c>
      <c r="G109" s="520">
        <v>8663930.7100000009</v>
      </c>
      <c r="H109" s="547">
        <f t="shared" si="5"/>
        <v>0.97281858679900846</v>
      </c>
      <c r="I109" s="520">
        <v>0</v>
      </c>
      <c r="J109" s="548" t="s">
        <v>135</v>
      </c>
      <c r="K109" s="583">
        <v>500000</v>
      </c>
      <c r="L109" s="584">
        <v>6.0999999999999999E-2</v>
      </c>
      <c r="M109" s="585">
        <f t="shared" si="7"/>
        <v>-1</v>
      </c>
    </row>
    <row r="110" spans="1:14" ht="14.1" customHeight="1" x14ac:dyDescent="0.2">
      <c r="A110" s="538">
        <v>239</v>
      </c>
      <c r="B110" s="38" t="s">
        <v>498</v>
      </c>
      <c r="C110" s="518">
        <v>2850236.89</v>
      </c>
      <c r="D110" s="520">
        <v>2850236.89</v>
      </c>
      <c r="E110" s="520">
        <v>0</v>
      </c>
      <c r="F110" s="539" t="s">
        <v>135</v>
      </c>
      <c r="G110" s="520">
        <v>0</v>
      </c>
      <c r="H110" s="539" t="s">
        <v>135</v>
      </c>
      <c r="I110" s="520">
        <v>0</v>
      </c>
      <c r="J110" s="524" t="s">
        <v>135</v>
      </c>
      <c r="K110" s="586">
        <v>0</v>
      </c>
      <c r="L110" s="582">
        <v>0</v>
      </c>
      <c r="M110" s="544" t="s">
        <v>135</v>
      </c>
    </row>
    <row r="111" spans="1:14" ht="14.1" customHeight="1" x14ac:dyDescent="0.2">
      <c r="A111" s="17">
        <v>2</v>
      </c>
      <c r="B111" s="510" t="s">
        <v>129</v>
      </c>
      <c r="C111" s="526">
        <f>SUBTOTAL(9,C105:C110)</f>
        <v>243853210.41999996</v>
      </c>
      <c r="D111" s="527">
        <f>SUBTOTAL(9,D105:D110)</f>
        <v>243877582.21999997</v>
      </c>
      <c r="E111" s="528">
        <f>SUBTOTAL(9,E105:E110)</f>
        <v>154591091.77000001</v>
      </c>
      <c r="F111" s="553">
        <f>E111/D111</f>
        <v>0.63388807762799881</v>
      </c>
      <c r="G111" s="528">
        <f>SUBTOTAL(9,G105:G110)</f>
        <v>147734769.31999999</v>
      </c>
      <c r="H111" s="553">
        <f>G111/D111</f>
        <v>0.60577429042547115</v>
      </c>
      <c r="I111" s="528">
        <f>SUBTOTAL(9,I105:I110)</f>
        <v>8168365.8199999994</v>
      </c>
      <c r="J111" s="554">
        <f>I111/D111</f>
        <v>3.3493713303387532E-2</v>
      </c>
      <c r="K111" s="528">
        <f>SUBTOTAL(9,K105:K110)</f>
        <v>10745563.189999999</v>
      </c>
      <c r="L111" s="531">
        <v>0.05</v>
      </c>
      <c r="M111" s="532">
        <f t="shared" ref="M111:M127" si="8">+I111/K111-1</f>
        <v>-0.23983827784832934</v>
      </c>
    </row>
    <row r="112" spans="1:14" ht="14.1" customHeight="1" x14ac:dyDescent="0.2">
      <c r="A112" s="533" t="s">
        <v>544</v>
      </c>
      <c r="B112" s="37" t="s">
        <v>519</v>
      </c>
      <c r="C112" s="518">
        <v>16774924.1</v>
      </c>
      <c r="D112" s="520">
        <v>16774924.1</v>
      </c>
      <c r="E112" s="520">
        <v>15721352.92</v>
      </c>
      <c r="F112" s="534">
        <f>+E112/D112</f>
        <v>0.93719368423252658</v>
      </c>
      <c r="G112" s="520">
        <v>15469352.92</v>
      </c>
      <c r="H112" s="534">
        <f>+G112/D112</f>
        <v>0.92217126156773488</v>
      </c>
      <c r="I112" s="520">
        <v>2602176.2999999998</v>
      </c>
      <c r="J112" s="535">
        <f>+I112/D112</f>
        <v>0.15512298502739574</v>
      </c>
      <c r="K112" s="540">
        <v>2583263.4900000002</v>
      </c>
      <c r="L112" s="581">
        <v>0.156</v>
      </c>
      <c r="M112" s="537">
        <f>+I112/K112-1</f>
        <v>7.3212856811597504E-3</v>
      </c>
      <c r="N112" s="626" t="s">
        <v>562</v>
      </c>
    </row>
    <row r="113" spans="1:14" ht="14.1" customHeight="1" x14ac:dyDescent="0.2">
      <c r="A113" s="533" t="s">
        <v>76</v>
      </c>
      <c r="B113" s="37" t="s">
        <v>138</v>
      </c>
      <c r="C113" s="518">
        <v>2248848</v>
      </c>
      <c r="D113" s="520">
        <v>2248848</v>
      </c>
      <c r="E113" s="520">
        <v>2248848</v>
      </c>
      <c r="F113" s="534">
        <f>+E113/D113</f>
        <v>1</v>
      </c>
      <c r="G113" s="520">
        <v>2248848</v>
      </c>
      <c r="H113" s="534">
        <f>+G113/D113</f>
        <v>1</v>
      </c>
      <c r="I113" s="520">
        <v>0</v>
      </c>
      <c r="J113" s="535" t="s">
        <v>135</v>
      </c>
      <c r="K113" s="587">
        <v>0</v>
      </c>
      <c r="L113" s="581">
        <v>0</v>
      </c>
      <c r="M113" s="537" t="s">
        <v>135</v>
      </c>
    </row>
    <row r="114" spans="1:14" ht="14.1" customHeight="1" x14ac:dyDescent="0.2">
      <c r="A114" s="538" t="s">
        <v>77</v>
      </c>
      <c r="B114" s="38" t="s">
        <v>503</v>
      </c>
      <c r="C114" s="518">
        <v>8261679.1600000001</v>
      </c>
      <c r="D114" s="520">
        <v>8261679.1600000001</v>
      </c>
      <c r="E114" s="520">
        <v>8261679.1600000001</v>
      </c>
      <c r="F114" s="539">
        <f t="shared" ref="F114:F152" si="9">+E114/D114</f>
        <v>1</v>
      </c>
      <c r="G114" s="520">
        <v>8261679.1600000001</v>
      </c>
      <c r="H114" s="539">
        <f t="shared" ref="H114:H152" si="10">+G114/D114</f>
        <v>1</v>
      </c>
      <c r="I114" s="520">
        <v>0</v>
      </c>
      <c r="J114" s="524" t="s">
        <v>135</v>
      </c>
      <c r="K114" s="540">
        <v>9720000</v>
      </c>
      <c r="L114" s="582">
        <v>0.19600000000000001</v>
      </c>
      <c r="M114" s="544">
        <f t="shared" si="8"/>
        <v>-1</v>
      </c>
    </row>
    <row r="115" spans="1:14" ht="14.1" customHeight="1" x14ac:dyDescent="0.2">
      <c r="A115" s="538">
        <v>323</v>
      </c>
      <c r="B115" s="38" t="s">
        <v>527</v>
      </c>
      <c r="C115" s="518">
        <v>39307154.049999997</v>
      </c>
      <c r="D115" s="520">
        <v>39307154.049999997</v>
      </c>
      <c r="E115" s="520">
        <v>39307154.049999997</v>
      </c>
      <c r="F115" s="539">
        <f t="shared" si="9"/>
        <v>1</v>
      </c>
      <c r="G115" s="520">
        <v>39307154.049999997</v>
      </c>
      <c r="H115" s="539">
        <f t="shared" si="10"/>
        <v>1</v>
      </c>
      <c r="I115" s="520">
        <v>9920000</v>
      </c>
      <c r="J115" s="524">
        <f t="shared" ref="J115:J152" si="11">+I115/D115</f>
        <v>0.25237136189970488</v>
      </c>
      <c r="K115" s="540">
        <v>0</v>
      </c>
      <c r="L115" s="588">
        <v>0</v>
      </c>
      <c r="M115" s="537" t="s">
        <v>135</v>
      </c>
      <c r="N115" s="626" t="s">
        <v>567</v>
      </c>
    </row>
    <row r="116" spans="1:14" ht="14.1" customHeight="1" x14ac:dyDescent="0.2">
      <c r="A116" s="538">
        <v>324</v>
      </c>
      <c r="B116" s="38" t="s">
        <v>521</v>
      </c>
      <c r="C116" s="518">
        <v>7463831</v>
      </c>
      <c r="D116" s="520">
        <v>7463831</v>
      </c>
      <c r="E116" s="520">
        <v>7463831</v>
      </c>
      <c r="F116" s="539">
        <f t="shared" si="9"/>
        <v>1</v>
      </c>
      <c r="G116" s="520">
        <v>7463831</v>
      </c>
      <c r="H116" s="539">
        <f t="shared" si="10"/>
        <v>1</v>
      </c>
      <c r="I116" s="520">
        <v>0</v>
      </c>
      <c r="J116" s="524" t="s">
        <v>135</v>
      </c>
      <c r="K116" s="589">
        <v>0</v>
      </c>
      <c r="L116" s="582">
        <v>0</v>
      </c>
      <c r="M116" s="544" t="s">
        <v>135</v>
      </c>
      <c r="N116" s="626" t="s">
        <v>565</v>
      </c>
    </row>
    <row r="117" spans="1:14" ht="14.1" customHeight="1" x14ac:dyDescent="0.2">
      <c r="A117" s="538" t="s">
        <v>520</v>
      </c>
      <c r="B117" s="38" t="s">
        <v>118</v>
      </c>
      <c r="C117" s="518">
        <v>14209859.460000001</v>
      </c>
      <c r="D117" s="520">
        <v>14193835.460000001</v>
      </c>
      <c r="E117" s="520">
        <v>10123126.300000001</v>
      </c>
      <c r="F117" s="539">
        <f t="shared" si="9"/>
        <v>0.71320583703596063</v>
      </c>
      <c r="G117" s="520">
        <v>10068371.1</v>
      </c>
      <c r="H117" s="539">
        <f t="shared" si="10"/>
        <v>0.70934816233243825</v>
      </c>
      <c r="I117" s="520">
        <v>0</v>
      </c>
      <c r="J117" s="524" t="s">
        <v>135</v>
      </c>
      <c r="K117" s="589">
        <v>0</v>
      </c>
      <c r="L117" s="582">
        <v>0</v>
      </c>
      <c r="M117" s="544" t="s">
        <v>135</v>
      </c>
      <c r="N117" s="626" t="s">
        <v>564</v>
      </c>
    </row>
    <row r="118" spans="1:14" ht="14.1" customHeight="1" x14ac:dyDescent="0.2">
      <c r="A118" s="538">
        <v>328</v>
      </c>
      <c r="B118" s="38" t="s">
        <v>452</v>
      </c>
      <c r="C118" s="518">
        <v>9039781.6799999997</v>
      </c>
      <c r="D118" s="520">
        <v>9039781.6799999997</v>
      </c>
      <c r="E118" s="520">
        <v>7879921.6799999997</v>
      </c>
      <c r="F118" s="539">
        <f t="shared" si="9"/>
        <v>0.8716938040034613</v>
      </c>
      <c r="G118" s="520">
        <v>7879921.6799999997</v>
      </c>
      <c r="H118" s="539">
        <f t="shared" si="10"/>
        <v>0.8716938040034613</v>
      </c>
      <c r="I118" s="520">
        <v>0</v>
      </c>
      <c r="J118" s="524" t="s">
        <v>135</v>
      </c>
      <c r="K118" s="589">
        <v>0</v>
      </c>
      <c r="L118" s="582">
        <v>0</v>
      </c>
      <c r="M118" s="544" t="s">
        <v>135</v>
      </c>
      <c r="N118" s="626" t="s">
        <v>563</v>
      </c>
    </row>
    <row r="119" spans="1:14" ht="14.1" customHeight="1" x14ac:dyDescent="0.2">
      <c r="A119" s="538" t="s">
        <v>546</v>
      </c>
      <c r="B119" s="38" t="s">
        <v>545</v>
      </c>
      <c r="C119" s="518">
        <v>28919222.559999999</v>
      </c>
      <c r="D119" s="520">
        <v>28919222.559999999</v>
      </c>
      <c r="E119" s="520">
        <v>22679082.559999999</v>
      </c>
      <c r="F119" s="539">
        <f t="shared" si="9"/>
        <v>0.78422172355936248</v>
      </c>
      <c r="G119" s="520">
        <v>22679082.559999999</v>
      </c>
      <c r="H119" s="539">
        <f t="shared" si="10"/>
        <v>0.78422172355936248</v>
      </c>
      <c r="I119" s="520">
        <v>9300000</v>
      </c>
      <c r="J119" s="524">
        <f t="shared" si="11"/>
        <v>0.32158540848409312</v>
      </c>
      <c r="K119" s="540">
        <v>9600000</v>
      </c>
      <c r="L119" s="588">
        <v>0.32800000000000001</v>
      </c>
      <c r="M119" s="544">
        <f t="shared" si="8"/>
        <v>-3.125E-2</v>
      </c>
      <c r="N119" s="626" t="s">
        <v>566</v>
      </c>
    </row>
    <row r="120" spans="1:14" ht="14.1" customHeight="1" x14ac:dyDescent="0.2">
      <c r="A120" s="538" t="s">
        <v>453</v>
      </c>
      <c r="B120" s="38" t="s">
        <v>504</v>
      </c>
      <c r="C120" s="518">
        <v>10147004.630000001</v>
      </c>
      <c r="D120" s="520">
        <v>10116330.539999999</v>
      </c>
      <c r="E120" s="520">
        <v>9815405.0500000007</v>
      </c>
      <c r="F120" s="539">
        <f t="shared" si="9"/>
        <v>0.97025349371393732</v>
      </c>
      <c r="G120" s="520">
        <v>9815405.0500000007</v>
      </c>
      <c r="H120" s="539">
        <f t="shared" si="10"/>
        <v>0.97025349371393732</v>
      </c>
      <c r="I120" s="520">
        <v>31599.08</v>
      </c>
      <c r="J120" s="524">
        <f t="shared" si="11"/>
        <v>3.1235713260907355E-3</v>
      </c>
      <c r="K120" s="540">
        <v>26458.5</v>
      </c>
      <c r="L120" s="582">
        <v>3.0000000000000001E-3</v>
      </c>
      <c r="M120" s="544">
        <f t="shared" si="8"/>
        <v>0.19428841393125085</v>
      </c>
    </row>
    <row r="121" spans="1:14" ht="14.1" customHeight="1" x14ac:dyDescent="0.2">
      <c r="A121" s="538" t="s">
        <v>79</v>
      </c>
      <c r="B121" s="38" t="s">
        <v>114</v>
      </c>
      <c r="C121" s="518">
        <v>12497819.630000001</v>
      </c>
      <c r="D121" s="520">
        <v>12478019.630000001</v>
      </c>
      <c r="E121" s="520">
        <v>12405811.1</v>
      </c>
      <c r="F121" s="539">
        <f t="shared" si="9"/>
        <v>0.99421314181728038</v>
      </c>
      <c r="G121" s="520">
        <v>12375666.1</v>
      </c>
      <c r="H121" s="539">
        <f t="shared" si="10"/>
        <v>0.99179729371847436</v>
      </c>
      <c r="I121" s="520">
        <v>0</v>
      </c>
      <c r="J121" s="524" t="s">
        <v>135</v>
      </c>
      <c r="K121" s="540">
        <v>1600000</v>
      </c>
      <c r="L121" s="582">
        <v>0.13</v>
      </c>
      <c r="M121" s="544">
        <f t="shared" si="8"/>
        <v>-1</v>
      </c>
    </row>
    <row r="122" spans="1:14" ht="14.1" customHeight="1" x14ac:dyDescent="0.2">
      <c r="A122" s="538" t="s">
        <v>80</v>
      </c>
      <c r="B122" s="38" t="s">
        <v>528</v>
      </c>
      <c r="C122" s="518">
        <v>64496879.130000003</v>
      </c>
      <c r="D122" s="520">
        <v>64496879.130000003</v>
      </c>
      <c r="E122" s="520">
        <v>64496879.130000003</v>
      </c>
      <c r="F122" s="539">
        <f t="shared" si="9"/>
        <v>1</v>
      </c>
      <c r="G122" s="520">
        <v>64496879.130000003</v>
      </c>
      <c r="H122" s="539">
        <f t="shared" si="10"/>
        <v>1</v>
      </c>
      <c r="I122" s="520">
        <v>17000000</v>
      </c>
      <c r="J122" s="524">
        <f t="shared" si="11"/>
        <v>0.26357864487884408</v>
      </c>
      <c r="K122" s="586">
        <v>0</v>
      </c>
      <c r="L122" s="582">
        <v>0</v>
      </c>
      <c r="M122" s="544" t="s">
        <v>135</v>
      </c>
      <c r="N122" s="626" t="s">
        <v>568</v>
      </c>
    </row>
    <row r="123" spans="1:14" ht="14.1" customHeight="1" x14ac:dyDescent="0.2">
      <c r="A123" s="538" t="s">
        <v>81</v>
      </c>
      <c r="B123" s="38" t="s">
        <v>106</v>
      </c>
      <c r="C123" s="518">
        <v>16590471.789999999</v>
      </c>
      <c r="D123" s="520">
        <v>16624046.35</v>
      </c>
      <c r="E123" s="520">
        <v>13846580.460000001</v>
      </c>
      <c r="F123" s="539">
        <f t="shared" si="9"/>
        <v>0.83292479872086023</v>
      </c>
      <c r="G123" s="520">
        <v>13808860.460000001</v>
      </c>
      <c r="H123" s="539">
        <f t="shared" si="10"/>
        <v>0.83065579638497589</v>
      </c>
      <c r="I123" s="520">
        <v>3171.57</v>
      </c>
      <c r="J123" s="524">
        <f t="shared" si="11"/>
        <v>1.9078207153819685E-4</v>
      </c>
      <c r="K123" s="540">
        <v>13417747</v>
      </c>
      <c r="L123" s="582">
        <v>0.48399999999999999</v>
      </c>
      <c r="M123" s="544">
        <f t="shared" si="8"/>
        <v>-0.99976362872246738</v>
      </c>
    </row>
    <row r="124" spans="1:14" ht="14.1" customHeight="1" x14ac:dyDescent="0.2">
      <c r="A124" s="538">
        <v>336</v>
      </c>
      <c r="B124" s="38" t="s">
        <v>454</v>
      </c>
      <c r="C124" s="518">
        <v>211322.62</v>
      </c>
      <c r="D124" s="520">
        <v>211322.62</v>
      </c>
      <c r="E124" s="520">
        <v>211322.62</v>
      </c>
      <c r="F124" s="539">
        <f t="shared" si="9"/>
        <v>1</v>
      </c>
      <c r="G124" s="520">
        <v>211322.62</v>
      </c>
      <c r="H124" s="539">
        <f t="shared" si="10"/>
        <v>1</v>
      </c>
      <c r="I124" s="520">
        <v>0</v>
      </c>
      <c r="J124" s="524" t="s">
        <v>135</v>
      </c>
      <c r="K124" s="589">
        <v>0</v>
      </c>
      <c r="L124" s="582">
        <v>0</v>
      </c>
      <c r="M124" s="544" t="s">
        <v>135</v>
      </c>
    </row>
    <row r="125" spans="1:14" ht="14.1" customHeight="1" x14ac:dyDescent="0.2">
      <c r="A125" s="538" t="s">
        <v>547</v>
      </c>
      <c r="B125" s="38" t="s">
        <v>530</v>
      </c>
      <c r="C125" s="518">
        <v>13215052.93</v>
      </c>
      <c r="D125" s="520">
        <v>13149272.68</v>
      </c>
      <c r="E125" s="520">
        <v>6648131.4400000004</v>
      </c>
      <c r="F125" s="539">
        <f t="shared" si="9"/>
        <v>0.50558929012946752</v>
      </c>
      <c r="G125" s="520">
        <v>6416976.2400000002</v>
      </c>
      <c r="H125" s="539">
        <f t="shared" si="10"/>
        <v>0.48800997562094822</v>
      </c>
      <c r="I125" s="520">
        <v>142279.54999999999</v>
      </c>
      <c r="J125" s="524">
        <f t="shared" si="11"/>
        <v>1.0820336110027341E-2</v>
      </c>
      <c r="K125" s="629">
        <v>0</v>
      </c>
      <c r="L125" s="582">
        <v>0</v>
      </c>
      <c r="M125" s="544" t="s">
        <v>135</v>
      </c>
      <c r="N125" s="626" t="s">
        <v>565</v>
      </c>
    </row>
    <row r="126" spans="1:14" ht="14.1" customHeight="1" x14ac:dyDescent="0.2">
      <c r="A126" s="538">
        <v>338</v>
      </c>
      <c r="B126" s="38" t="s">
        <v>447</v>
      </c>
      <c r="C126" s="518">
        <v>6508517.5999999996</v>
      </c>
      <c r="D126" s="520">
        <v>6510119.04</v>
      </c>
      <c r="E126" s="520">
        <v>4168729.38</v>
      </c>
      <c r="F126" s="539">
        <f t="shared" si="9"/>
        <v>0.64034610648225565</v>
      </c>
      <c r="G126" s="520">
        <v>3947784.57</v>
      </c>
      <c r="H126" s="539">
        <f t="shared" si="10"/>
        <v>0.60640743214428228</v>
      </c>
      <c r="I126" s="520">
        <v>33588.51</v>
      </c>
      <c r="J126" s="524">
        <f t="shared" si="11"/>
        <v>5.159431001740945E-3</v>
      </c>
      <c r="K126" s="540">
        <v>17310</v>
      </c>
      <c r="L126" s="582">
        <v>3.0000000000000001E-3</v>
      </c>
      <c r="M126" s="544">
        <f t="shared" si="8"/>
        <v>0.94041074523396895</v>
      </c>
    </row>
    <row r="127" spans="1:14" ht="14.1" customHeight="1" x14ac:dyDescent="0.2">
      <c r="A127" s="538" t="s">
        <v>82</v>
      </c>
      <c r="B127" s="38" t="s">
        <v>119</v>
      </c>
      <c r="C127" s="518">
        <v>11347381.6</v>
      </c>
      <c r="D127" s="520">
        <v>11328229.6</v>
      </c>
      <c r="E127" s="520">
        <v>10629493.77</v>
      </c>
      <c r="F127" s="547">
        <f t="shared" si="9"/>
        <v>0.93831906178878999</v>
      </c>
      <c r="G127" s="520">
        <v>10602368.17</v>
      </c>
      <c r="H127" s="547">
        <f t="shared" si="10"/>
        <v>0.93592454817476511</v>
      </c>
      <c r="I127" s="520">
        <v>2000000</v>
      </c>
      <c r="J127" s="548">
        <f t="shared" si="11"/>
        <v>0.17655009393524299</v>
      </c>
      <c r="K127" s="549">
        <v>1900000</v>
      </c>
      <c r="L127" s="590">
        <v>0.18099999999999999</v>
      </c>
      <c r="M127" s="544">
        <f t="shared" si="8"/>
        <v>5.2631578947368363E-2</v>
      </c>
    </row>
    <row r="128" spans="1:14" ht="14.1" customHeight="1" x14ac:dyDescent="0.2">
      <c r="A128" s="538">
        <v>342</v>
      </c>
      <c r="B128" s="38" t="s">
        <v>532</v>
      </c>
      <c r="C128" s="518">
        <v>4676210.57</v>
      </c>
      <c r="D128" s="520">
        <v>4676210.57</v>
      </c>
      <c r="E128" s="520">
        <v>4667210.57</v>
      </c>
      <c r="F128" s="547">
        <f t="shared" si="9"/>
        <v>0.99807536468572666</v>
      </c>
      <c r="G128" s="520">
        <v>4667210.57</v>
      </c>
      <c r="H128" s="547">
        <f t="shared" si="10"/>
        <v>0.99807536468572666</v>
      </c>
      <c r="I128" s="520">
        <v>0</v>
      </c>
      <c r="J128" s="548" t="s">
        <v>135</v>
      </c>
      <c r="K128" s="591">
        <v>0</v>
      </c>
      <c r="L128" s="592">
        <v>0</v>
      </c>
      <c r="M128" s="544" t="s">
        <v>135</v>
      </c>
    </row>
    <row r="129" spans="1:16" ht="14.1" customHeight="1" x14ac:dyDescent="0.2">
      <c r="A129" s="538">
        <v>343</v>
      </c>
      <c r="B129" s="38" t="s">
        <v>455</v>
      </c>
      <c r="C129" s="518">
        <v>7608676.7199999997</v>
      </c>
      <c r="D129" s="520">
        <v>7608676.7199999997</v>
      </c>
      <c r="E129" s="520">
        <v>7608676.7199999997</v>
      </c>
      <c r="F129" s="547">
        <f t="shared" si="9"/>
        <v>1</v>
      </c>
      <c r="G129" s="520">
        <v>7608676.7199999997</v>
      </c>
      <c r="H129" s="547">
        <f t="shared" si="10"/>
        <v>1</v>
      </c>
      <c r="I129" s="520">
        <v>0</v>
      </c>
      <c r="J129" s="548" t="s">
        <v>135</v>
      </c>
      <c r="K129" s="593">
        <v>0</v>
      </c>
      <c r="L129" s="580">
        <v>0</v>
      </c>
      <c r="M129" s="544" t="s">
        <v>135</v>
      </c>
    </row>
    <row r="130" spans="1:16" ht="14.1" customHeight="1" x14ac:dyDescent="0.2">
      <c r="A130" s="17">
        <v>3</v>
      </c>
      <c r="B130" s="510" t="s">
        <v>128</v>
      </c>
      <c r="C130" s="526">
        <f>SUBTOTAL(9,C112:C129)</f>
        <v>273524637.23000002</v>
      </c>
      <c r="D130" s="527">
        <f>SUBTOTAL(9,D112:D129)</f>
        <v>273408382.88999999</v>
      </c>
      <c r="E130" s="528">
        <f>SUBTOTAL(9,E112:E129)</f>
        <v>248183235.91</v>
      </c>
      <c r="F130" s="529">
        <f t="shared" si="9"/>
        <v>0.9077382093651869</v>
      </c>
      <c r="G130" s="528">
        <f>SUBTOTAL(9,G112:G129)</f>
        <v>247329390.09999999</v>
      </c>
      <c r="H130" s="529">
        <f t="shared" si="10"/>
        <v>0.90461524070938115</v>
      </c>
      <c r="I130" s="528">
        <f>SUBTOTAL(9,I112:I129)</f>
        <v>41032815.00999999</v>
      </c>
      <c r="J130" s="530">
        <f t="shared" si="11"/>
        <v>0.15007884753302778</v>
      </c>
      <c r="K130" s="528">
        <f>SUBTOTAL(9,K112:K129)</f>
        <v>38864778.990000002</v>
      </c>
      <c r="L130" s="531">
        <v>0.14599999999999999</v>
      </c>
      <c r="M130" s="532">
        <f t="shared" ref="M130:M131" si="12">+I130/K130-1</f>
        <v>5.5784082049143535E-2</v>
      </c>
    </row>
    <row r="131" spans="1:16" ht="14.1" customHeight="1" x14ac:dyDescent="0.2">
      <c r="A131" s="533">
        <v>430</v>
      </c>
      <c r="B131" s="37" t="s">
        <v>533</v>
      </c>
      <c r="C131" s="518">
        <v>3157718.66</v>
      </c>
      <c r="D131" s="520">
        <v>3422094.52</v>
      </c>
      <c r="E131" s="520">
        <v>307845.05</v>
      </c>
      <c r="F131" s="547">
        <f t="shared" si="9"/>
        <v>8.9958079240897174E-2</v>
      </c>
      <c r="G131" s="520">
        <v>272845.05</v>
      </c>
      <c r="H131" s="547">
        <f t="shared" si="10"/>
        <v>7.9730424862724122E-2</v>
      </c>
      <c r="I131" s="520">
        <v>249736.05</v>
      </c>
      <c r="J131" s="524">
        <f t="shared" si="11"/>
        <v>7.2977543004861242E-2</v>
      </c>
      <c r="K131" s="536">
        <v>87380.98</v>
      </c>
      <c r="L131" s="581">
        <v>3.2000000000000001E-2</v>
      </c>
      <c r="M131" s="537">
        <f t="shared" si="12"/>
        <v>1.8580138377939912</v>
      </c>
    </row>
    <row r="132" spans="1:16" ht="14.1" customHeight="1" x14ac:dyDescent="0.2">
      <c r="A132" s="533" t="s">
        <v>83</v>
      </c>
      <c r="B132" s="37" t="s">
        <v>107</v>
      </c>
      <c r="C132" s="518">
        <v>8913661.5299999993</v>
      </c>
      <c r="D132" s="520">
        <v>8915248.3900000006</v>
      </c>
      <c r="E132" s="520">
        <v>267679.42</v>
      </c>
      <c r="F132" s="534">
        <f t="shared" si="9"/>
        <v>3.0024897601310687E-2</v>
      </c>
      <c r="G132" s="520">
        <v>32709.42</v>
      </c>
      <c r="H132" s="534">
        <f t="shared" si="10"/>
        <v>3.6689297447605939E-3</v>
      </c>
      <c r="I132" s="520">
        <v>32709.42</v>
      </c>
      <c r="J132" s="535">
        <f t="shared" si="11"/>
        <v>3.6689297447605939E-3</v>
      </c>
      <c r="K132" s="536">
        <v>1005987.91</v>
      </c>
      <c r="L132" s="581">
        <v>0.115</v>
      </c>
      <c r="M132" s="537">
        <f t="shared" ref="M132:M152" si="13">+I132/K132-1</f>
        <v>-0.96748527524550465</v>
      </c>
    </row>
    <row r="133" spans="1:16" ht="14.1" customHeight="1" x14ac:dyDescent="0.2">
      <c r="A133" s="538" t="s">
        <v>84</v>
      </c>
      <c r="B133" s="38" t="s">
        <v>534</v>
      </c>
      <c r="C133" s="518">
        <v>4243112</v>
      </c>
      <c r="D133" s="520">
        <v>4243112</v>
      </c>
      <c r="E133" s="520">
        <v>1142000</v>
      </c>
      <c r="F133" s="539">
        <f t="shared" si="9"/>
        <v>0.26914208250925264</v>
      </c>
      <c r="G133" s="520">
        <v>1142000</v>
      </c>
      <c r="H133" s="539">
        <f t="shared" si="10"/>
        <v>0.26914208250925264</v>
      </c>
      <c r="I133" s="520">
        <v>285000</v>
      </c>
      <c r="J133" s="524">
        <f t="shared" si="11"/>
        <v>6.7167682587685643E-2</v>
      </c>
      <c r="K133" s="540">
        <v>1310684.8799999999</v>
      </c>
      <c r="L133" s="582">
        <v>0.17499999999999999</v>
      </c>
      <c r="M133" s="544">
        <f t="shared" si="13"/>
        <v>-0.78255642958206706</v>
      </c>
    </row>
    <row r="134" spans="1:16" ht="14.1" customHeight="1" x14ac:dyDescent="0.2">
      <c r="A134" s="538" t="s">
        <v>85</v>
      </c>
      <c r="B134" s="38" t="s">
        <v>108</v>
      </c>
      <c r="C134" s="518">
        <v>64291367.520000003</v>
      </c>
      <c r="D134" s="520">
        <v>64035367.520000003</v>
      </c>
      <c r="E134" s="520">
        <v>9593289.5299999993</v>
      </c>
      <c r="F134" s="539">
        <f t="shared" si="9"/>
        <v>0.14981235997441184</v>
      </c>
      <c r="G134" s="520">
        <v>4539553.53</v>
      </c>
      <c r="H134" s="539">
        <f t="shared" si="10"/>
        <v>7.0891348106687652E-2</v>
      </c>
      <c r="I134" s="520">
        <v>3202506.04</v>
      </c>
      <c r="J134" s="524">
        <f t="shared" si="11"/>
        <v>5.001151963404863E-2</v>
      </c>
      <c r="K134" s="540">
        <v>1835028.46</v>
      </c>
      <c r="L134" s="582">
        <v>4.8000000000000001E-2</v>
      </c>
      <c r="M134" s="544">
        <f t="shared" si="13"/>
        <v>0.74520783181749684</v>
      </c>
      <c r="O134" s="545"/>
      <c r="P134" s="545"/>
    </row>
    <row r="135" spans="1:16" ht="14.1" customHeight="1" x14ac:dyDescent="0.2">
      <c r="A135" s="538" t="s">
        <v>86</v>
      </c>
      <c r="B135" s="38" t="s">
        <v>535</v>
      </c>
      <c r="C135" s="518">
        <v>133403395</v>
      </c>
      <c r="D135" s="520">
        <v>133403395</v>
      </c>
      <c r="E135" s="520">
        <v>116780074</v>
      </c>
      <c r="F135" s="539">
        <f t="shared" si="9"/>
        <v>0.87539057008256804</v>
      </c>
      <c r="G135" s="520">
        <v>116780074</v>
      </c>
      <c r="H135" s="539">
        <f t="shared" si="10"/>
        <v>0.87539057008256804</v>
      </c>
      <c r="I135" s="520">
        <v>16820720.84</v>
      </c>
      <c r="J135" s="524">
        <f t="shared" si="11"/>
        <v>0.1260891511793984</v>
      </c>
      <c r="K135" s="540">
        <v>14030000</v>
      </c>
      <c r="L135" s="582">
        <v>0.13900000000000001</v>
      </c>
      <c r="M135" s="544">
        <f t="shared" si="13"/>
        <v>0.19891096507483952</v>
      </c>
      <c r="O135" s="545"/>
      <c r="P135" s="545"/>
    </row>
    <row r="136" spans="1:16" ht="14.1" customHeight="1" x14ac:dyDescent="0.2">
      <c r="A136" s="538">
        <v>491</v>
      </c>
      <c r="B136" s="38" t="s">
        <v>548</v>
      </c>
      <c r="C136" s="518">
        <v>17159000</v>
      </c>
      <c r="D136" s="520">
        <v>17159000</v>
      </c>
      <c r="E136" s="520">
        <v>17159000</v>
      </c>
      <c r="F136" s="539">
        <f t="shared" si="9"/>
        <v>1</v>
      </c>
      <c r="G136" s="520">
        <v>17159000</v>
      </c>
      <c r="H136" s="539">
        <f t="shared" si="10"/>
        <v>1</v>
      </c>
      <c r="I136" s="520">
        <v>3300000</v>
      </c>
      <c r="J136" s="524">
        <f t="shared" si="11"/>
        <v>0.19231889970277988</v>
      </c>
      <c r="K136" s="540">
        <v>5400000</v>
      </c>
      <c r="L136" s="582">
        <v>0.39300000000000002</v>
      </c>
      <c r="M136" s="544" t="s">
        <v>135</v>
      </c>
      <c r="O136" s="545"/>
      <c r="P136" s="545"/>
    </row>
    <row r="137" spans="1:16" ht="14.1" customHeight="1" x14ac:dyDescent="0.2">
      <c r="A137" s="538" t="s">
        <v>87</v>
      </c>
      <c r="B137" s="38" t="s">
        <v>536</v>
      </c>
      <c r="C137" s="518">
        <v>1138067.27</v>
      </c>
      <c r="D137" s="520">
        <v>1049997.24</v>
      </c>
      <c r="E137" s="520">
        <v>128146.1</v>
      </c>
      <c r="F137" s="539">
        <f t="shared" si="9"/>
        <v>0.12204422556386911</v>
      </c>
      <c r="G137" s="520">
        <v>77146.100000000006</v>
      </c>
      <c r="H137" s="539">
        <f t="shared" si="10"/>
        <v>7.3472669318635553E-2</v>
      </c>
      <c r="I137" s="520">
        <v>51914.1</v>
      </c>
      <c r="J137" s="524">
        <f t="shared" si="11"/>
        <v>4.9442129962170185E-2</v>
      </c>
      <c r="K137" s="540">
        <v>54069.84</v>
      </c>
      <c r="L137" s="582">
        <v>4.4999999999999998E-2</v>
      </c>
      <c r="M137" s="594">
        <f t="shared" si="13"/>
        <v>-3.986954649764074E-2</v>
      </c>
    </row>
    <row r="138" spans="1:16" ht="14.1" customHeight="1" x14ac:dyDescent="0.2">
      <c r="A138" s="17">
        <v>4</v>
      </c>
      <c r="B138" s="510" t="s">
        <v>127</v>
      </c>
      <c r="C138" s="526">
        <f>SUBTOTAL(9,C131:C137)</f>
        <v>232306321.98000002</v>
      </c>
      <c r="D138" s="527">
        <f>SUBTOTAL(9,D131:D137)</f>
        <v>232228214.67000002</v>
      </c>
      <c r="E138" s="528">
        <f>SUBTOTAL(9,E131:E137)</f>
        <v>145378034.09999999</v>
      </c>
      <c r="F138" s="529">
        <f t="shared" si="9"/>
        <v>0.62601365775723894</v>
      </c>
      <c r="G138" s="528">
        <f>SUBTOTAL(9,G131:G137)</f>
        <v>140003328.09999999</v>
      </c>
      <c r="H138" s="529">
        <f t="shared" si="10"/>
        <v>0.60286958799966206</v>
      </c>
      <c r="I138" s="528">
        <f>SUBTOTAL(9,I131:I137)</f>
        <v>23942586.450000003</v>
      </c>
      <c r="J138" s="530">
        <f t="shared" si="11"/>
        <v>0.10309938645492667</v>
      </c>
      <c r="K138" s="528">
        <f>SUBTOTAL(9,K131:K137)</f>
        <v>23723152.07</v>
      </c>
      <c r="L138" s="531">
        <v>0.13700000000000001</v>
      </c>
      <c r="M138" s="532">
        <f t="shared" si="13"/>
        <v>9.2497986503865537E-3</v>
      </c>
    </row>
    <row r="139" spans="1:16" ht="14.1" customHeight="1" x14ac:dyDescent="0.2">
      <c r="A139" s="533" t="s">
        <v>88</v>
      </c>
      <c r="B139" s="37" t="s">
        <v>117</v>
      </c>
      <c r="C139" s="518">
        <v>27475672.920000002</v>
      </c>
      <c r="D139" s="520">
        <v>28015031.949999999</v>
      </c>
      <c r="E139" s="520">
        <v>5425915.1399999997</v>
      </c>
      <c r="F139" s="534">
        <f t="shared" si="9"/>
        <v>0.1936787061204833</v>
      </c>
      <c r="G139" s="520">
        <v>4084309.28</v>
      </c>
      <c r="H139" s="534">
        <f t="shared" si="10"/>
        <v>0.14578992047160597</v>
      </c>
      <c r="I139" s="520">
        <v>2062499.25</v>
      </c>
      <c r="J139" s="535">
        <f t="shared" si="11"/>
        <v>7.3621163583930879E-2</v>
      </c>
      <c r="K139" s="536">
        <v>2069706.7</v>
      </c>
      <c r="L139" s="581">
        <v>7.3999999999999996E-2</v>
      </c>
      <c r="M139" s="537">
        <f t="shared" si="13"/>
        <v>-3.4823533208835356E-3</v>
      </c>
    </row>
    <row r="140" spans="1:16" ht="14.1" customHeight="1" x14ac:dyDescent="0.2">
      <c r="A140" s="538" t="s">
        <v>89</v>
      </c>
      <c r="B140" s="38" t="s">
        <v>505</v>
      </c>
      <c r="C140" s="518">
        <v>55211919.460000001</v>
      </c>
      <c r="D140" s="520">
        <v>56706719.649999999</v>
      </c>
      <c r="E140" s="520">
        <v>7947882.5700000003</v>
      </c>
      <c r="F140" s="539">
        <f t="shared" si="9"/>
        <v>0.14015768535113987</v>
      </c>
      <c r="G140" s="520">
        <v>6343426.1399999997</v>
      </c>
      <c r="H140" s="539">
        <f t="shared" si="10"/>
        <v>0.11186374699775108</v>
      </c>
      <c r="I140" s="520">
        <v>2591129.5499999998</v>
      </c>
      <c r="J140" s="524">
        <f t="shared" si="11"/>
        <v>4.5693518616360305E-2</v>
      </c>
      <c r="K140" s="540">
        <v>2860926.75</v>
      </c>
      <c r="L140" s="582">
        <v>0.05</v>
      </c>
      <c r="M140" s="544">
        <f t="shared" si="13"/>
        <v>-9.4304127150406813E-2</v>
      </c>
    </row>
    <row r="141" spans="1:16" ht="14.1" customHeight="1" x14ac:dyDescent="0.2">
      <c r="A141" s="538" t="s">
        <v>90</v>
      </c>
      <c r="B141" s="38" t="s">
        <v>120</v>
      </c>
      <c r="C141" s="518">
        <v>6330784.5</v>
      </c>
      <c r="D141" s="520">
        <v>6534464.4199999999</v>
      </c>
      <c r="E141" s="520">
        <v>695668.66</v>
      </c>
      <c r="F141" s="539">
        <f t="shared" si="9"/>
        <v>0.10646146574320164</v>
      </c>
      <c r="G141" s="520">
        <v>695668.66</v>
      </c>
      <c r="H141" s="539">
        <f t="shared" si="10"/>
        <v>0.10646146574320164</v>
      </c>
      <c r="I141" s="520">
        <v>344174.13</v>
      </c>
      <c r="J141" s="524">
        <f t="shared" si="11"/>
        <v>5.2670595151851789E-2</v>
      </c>
      <c r="K141" s="540">
        <v>356662.81</v>
      </c>
      <c r="L141" s="582">
        <v>5.7000000000000002E-2</v>
      </c>
      <c r="M141" s="544">
        <f t="shared" si="13"/>
        <v>-3.5015369278338815E-2</v>
      </c>
    </row>
    <row r="142" spans="1:16" ht="14.1" customHeight="1" x14ac:dyDescent="0.2">
      <c r="A142" s="538" t="s">
        <v>91</v>
      </c>
      <c r="B142" s="38" t="s">
        <v>115</v>
      </c>
      <c r="C142" s="518">
        <v>2703306.46</v>
      </c>
      <c r="D142" s="520">
        <v>2735702.68</v>
      </c>
      <c r="E142" s="520">
        <v>99922.29</v>
      </c>
      <c r="F142" s="539">
        <f t="shared" si="9"/>
        <v>3.6525274011136324E-2</v>
      </c>
      <c r="G142" s="520">
        <v>79922.289999999994</v>
      </c>
      <c r="H142" s="539">
        <f t="shared" si="10"/>
        <v>2.9214538035982767E-2</v>
      </c>
      <c r="I142" s="520">
        <v>79922.289999999994</v>
      </c>
      <c r="J142" s="524">
        <f t="shared" si="11"/>
        <v>2.9214538035982767E-2</v>
      </c>
      <c r="K142" s="540">
        <v>79908</v>
      </c>
      <c r="L142" s="582">
        <v>0.05</v>
      </c>
      <c r="M142" s="544">
        <f t="shared" si="13"/>
        <v>1.788306552534813E-4</v>
      </c>
    </row>
    <row r="143" spans="1:16" ht="14.1" customHeight="1" x14ac:dyDescent="0.2">
      <c r="A143" s="538" t="s">
        <v>92</v>
      </c>
      <c r="B143" s="38" t="s">
        <v>109</v>
      </c>
      <c r="C143" s="518">
        <v>9126336.0500000007</v>
      </c>
      <c r="D143" s="520">
        <v>9019843.7799999993</v>
      </c>
      <c r="E143" s="520">
        <v>4680800.6399999997</v>
      </c>
      <c r="F143" s="539">
        <f t="shared" si="9"/>
        <v>0.51894475715631516</v>
      </c>
      <c r="G143" s="520">
        <v>1307961.3</v>
      </c>
      <c r="H143" s="539">
        <f t="shared" si="10"/>
        <v>0.14500930746718543</v>
      </c>
      <c r="I143" s="520">
        <v>258453.05</v>
      </c>
      <c r="J143" s="524">
        <f t="shared" si="11"/>
        <v>2.8653827749553332E-2</v>
      </c>
      <c r="K143" s="540">
        <v>42456.66</v>
      </c>
      <c r="L143" s="582">
        <v>5.0000000000000001E-3</v>
      </c>
      <c r="M143" s="544">
        <f t="shared" si="13"/>
        <v>5.0874560080797684</v>
      </c>
    </row>
    <row r="144" spans="1:16" ht="14.1" customHeight="1" x14ac:dyDescent="0.2">
      <c r="A144" s="538" t="s">
        <v>93</v>
      </c>
      <c r="B144" s="38" t="s">
        <v>124</v>
      </c>
      <c r="C144" s="518">
        <v>36104377.189999998</v>
      </c>
      <c r="D144" s="520">
        <v>36640866.990000002</v>
      </c>
      <c r="E144" s="520">
        <v>8882762.0199999996</v>
      </c>
      <c r="F144" s="539">
        <f t="shared" si="9"/>
        <v>0.24242772482496869</v>
      </c>
      <c r="G144" s="520">
        <v>6386709.1500000004</v>
      </c>
      <c r="H144" s="539">
        <f t="shared" si="10"/>
        <v>0.17430562305589156</v>
      </c>
      <c r="I144" s="520">
        <v>872998.45</v>
      </c>
      <c r="J144" s="524">
        <f t="shared" si="11"/>
        <v>2.3825813134778117E-2</v>
      </c>
      <c r="K144" s="540">
        <v>968695.96</v>
      </c>
      <c r="L144" s="582">
        <v>2.5999999999999999E-2</v>
      </c>
      <c r="M144" s="544">
        <f t="shared" si="13"/>
        <v>-9.8790037278569831E-2</v>
      </c>
    </row>
    <row r="145" spans="1:16" ht="14.1" customHeight="1" x14ac:dyDescent="0.2">
      <c r="A145" s="538" t="s">
        <v>94</v>
      </c>
      <c r="B145" s="38" t="s">
        <v>537</v>
      </c>
      <c r="C145" s="518">
        <v>31536030.609999999</v>
      </c>
      <c r="D145" s="520">
        <v>38534962.350000001</v>
      </c>
      <c r="E145" s="520">
        <v>19775443.27</v>
      </c>
      <c r="F145" s="539">
        <f t="shared" si="9"/>
        <v>0.51318185004013628</v>
      </c>
      <c r="G145" s="520">
        <v>19775443.27</v>
      </c>
      <c r="H145" s="539">
        <f t="shared" si="10"/>
        <v>0.51318185004013628</v>
      </c>
      <c r="I145" s="520">
        <v>2000000</v>
      </c>
      <c r="J145" s="524">
        <f t="shared" si="11"/>
        <v>5.1900920048517964E-2</v>
      </c>
      <c r="K145" s="540">
        <v>3439133</v>
      </c>
      <c r="L145" s="582">
        <v>0.113</v>
      </c>
      <c r="M145" s="544">
        <f t="shared" si="13"/>
        <v>-0.41845808231318771</v>
      </c>
    </row>
    <row r="146" spans="1:16" ht="14.1" customHeight="1" x14ac:dyDescent="0.2">
      <c r="A146" s="538" t="s">
        <v>95</v>
      </c>
      <c r="B146" s="38" t="s">
        <v>122</v>
      </c>
      <c r="C146" s="518">
        <v>26939471.629999999</v>
      </c>
      <c r="D146" s="520">
        <v>13177936.75</v>
      </c>
      <c r="E146" s="520">
        <v>21513.5</v>
      </c>
      <c r="F146" s="539">
        <f t="shared" si="9"/>
        <v>1.6325393275240907E-3</v>
      </c>
      <c r="G146" s="520">
        <v>21513.5</v>
      </c>
      <c r="H146" s="539">
        <f t="shared" si="10"/>
        <v>1.6325393275240907E-3</v>
      </c>
      <c r="I146" s="520">
        <v>21513.5</v>
      </c>
      <c r="J146" s="524">
        <f t="shared" si="11"/>
        <v>1.6325393275240907E-3</v>
      </c>
      <c r="K146" s="540">
        <v>0</v>
      </c>
      <c r="L146" s="582">
        <v>0</v>
      </c>
      <c r="M146" s="544" t="s">
        <v>135</v>
      </c>
    </row>
    <row r="147" spans="1:16" ht="14.1" customHeight="1" x14ac:dyDescent="0.2">
      <c r="A147" s="538">
        <v>931</v>
      </c>
      <c r="B147" s="38" t="s">
        <v>456</v>
      </c>
      <c r="C147" s="518">
        <v>5447022.2999999998</v>
      </c>
      <c r="D147" s="520">
        <v>5697137.6500000004</v>
      </c>
      <c r="E147" s="520">
        <v>1091289.3799999999</v>
      </c>
      <c r="F147" s="539">
        <f t="shared" si="9"/>
        <v>0.19155046745272161</v>
      </c>
      <c r="G147" s="520">
        <v>710033.45</v>
      </c>
      <c r="H147" s="539">
        <f t="shared" si="10"/>
        <v>0.12462985688962595</v>
      </c>
      <c r="I147" s="520">
        <v>321012.08</v>
      </c>
      <c r="J147" s="524">
        <f t="shared" si="11"/>
        <v>5.6346203957350405E-2</v>
      </c>
      <c r="K147" s="540">
        <v>284212.36</v>
      </c>
      <c r="L147" s="582">
        <v>5.2999999999999999E-2</v>
      </c>
      <c r="M147" s="544">
        <f t="shared" si="13"/>
        <v>0.12947966091270646</v>
      </c>
    </row>
    <row r="148" spans="1:16" ht="14.1" customHeight="1" x14ac:dyDescent="0.2">
      <c r="A148" s="538" t="s">
        <v>96</v>
      </c>
      <c r="B148" s="38" t="s">
        <v>111</v>
      </c>
      <c r="C148" s="518">
        <v>25093946.690000001</v>
      </c>
      <c r="D148" s="520">
        <v>26721406.690000001</v>
      </c>
      <c r="E148" s="520">
        <v>24808157.460000001</v>
      </c>
      <c r="F148" s="539">
        <f t="shared" si="9"/>
        <v>0.92840013056962312</v>
      </c>
      <c r="G148" s="520">
        <v>24608257.460000001</v>
      </c>
      <c r="H148" s="539">
        <f t="shared" si="10"/>
        <v>0.92091923698048395</v>
      </c>
      <c r="I148" s="520">
        <v>1020401.52</v>
      </c>
      <c r="J148" s="524">
        <f t="shared" si="11"/>
        <v>3.8186669281219637E-2</v>
      </c>
      <c r="K148" s="540">
        <v>1220276.31</v>
      </c>
      <c r="L148" s="582">
        <v>0.05</v>
      </c>
      <c r="M148" s="544">
        <f t="shared" si="13"/>
        <v>-0.16379469826796855</v>
      </c>
    </row>
    <row r="149" spans="1:16" ht="14.1" customHeight="1" x14ac:dyDescent="0.2">
      <c r="A149" s="538" t="s">
        <v>97</v>
      </c>
      <c r="B149" s="38" t="s">
        <v>112</v>
      </c>
      <c r="C149" s="518">
        <v>66531326.530000001</v>
      </c>
      <c r="D149" s="520">
        <v>66327071.18</v>
      </c>
      <c r="E149" s="520">
        <v>25939272.16</v>
      </c>
      <c r="F149" s="539">
        <f t="shared" si="9"/>
        <v>0.39108122367721287</v>
      </c>
      <c r="G149" s="520">
        <v>25718361.210000001</v>
      </c>
      <c r="H149" s="539">
        <f t="shared" si="10"/>
        <v>0.38775059342217744</v>
      </c>
      <c r="I149" s="520">
        <v>916149.87</v>
      </c>
      <c r="J149" s="524">
        <f t="shared" si="11"/>
        <v>1.3812608542803442E-2</v>
      </c>
      <c r="K149" s="540">
        <v>1511605.4</v>
      </c>
      <c r="L149" s="582">
        <v>2.5999999999999999E-2</v>
      </c>
      <c r="M149" s="544">
        <f t="shared" si="13"/>
        <v>-0.39392260043527227</v>
      </c>
    </row>
    <row r="150" spans="1:16" ht="14.1" customHeight="1" x14ac:dyDescent="0.2">
      <c r="A150" s="538" t="s">
        <v>98</v>
      </c>
      <c r="B150" s="38" t="s">
        <v>121</v>
      </c>
      <c r="C150" s="518">
        <v>732282.55</v>
      </c>
      <c r="D150" s="520">
        <v>732282.55</v>
      </c>
      <c r="E150" s="520">
        <v>53048.53</v>
      </c>
      <c r="F150" s="539">
        <f t="shared" si="9"/>
        <v>7.2442706712047139E-2</v>
      </c>
      <c r="G150" s="520">
        <v>53048.53</v>
      </c>
      <c r="H150" s="539">
        <f t="shared" si="10"/>
        <v>7.2442706712047139E-2</v>
      </c>
      <c r="I150" s="520">
        <v>53048.53</v>
      </c>
      <c r="J150" s="524">
        <f t="shared" si="11"/>
        <v>7.2442706712047139E-2</v>
      </c>
      <c r="K150" s="540">
        <v>57563.57</v>
      </c>
      <c r="L150" s="582">
        <v>7.4999999999999997E-2</v>
      </c>
      <c r="M150" s="544">
        <f t="shared" si="13"/>
        <v>-7.8435718979903424E-2</v>
      </c>
    </row>
    <row r="151" spans="1:16" ht="14.1" customHeight="1" x14ac:dyDescent="0.2">
      <c r="A151" s="546" t="s">
        <v>549</v>
      </c>
      <c r="B151" s="39" t="s">
        <v>123</v>
      </c>
      <c r="C151" s="518">
        <v>89097229.569999993</v>
      </c>
      <c r="D151" s="520">
        <v>89097229.569999993</v>
      </c>
      <c r="E151" s="520">
        <v>89097229.569999993</v>
      </c>
      <c r="F151" s="547">
        <f t="shared" si="9"/>
        <v>1</v>
      </c>
      <c r="G151" s="520">
        <v>89097229.569999993</v>
      </c>
      <c r="H151" s="547">
        <f t="shared" si="10"/>
        <v>1</v>
      </c>
      <c r="I151" s="520">
        <v>1421500</v>
      </c>
      <c r="J151" s="548">
        <f t="shared" si="11"/>
        <v>1.5954480367800734E-2</v>
      </c>
      <c r="K151" s="549">
        <v>2843000</v>
      </c>
      <c r="L151" s="595">
        <v>3.2000000000000001E-2</v>
      </c>
      <c r="M151" s="585">
        <f t="shared" si="13"/>
        <v>-0.5</v>
      </c>
      <c r="N151" s="626" t="s">
        <v>569</v>
      </c>
    </row>
    <row r="152" spans="1:16" ht="14.1" customHeight="1" thickBot="1" x14ac:dyDescent="0.25">
      <c r="A152" s="17">
        <v>9</v>
      </c>
      <c r="B152" s="510" t="s">
        <v>506</v>
      </c>
      <c r="C152" s="596">
        <f>SUBTOTAL(9,C139:C151)</f>
        <v>382329706.46000004</v>
      </c>
      <c r="D152" s="527">
        <f>SUBTOTAL(9,D139:D151)</f>
        <v>379940656.20999998</v>
      </c>
      <c r="E152" s="528">
        <f>SUBTOTAL(9,E139:E151)</f>
        <v>188518905.19</v>
      </c>
      <c r="F152" s="529">
        <f t="shared" si="9"/>
        <v>0.49617986943150993</v>
      </c>
      <c r="G152" s="528">
        <f>SUBTOTAL(9,G139:G151)</f>
        <v>178881883.81</v>
      </c>
      <c r="H152" s="529">
        <f t="shared" si="10"/>
        <v>0.47081532572583862</v>
      </c>
      <c r="I152" s="528">
        <f>SUBTOTAL(9,I139:I151)</f>
        <v>11962802.219999997</v>
      </c>
      <c r="J152" s="530">
        <f t="shared" si="11"/>
        <v>3.1485975571374343E-2</v>
      </c>
      <c r="K152" s="528">
        <f>SUBTOTAL(9,K139:K151)</f>
        <v>15734147.52</v>
      </c>
      <c r="L152" s="531">
        <v>4.2000000000000003E-2</v>
      </c>
      <c r="M152" s="532">
        <f t="shared" si="13"/>
        <v>-0.23969174657897208</v>
      </c>
    </row>
    <row r="153" spans="1:16" s="13" customFormat="1" ht="14.1" customHeight="1" thickBot="1" x14ac:dyDescent="0.25">
      <c r="A153" s="561"/>
      <c r="B153" s="562" t="s">
        <v>136</v>
      </c>
      <c r="C153" s="597">
        <f>SUBTOTAL(9,C82:C151)</f>
        <v>1996110606.45</v>
      </c>
      <c r="D153" s="564">
        <f>SUBTOTAL(9,D82:D151)</f>
        <v>2003110606.4500003</v>
      </c>
      <c r="E153" s="565">
        <f>SUBTOTAL(9,E82:E151)</f>
        <v>867114910.44000006</v>
      </c>
      <c r="F153" s="566">
        <f>+E153/D153</f>
        <v>0.4328841890447272</v>
      </c>
      <c r="G153" s="565">
        <f>SUBTOTAL(9,G82:G151)</f>
        <v>836741483.00999999</v>
      </c>
      <c r="H153" s="566">
        <f>+G153/D153</f>
        <v>0.41772105859541608</v>
      </c>
      <c r="I153" s="565">
        <f>SUBTOTAL(9,I82:I151)</f>
        <v>106540028.39999999</v>
      </c>
      <c r="J153" s="567">
        <f>+I153/D153</f>
        <v>5.3187291833482357E-2</v>
      </c>
      <c r="K153" s="598">
        <f>SUBTOTAL(9,K82:K152)</f>
        <v>116104145.17999999</v>
      </c>
      <c r="L153" s="569">
        <v>6.0999999999999999E-2</v>
      </c>
      <c r="M153" s="570">
        <f>+I153/K153-1</f>
        <v>-8.2375325748899386E-2</v>
      </c>
      <c r="O153" s="571"/>
    </row>
    <row r="154" spans="1:16" s="577" customFormat="1" ht="14.1" customHeight="1" x14ac:dyDescent="0.2">
      <c r="A154" s="573"/>
      <c r="B154" s="574"/>
      <c r="C154" s="575"/>
      <c r="D154" s="575"/>
      <c r="E154" s="575"/>
      <c r="F154" s="576"/>
      <c r="G154" s="575"/>
      <c r="H154" s="576"/>
      <c r="I154" s="575"/>
      <c r="J154" s="576"/>
      <c r="K154" s="575"/>
      <c r="L154" s="576"/>
      <c r="M154" s="576"/>
      <c r="O154" s="578"/>
      <c r="P154" s="579"/>
    </row>
    <row r="159" spans="1:16" x14ac:dyDescent="0.2">
      <c r="C159" s="599"/>
      <c r="D159" s="599"/>
      <c r="E159" s="599"/>
      <c r="F159" s="600"/>
      <c r="G159" s="599"/>
      <c r="H159" s="600"/>
      <c r="I159" s="599"/>
      <c r="J159" s="600"/>
    </row>
    <row r="161" spans="3:3" x14ac:dyDescent="0.2">
      <c r="C161" s="601"/>
    </row>
  </sheetData>
  <mergeCells count="5">
    <mergeCell ref="K2:L2"/>
    <mergeCell ref="K79:L79"/>
    <mergeCell ref="D2:J2"/>
    <mergeCell ref="A79:B79"/>
    <mergeCell ref="D79:J79"/>
  </mergeCells>
  <pageMargins left="0.51181102362204722" right="0.31496062992125984" top="0.74803149606299213" bottom="0.74803149606299213" header="0.31496062992125984" footer="0.31496062992125984"/>
  <pageSetup paperSize="9" scale="45" fitToHeight="0" orientation="portrait" r:id="rId1"/>
  <headerFooter>
    <oddHeader>&amp;L&amp;"Arial,Negreta"&amp;8&amp;K03+000Ajuntament de Barcelona&amp;C&amp;"Arial,Negreta"&amp;8&amp;K03+000Pressupost 2015
Execució Pressupostària a Gener&amp;R&amp;"Arial,Negreta"&amp;8&amp;K03+000Direcció de Pressupostos i Política Fiscal</oddHeader>
  </headerFooter>
  <rowBreaks count="1" manualBreakCount="1">
    <brk id="77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92D050"/>
  </sheetPr>
  <dimension ref="A1:O62"/>
  <sheetViews>
    <sheetView zoomScaleNormal="100" workbookViewId="0">
      <selection activeCell="E5" sqref="E5"/>
    </sheetView>
  </sheetViews>
  <sheetFormatPr defaultColWidth="11.42578125" defaultRowHeight="12.75" x14ac:dyDescent="0.2"/>
  <cols>
    <col min="1" max="1" width="4.140625" customWidth="1"/>
    <col min="2" max="2" width="30.140625" customWidth="1"/>
    <col min="3" max="5" width="12.7109375" customWidth="1"/>
    <col min="6" max="6" width="6.28515625" style="98" customWidth="1"/>
    <col min="7" max="7" width="12.7109375" customWidth="1"/>
    <col min="8" max="8" width="6.28515625" style="98" customWidth="1"/>
    <col min="9" max="9" width="12.7109375" customWidth="1"/>
    <col min="10" max="10" width="6.28515625" style="98" customWidth="1"/>
    <col min="11" max="11" width="12.7109375" customWidth="1"/>
    <col min="12" max="12" width="6.28515625" style="98" customWidth="1"/>
    <col min="13" max="13" width="8.140625" style="98" bestFit="1" customWidth="1"/>
    <col min="14" max="14" width="3.140625" customWidth="1"/>
    <col min="15" max="15" width="15.5703125" bestFit="1" customWidth="1"/>
  </cols>
  <sheetData>
    <row r="1" spans="1:13" ht="15.75" thickBot="1" x14ac:dyDescent="0.3">
      <c r="A1" s="7" t="s">
        <v>19</v>
      </c>
    </row>
    <row r="2" spans="1:13" x14ac:dyDescent="0.2">
      <c r="A2" s="8" t="s">
        <v>21</v>
      </c>
      <c r="C2" s="176" t="s">
        <v>512</v>
      </c>
      <c r="D2" s="650" t="s">
        <v>510</v>
      </c>
      <c r="E2" s="648"/>
      <c r="F2" s="648"/>
      <c r="G2" s="648"/>
      <c r="H2" s="648"/>
      <c r="I2" s="648"/>
      <c r="J2" s="649"/>
      <c r="K2" s="644" t="s">
        <v>511</v>
      </c>
      <c r="L2" s="645"/>
      <c r="M2" s="219"/>
    </row>
    <row r="3" spans="1:13" x14ac:dyDescent="0.2">
      <c r="C3" s="169">
        <v>1</v>
      </c>
      <c r="D3" s="159">
        <v>2</v>
      </c>
      <c r="E3" s="88">
        <v>3</v>
      </c>
      <c r="F3" s="89" t="s">
        <v>39</v>
      </c>
      <c r="G3" s="88">
        <v>4</v>
      </c>
      <c r="H3" s="89" t="s">
        <v>40</v>
      </c>
      <c r="I3" s="88">
        <v>5</v>
      </c>
      <c r="J3" s="160" t="s">
        <v>41</v>
      </c>
      <c r="K3" s="88" t="s">
        <v>42</v>
      </c>
      <c r="L3" s="16" t="s">
        <v>43</v>
      </c>
      <c r="M3" s="150" t="s">
        <v>368</v>
      </c>
    </row>
    <row r="4" spans="1:13" ht="25.5" x14ac:dyDescent="0.2">
      <c r="A4" s="1"/>
      <c r="B4" s="2" t="s">
        <v>22</v>
      </c>
      <c r="C4" s="170" t="s">
        <v>13</v>
      </c>
      <c r="D4" s="120" t="s">
        <v>14</v>
      </c>
      <c r="E4" s="90" t="s">
        <v>15</v>
      </c>
      <c r="F4" s="90" t="s">
        <v>18</v>
      </c>
      <c r="G4" s="90" t="s">
        <v>16</v>
      </c>
      <c r="H4" s="90" t="s">
        <v>18</v>
      </c>
      <c r="I4" s="90" t="s">
        <v>17</v>
      </c>
      <c r="J4" s="121" t="s">
        <v>18</v>
      </c>
      <c r="K4" s="90" t="s">
        <v>17</v>
      </c>
      <c r="L4" s="12" t="s">
        <v>18</v>
      </c>
      <c r="M4" s="151" t="s">
        <v>553</v>
      </c>
    </row>
    <row r="5" spans="1:13" ht="15" customHeight="1" x14ac:dyDescent="0.2">
      <c r="A5" s="29">
        <v>1</v>
      </c>
      <c r="B5" s="20" t="s">
        <v>428</v>
      </c>
      <c r="C5" s="221">
        <v>187615066.34</v>
      </c>
      <c r="D5" s="226">
        <v>197607452.23000002</v>
      </c>
      <c r="E5" s="30">
        <v>71097862.280000001</v>
      </c>
      <c r="F5" s="45">
        <f t="shared" ref="F5:F14" si="0">+E5/D5</f>
        <v>0.35979342619754801</v>
      </c>
      <c r="G5" s="30">
        <v>64586931.229999997</v>
      </c>
      <c r="H5" s="45">
        <f t="shared" ref="H5:H14" si="1">+G5/D5</f>
        <v>0.3268446128986357</v>
      </c>
      <c r="I5" s="30">
        <v>9648248.0800000019</v>
      </c>
      <c r="J5" s="165">
        <f t="shared" ref="J5:J14" si="2">+I5/D5</f>
        <v>4.8825325012389592E-2</v>
      </c>
      <c r="K5" s="30">
        <v>13272979</v>
      </c>
      <c r="L5" s="49">
        <v>7.0999999999999994E-2</v>
      </c>
      <c r="M5" s="152">
        <f t="shared" ref="M5:M11" si="3">+I5/K5-1</f>
        <v>-0.27309098582917957</v>
      </c>
    </row>
    <row r="6" spans="1:13" ht="15" customHeight="1" x14ac:dyDescent="0.2">
      <c r="A6" s="31">
        <v>2</v>
      </c>
      <c r="B6" s="22" t="s">
        <v>429</v>
      </c>
      <c r="C6" s="221">
        <v>205332965.00999999</v>
      </c>
      <c r="D6" s="226">
        <v>205430235.28999999</v>
      </c>
      <c r="E6" s="30">
        <v>145673738.06999999</v>
      </c>
      <c r="F6" s="45">
        <f t="shared" si="0"/>
        <v>0.70911537371486011</v>
      </c>
      <c r="G6" s="30">
        <v>142234094.58000001</v>
      </c>
      <c r="H6" s="295">
        <f t="shared" si="1"/>
        <v>0.69237176494108676</v>
      </c>
      <c r="I6" s="30">
        <v>13084502.24</v>
      </c>
      <c r="J6" s="192">
        <f t="shared" si="2"/>
        <v>6.3693166789830044E-2</v>
      </c>
      <c r="K6" s="30">
        <v>13416430</v>
      </c>
      <c r="L6" s="49">
        <v>6.8000000000000005E-2</v>
      </c>
      <c r="M6" s="153">
        <f t="shared" si="3"/>
        <v>-2.4740393681478623E-2</v>
      </c>
    </row>
    <row r="7" spans="1:13" ht="15" customHeight="1" x14ac:dyDescent="0.2">
      <c r="A7" s="31">
        <v>4</v>
      </c>
      <c r="B7" s="22" t="s">
        <v>24</v>
      </c>
      <c r="C7" s="221">
        <v>246207865.18000001</v>
      </c>
      <c r="D7" s="226">
        <v>248714106.38</v>
      </c>
      <c r="E7" s="30">
        <v>36208540.200000003</v>
      </c>
      <c r="F7" s="45">
        <f t="shared" si="0"/>
        <v>0.14558297768876236</v>
      </c>
      <c r="G7" s="30">
        <v>29968741.420000002</v>
      </c>
      <c r="H7" s="295">
        <f t="shared" si="1"/>
        <v>0.12049473934627576</v>
      </c>
      <c r="I7" s="30">
        <v>14932067.15</v>
      </c>
      <c r="J7" s="192">
        <f t="shared" si="2"/>
        <v>6.0037073760448124E-2</v>
      </c>
      <c r="K7" s="30">
        <v>14298690</v>
      </c>
      <c r="L7" s="49">
        <v>5.6000000000000001E-2</v>
      </c>
      <c r="M7" s="153">
        <f t="shared" si="3"/>
        <v>4.4296166292156824E-2</v>
      </c>
    </row>
    <row r="8" spans="1:13" ht="15" customHeight="1" x14ac:dyDescent="0.2">
      <c r="A8" s="142" t="s">
        <v>431</v>
      </c>
      <c r="B8" s="22" t="s">
        <v>432</v>
      </c>
      <c r="C8" s="221">
        <v>50069128.450000003</v>
      </c>
      <c r="D8" s="226">
        <v>50894113.890000001</v>
      </c>
      <c r="E8" s="30">
        <v>15332367.23</v>
      </c>
      <c r="F8" s="45">
        <f t="shared" si="0"/>
        <v>0.30126012731331986</v>
      </c>
      <c r="G8" s="30">
        <v>15029711.23</v>
      </c>
      <c r="H8" s="295">
        <f t="shared" si="1"/>
        <v>0.29531334925065145</v>
      </c>
      <c r="I8" s="30">
        <v>698020.17</v>
      </c>
      <c r="J8" s="192">
        <f t="shared" si="2"/>
        <v>1.3715145360594469E-2</v>
      </c>
      <c r="K8" s="30">
        <v>619868</v>
      </c>
      <c r="L8" s="49">
        <v>1.2E-2</v>
      </c>
      <c r="M8" s="262">
        <f t="shared" si="3"/>
        <v>0.12607872966502542</v>
      </c>
    </row>
    <row r="9" spans="1:13" ht="15" customHeight="1" x14ac:dyDescent="0.2">
      <c r="A9" s="142" t="s">
        <v>430</v>
      </c>
      <c r="B9" s="22" t="s">
        <v>23</v>
      </c>
      <c r="C9" s="221">
        <v>310628104.75999999</v>
      </c>
      <c r="D9" s="226">
        <v>310743235.04000002</v>
      </c>
      <c r="E9" s="30">
        <v>63958058.200000003</v>
      </c>
      <c r="F9" s="45">
        <f t="shared" si="0"/>
        <v>0.20582284982573179</v>
      </c>
      <c r="G9" s="30">
        <v>63958058.200000003</v>
      </c>
      <c r="H9" s="295">
        <f t="shared" si="1"/>
        <v>0.20582284982573179</v>
      </c>
      <c r="I9" s="30">
        <v>174257.39</v>
      </c>
      <c r="J9" s="192">
        <f t="shared" si="2"/>
        <v>5.6077613396014541E-4</v>
      </c>
      <c r="K9" s="30">
        <v>723558</v>
      </c>
      <c r="L9" s="49">
        <v>2E-3</v>
      </c>
      <c r="M9" s="152">
        <f t="shared" si="3"/>
        <v>-0.75916596872676412</v>
      </c>
    </row>
    <row r="10" spans="1:13" ht="15" customHeight="1" x14ac:dyDescent="0.2">
      <c r="A10" s="142" t="s">
        <v>464</v>
      </c>
      <c r="B10" s="22" t="s">
        <v>100</v>
      </c>
      <c r="C10" s="221">
        <v>6604592.1299999999</v>
      </c>
      <c r="D10" s="226">
        <v>6381477.9100000001</v>
      </c>
      <c r="E10" s="30">
        <v>375873.67</v>
      </c>
      <c r="F10" s="45">
        <f t="shared" si="0"/>
        <v>5.8900724142755823E-2</v>
      </c>
      <c r="G10" s="30">
        <v>244048.07</v>
      </c>
      <c r="H10" s="295">
        <f t="shared" si="1"/>
        <v>3.8243189656359713E-2</v>
      </c>
      <c r="I10" s="30">
        <v>156565.07</v>
      </c>
      <c r="J10" s="192">
        <f t="shared" si="2"/>
        <v>2.4534296319455567E-2</v>
      </c>
      <c r="K10" s="144">
        <v>194650</v>
      </c>
      <c r="L10" s="50">
        <v>2.5000000000000001E-2</v>
      </c>
      <c r="M10" s="153">
        <f t="shared" si="3"/>
        <v>-0.1956585152838427</v>
      </c>
    </row>
    <row r="11" spans="1:13" ht="15" customHeight="1" x14ac:dyDescent="0.2">
      <c r="A11" s="142" t="s">
        <v>473</v>
      </c>
      <c r="B11" s="22" t="s">
        <v>474</v>
      </c>
      <c r="C11" s="221">
        <v>56634642.350000001</v>
      </c>
      <c r="D11" s="226">
        <v>57087609.229999997</v>
      </c>
      <c r="E11" s="30">
        <v>1943674.37</v>
      </c>
      <c r="F11" s="45">
        <f t="shared" si="0"/>
        <v>3.4047219636911749E-2</v>
      </c>
      <c r="G11" s="30">
        <v>1572356.22</v>
      </c>
      <c r="H11" s="295">
        <f t="shared" si="1"/>
        <v>2.7542863349998448E-2</v>
      </c>
      <c r="I11" s="30">
        <v>183556.92</v>
      </c>
      <c r="J11" s="192">
        <f t="shared" si="2"/>
        <v>3.215354828759222E-3</v>
      </c>
      <c r="K11" s="144">
        <v>166362</v>
      </c>
      <c r="L11" s="50">
        <v>4.0000000000000001E-3</v>
      </c>
      <c r="M11" s="153">
        <f t="shared" si="3"/>
        <v>0.10335845926353371</v>
      </c>
    </row>
    <row r="12" spans="1:13" ht="15" customHeight="1" x14ac:dyDescent="0.2">
      <c r="A12" s="31">
        <v>7</v>
      </c>
      <c r="B12" s="22" t="s">
        <v>433</v>
      </c>
      <c r="C12" s="221">
        <v>129158476.34</v>
      </c>
      <c r="D12" s="226">
        <v>130730391.77</v>
      </c>
      <c r="E12" s="30">
        <v>53063139.370000005</v>
      </c>
      <c r="F12" s="45">
        <f t="shared" si="0"/>
        <v>0.40589750135038555</v>
      </c>
      <c r="G12" s="30">
        <v>47064633.440000005</v>
      </c>
      <c r="H12" s="295">
        <f t="shared" si="1"/>
        <v>0.36001294574870535</v>
      </c>
      <c r="I12" s="30">
        <v>5015062.0199999996</v>
      </c>
      <c r="J12" s="192">
        <f t="shared" si="2"/>
        <v>3.8361867903090423E-2</v>
      </c>
      <c r="K12" s="144">
        <v>6409351</v>
      </c>
      <c r="L12" s="50">
        <v>7.3999999999999996E-2</v>
      </c>
      <c r="M12" s="153">
        <f>+I12/K13-1</f>
        <v>-0.91660618508728176</v>
      </c>
    </row>
    <row r="13" spans="1:13" ht="15" customHeight="1" x14ac:dyDescent="0.2">
      <c r="A13" s="33" t="s">
        <v>434</v>
      </c>
      <c r="B13" s="24" t="s">
        <v>26</v>
      </c>
      <c r="C13" s="221">
        <v>839696804.13</v>
      </c>
      <c r="D13" s="226">
        <v>821166062.13</v>
      </c>
      <c r="E13" s="30">
        <v>332534180.23000002</v>
      </c>
      <c r="F13" s="45">
        <f t="shared" si="0"/>
        <v>0.40495363309030186</v>
      </c>
      <c r="G13" s="30">
        <v>332534180.23000002</v>
      </c>
      <c r="H13" s="433">
        <f t="shared" si="1"/>
        <v>0.40495363309030186</v>
      </c>
      <c r="I13" s="30">
        <v>125309125.34</v>
      </c>
      <c r="J13" s="434">
        <f t="shared" si="2"/>
        <v>0.15259900660648848</v>
      </c>
      <c r="K13" s="32">
        <v>60137098</v>
      </c>
      <c r="L13" s="50">
        <v>6.5000000000000002E-2</v>
      </c>
      <c r="M13" s="153">
        <f>+I13/K14-1</f>
        <v>2.5658342754503418</v>
      </c>
    </row>
    <row r="14" spans="1:13" ht="15" customHeight="1" x14ac:dyDescent="0.2">
      <c r="A14" s="31">
        <v>8</v>
      </c>
      <c r="B14" s="22" t="s">
        <v>435</v>
      </c>
      <c r="C14" s="221">
        <v>215141158.63</v>
      </c>
      <c r="D14" s="226">
        <v>215610484.53999999</v>
      </c>
      <c r="E14" s="30">
        <v>198509928.68000001</v>
      </c>
      <c r="F14" s="45">
        <f t="shared" si="0"/>
        <v>0.92068773512343971</v>
      </c>
      <c r="G14" s="30">
        <v>198509928.68000001</v>
      </c>
      <c r="H14" s="295">
        <f t="shared" si="1"/>
        <v>0.92068773512343971</v>
      </c>
      <c r="I14" s="30">
        <v>36251796.130000003</v>
      </c>
      <c r="J14" s="192">
        <f t="shared" si="2"/>
        <v>0.16813559047159685</v>
      </c>
      <c r="K14" s="32">
        <v>35141601</v>
      </c>
      <c r="L14" s="50">
        <v>0.16600000000000001</v>
      </c>
      <c r="M14" s="153">
        <f>+I14/K15-1</f>
        <v>-0.74891502463554882</v>
      </c>
    </row>
    <row r="15" spans="1:13" ht="15" customHeight="1" x14ac:dyDescent="0.2">
      <c r="A15" s="9"/>
      <c r="B15" s="2" t="s">
        <v>27</v>
      </c>
      <c r="C15" s="222">
        <f>SUM(C5:C14)</f>
        <v>2247088803.3200002</v>
      </c>
      <c r="D15" s="229">
        <f>SUM(D5:D14)</f>
        <v>2244365168.4099998</v>
      </c>
      <c r="E15" s="224">
        <f>SUM(E5:E14)</f>
        <v>918697362.30000019</v>
      </c>
      <c r="F15" s="91">
        <f t="shared" ref="F15:F27" si="4">+E15/D15</f>
        <v>0.40933506509140977</v>
      </c>
      <c r="G15" s="224">
        <f>SUM(G5:G14)</f>
        <v>895702683.30000019</v>
      </c>
      <c r="H15" s="91">
        <f t="shared" ref="H15:H27" si="5">+G15/D15</f>
        <v>0.39908954919958617</v>
      </c>
      <c r="I15" s="224">
        <f>SUM(I5:I14)</f>
        <v>205453200.50999999</v>
      </c>
      <c r="J15" s="183">
        <f t="shared" ref="J15:J27" si="6">+I15/D15</f>
        <v>9.1541788030666801E-2</v>
      </c>
      <c r="K15" s="224">
        <f>SUM(K5:K14)</f>
        <v>144380587</v>
      </c>
      <c r="L15" s="40">
        <v>6.3E-2</v>
      </c>
      <c r="M15" s="155">
        <f t="shared" ref="M15:M27" si="7">+I15/K15-1</f>
        <v>0.4229974041454756</v>
      </c>
    </row>
    <row r="16" spans="1:13" ht="15" customHeight="1" x14ac:dyDescent="0.2">
      <c r="A16" s="29">
        <v>1</v>
      </c>
      <c r="B16" s="20" t="s">
        <v>28</v>
      </c>
      <c r="C16" s="221">
        <v>45622302.869999997</v>
      </c>
      <c r="D16" s="226">
        <v>45628743.310000002</v>
      </c>
      <c r="E16" s="30">
        <v>14377892.59</v>
      </c>
      <c r="F16" s="45">
        <f t="shared" si="4"/>
        <v>0.3151060394610723</v>
      </c>
      <c r="G16" s="30">
        <v>13128402.689999999</v>
      </c>
      <c r="H16" s="45">
        <f t="shared" si="5"/>
        <v>0.28772220617180083</v>
      </c>
      <c r="I16" s="30">
        <v>463843.16</v>
      </c>
      <c r="J16" s="165">
        <f t="shared" si="6"/>
        <v>1.0165591387180371E-2</v>
      </c>
      <c r="K16" s="30">
        <v>322892</v>
      </c>
      <c r="L16" s="49">
        <v>7.0000000000000001E-3</v>
      </c>
      <c r="M16" s="152">
        <f t="shared" si="7"/>
        <v>0.43652725988875529</v>
      </c>
    </row>
    <row r="17" spans="1:15" ht="15" customHeight="1" x14ac:dyDescent="0.2">
      <c r="A17" s="31">
        <v>2</v>
      </c>
      <c r="B17" s="22" t="s">
        <v>29</v>
      </c>
      <c r="C17" s="221">
        <v>39657006.960000001</v>
      </c>
      <c r="D17" s="226">
        <v>40563649.149999999</v>
      </c>
      <c r="E17" s="30">
        <v>14360603</v>
      </c>
      <c r="F17" s="295">
        <f t="shared" si="4"/>
        <v>0.35402640790270223</v>
      </c>
      <c r="G17" s="30">
        <v>13792236.380000001</v>
      </c>
      <c r="H17" s="295">
        <f t="shared" si="5"/>
        <v>0.34001468479815017</v>
      </c>
      <c r="I17" s="30">
        <v>386545.54</v>
      </c>
      <c r="J17" s="192">
        <f t="shared" si="6"/>
        <v>9.5293581346835021E-3</v>
      </c>
      <c r="K17" s="32">
        <v>385270</v>
      </c>
      <c r="L17" s="50">
        <v>0.01</v>
      </c>
      <c r="M17" s="153">
        <f t="shared" si="7"/>
        <v>3.3107690710409976E-3</v>
      </c>
    </row>
    <row r="18" spans="1:15" ht="15" customHeight="1" x14ac:dyDescent="0.2">
      <c r="A18" s="35">
        <v>3</v>
      </c>
      <c r="B18" s="22" t="s">
        <v>30</v>
      </c>
      <c r="C18" s="221">
        <v>33818767.32</v>
      </c>
      <c r="D18" s="226">
        <v>34096700.079999998</v>
      </c>
      <c r="E18" s="30">
        <v>11920639.98</v>
      </c>
      <c r="F18" s="295">
        <f t="shared" si="4"/>
        <v>0.34961271771259339</v>
      </c>
      <c r="G18" s="30">
        <v>11151228.59</v>
      </c>
      <c r="H18" s="295">
        <f t="shared" si="5"/>
        <v>0.32704715012996061</v>
      </c>
      <c r="I18" s="30">
        <v>341195.73</v>
      </c>
      <c r="J18" s="192">
        <f t="shared" si="6"/>
        <v>1.00067082503428E-2</v>
      </c>
      <c r="K18" s="32">
        <v>357175</v>
      </c>
      <c r="L18" s="50">
        <v>1.0999999999999999E-2</v>
      </c>
      <c r="M18" s="153">
        <f t="shared" si="7"/>
        <v>-4.4737929586337266E-2</v>
      </c>
    </row>
    <row r="19" spans="1:15" ht="15" customHeight="1" x14ac:dyDescent="0.2">
      <c r="A19" s="35">
        <v>4</v>
      </c>
      <c r="B19" s="22" t="s">
        <v>31</v>
      </c>
      <c r="C19" s="221">
        <v>15446559.359999999</v>
      </c>
      <c r="D19" s="226">
        <v>15619570.27</v>
      </c>
      <c r="E19" s="30">
        <v>5185732.07</v>
      </c>
      <c r="F19" s="295">
        <f t="shared" si="4"/>
        <v>0.33200222415594027</v>
      </c>
      <c r="G19" s="30">
        <v>4741643.43</v>
      </c>
      <c r="H19" s="295">
        <f t="shared" si="5"/>
        <v>0.30357067115393821</v>
      </c>
      <c r="I19" s="30">
        <v>256954.84</v>
      </c>
      <c r="J19" s="192">
        <f t="shared" si="6"/>
        <v>1.645082646694351E-2</v>
      </c>
      <c r="K19" s="32">
        <v>247970</v>
      </c>
      <c r="L19" s="50">
        <v>1.7000000000000001E-2</v>
      </c>
      <c r="M19" s="153">
        <f t="shared" si="7"/>
        <v>3.6233576642335841E-2</v>
      </c>
      <c r="O19" s="376"/>
    </row>
    <row r="20" spans="1:15" ht="15" customHeight="1" x14ac:dyDescent="0.2">
      <c r="A20" s="35">
        <v>5</v>
      </c>
      <c r="B20" s="22" t="s">
        <v>32</v>
      </c>
      <c r="C20" s="221">
        <v>22575394.260000002</v>
      </c>
      <c r="D20" s="226">
        <v>23290195.370000001</v>
      </c>
      <c r="E20" s="30">
        <v>9598522.1600000001</v>
      </c>
      <c r="F20" s="295">
        <f t="shared" si="4"/>
        <v>0.41212716370614111</v>
      </c>
      <c r="G20" s="30">
        <v>7380333.04</v>
      </c>
      <c r="H20" s="295">
        <f t="shared" si="5"/>
        <v>0.31688583641108375</v>
      </c>
      <c r="I20" s="30">
        <v>304873.2</v>
      </c>
      <c r="J20" s="192">
        <f t="shared" si="6"/>
        <v>1.3090195043735264E-2</v>
      </c>
      <c r="K20" s="32">
        <v>289483</v>
      </c>
      <c r="L20" s="50">
        <v>1.2999999999999999E-2</v>
      </c>
      <c r="M20" s="153">
        <f t="shared" si="7"/>
        <v>5.3164434526379756E-2</v>
      </c>
    </row>
    <row r="21" spans="1:15" ht="15" customHeight="1" x14ac:dyDescent="0.2">
      <c r="A21" s="35">
        <v>6</v>
      </c>
      <c r="B21" s="22" t="s">
        <v>33</v>
      </c>
      <c r="C21" s="221">
        <v>22001694.969999999</v>
      </c>
      <c r="D21" s="226">
        <v>22104469.940000001</v>
      </c>
      <c r="E21" s="30">
        <v>3857265.66</v>
      </c>
      <c r="F21" s="295">
        <f t="shared" si="4"/>
        <v>0.17450161304342954</v>
      </c>
      <c r="G21" s="30">
        <v>3307994.25</v>
      </c>
      <c r="H21" s="295">
        <f t="shared" si="5"/>
        <v>0.14965272901721524</v>
      </c>
      <c r="I21" s="30">
        <v>314376.15000000002</v>
      </c>
      <c r="J21" s="192">
        <f t="shared" si="6"/>
        <v>1.4222288562147715E-2</v>
      </c>
      <c r="K21" s="32">
        <v>292557</v>
      </c>
      <c r="L21" s="50">
        <v>1.4E-2</v>
      </c>
      <c r="M21" s="153">
        <f t="shared" si="7"/>
        <v>7.4580850911104557E-2</v>
      </c>
    </row>
    <row r="22" spans="1:15" ht="15" customHeight="1" x14ac:dyDescent="0.2">
      <c r="A22" s="35">
        <v>7</v>
      </c>
      <c r="B22" s="22" t="s">
        <v>34</v>
      </c>
      <c r="C22" s="221">
        <v>27091049.690000001</v>
      </c>
      <c r="D22" s="226">
        <v>26993655.649999999</v>
      </c>
      <c r="E22" s="30">
        <v>4855572.29</v>
      </c>
      <c r="F22" s="295">
        <f t="shared" si="4"/>
        <v>0.1798782778056221</v>
      </c>
      <c r="G22" s="30">
        <v>3562153.29</v>
      </c>
      <c r="H22" s="295">
        <f t="shared" si="5"/>
        <v>0.13196261137012763</v>
      </c>
      <c r="I22" s="30">
        <v>335375.63</v>
      </c>
      <c r="J22" s="192">
        <f t="shared" si="6"/>
        <v>1.2424239026698853E-2</v>
      </c>
      <c r="K22" s="32">
        <v>444378</v>
      </c>
      <c r="L22" s="50">
        <v>1.7000000000000001E-2</v>
      </c>
      <c r="M22" s="153">
        <f t="shared" si="7"/>
        <v>-0.2452920036545464</v>
      </c>
    </row>
    <row r="23" spans="1:15" ht="15" customHeight="1" x14ac:dyDescent="0.2">
      <c r="A23" s="35">
        <v>8</v>
      </c>
      <c r="B23" s="22" t="s">
        <v>35</v>
      </c>
      <c r="C23" s="221">
        <v>30441458.079999998</v>
      </c>
      <c r="D23" s="226">
        <v>30780061.329999998</v>
      </c>
      <c r="E23" s="30">
        <v>641275.73</v>
      </c>
      <c r="F23" s="295">
        <f t="shared" si="4"/>
        <v>2.0834127753182097E-2</v>
      </c>
      <c r="G23" s="30">
        <v>442775.73</v>
      </c>
      <c r="H23" s="295">
        <f t="shared" si="5"/>
        <v>1.4385147750451218E-2</v>
      </c>
      <c r="I23" s="30">
        <v>273032.40999999997</v>
      </c>
      <c r="J23" s="192">
        <f t="shared" si="6"/>
        <v>8.8704309933874976E-3</v>
      </c>
      <c r="K23" s="32">
        <v>266337</v>
      </c>
      <c r="L23" s="50">
        <v>0.01</v>
      </c>
      <c r="M23" s="153">
        <f t="shared" si="7"/>
        <v>2.5138865422378309E-2</v>
      </c>
    </row>
    <row r="24" spans="1:15" ht="15" customHeight="1" x14ac:dyDescent="0.2">
      <c r="A24" s="35">
        <v>9</v>
      </c>
      <c r="B24" s="22" t="s">
        <v>36</v>
      </c>
      <c r="C24" s="221">
        <v>29332471.370000001</v>
      </c>
      <c r="D24" s="226">
        <v>29438692.93</v>
      </c>
      <c r="E24" s="30">
        <v>8331395.9000000004</v>
      </c>
      <c r="F24" s="295">
        <f t="shared" si="4"/>
        <v>0.28300834958299897</v>
      </c>
      <c r="G24" s="30">
        <v>7390487.5099999998</v>
      </c>
      <c r="H24" s="295">
        <f t="shared" si="5"/>
        <v>0.2510467270939396</v>
      </c>
      <c r="I24" s="30">
        <v>475762.81</v>
      </c>
      <c r="J24" s="192">
        <f t="shared" si="6"/>
        <v>1.6161139053669255E-2</v>
      </c>
      <c r="K24" s="32">
        <v>320644</v>
      </c>
      <c r="L24" s="50">
        <v>0.01</v>
      </c>
      <c r="M24" s="153">
        <f t="shared" si="7"/>
        <v>0.48377268871396306</v>
      </c>
    </row>
    <row r="25" spans="1:15" ht="15" customHeight="1" x14ac:dyDescent="0.2">
      <c r="A25" s="36">
        <v>10</v>
      </c>
      <c r="B25" s="24" t="s">
        <v>37</v>
      </c>
      <c r="C25" s="221">
        <v>37490721.299999997</v>
      </c>
      <c r="D25" s="226">
        <v>37685323.060000002</v>
      </c>
      <c r="E25" s="30">
        <v>14069244.01</v>
      </c>
      <c r="F25" s="433">
        <f t="shared" si="4"/>
        <v>0.37333483880713741</v>
      </c>
      <c r="G25" s="30">
        <v>13202185.59</v>
      </c>
      <c r="H25" s="433">
        <f t="shared" si="5"/>
        <v>0.35032698456585815</v>
      </c>
      <c r="I25" s="30">
        <v>418363.99</v>
      </c>
      <c r="J25" s="434">
        <f t="shared" si="6"/>
        <v>1.1101509978670194E-2</v>
      </c>
      <c r="K25" s="34">
        <v>2601257</v>
      </c>
      <c r="L25" s="354">
        <v>7.0000000000000007E-2</v>
      </c>
      <c r="M25" s="154">
        <f t="shared" si="7"/>
        <v>-0.83916852890737059</v>
      </c>
    </row>
    <row r="26" spans="1:15" ht="15" customHeight="1" thickBot="1" x14ac:dyDescent="0.25">
      <c r="A26" s="10">
        <v>6</v>
      </c>
      <c r="B26" s="2" t="s">
        <v>38</v>
      </c>
      <c r="C26" s="222">
        <f>SUM(C16:C25)</f>
        <v>303477426.18000001</v>
      </c>
      <c r="D26" s="229">
        <f>SUM(D16:D25)</f>
        <v>306201061.09000003</v>
      </c>
      <c r="E26" s="224">
        <f>SUM(E16:E25)</f>
        <v>87198143.390000001</v>
      </c>
      <c r="F26" s="91">
        <f t="shared" si="4"/>
        <v>0.28477413853366862</v>
      </c>
      <c r="G26" s="224">
        <f>SUM(G16:G25)</f>
        <v>78099440.499999985</v>
      </c>
      <c r="H26" s="91">
        <f t="shared" si="5"/>
        <v>0.2550593398402517</v>
      </c>
      <c r="I26" s="224">
        <f>SUM(I16:I25)</f>
        <v>3570323.46</v>
      </c>
      <c r="J26" s="183">
        <f t="shared" si="6"/>
        <v>1.1660062337114481E-2</v>
      </c>
      <c r="K26" s="224">
        <f>SUM(K16:K25)</f>
        <v>5527963</v>
      </c>
      <c r="L26" s="40">
        <v>1.9E-2</v>
      </c>
      <c r="M26" s="155">
        <f t="shared" si="7"/>
        <v>-0.35413398027446996</v>
      </c>
      <c r="O26" s="376"/>
    </row>
    <row r="27" spans="1:15" s="6" customFormat="1" ht="19.5" customHeight="1" thickBot="1" x14ac:dyDescent="0.25">
      <c r="A27" s="5"/>
      <c r="B27" s="4" t="s">
        <v>11</v>
      </c>
      <c r="C27" s="223">
        <f>+C15+C26</f>
        <v>2550566229.5</v>
      </c>
      <c r="D27" s="230">
        <f>+D15+D26</f>
        <v>2550566229.5</v>
      </c>
      <c r="E27" s="231">
        <f>+E15+E26</f>
        <v>1005895505.6900002</v>
      </c>
      <c r="F27" s="195">
        <f t="shared" si="4"/>
        <v>0.39438125309421618</v>
      </c>
      <c r="G27" s="231">
        <f>+G15+G26</f>
        <v>973802123.80000019</v>
      </c>
      <c r="H27" s="195">
        <f t="shared" si="5"/>
        <v>0.38179840716816021</v>
      </c>
      <c r="I27" s="231">
        <f>+I15+I26</f>
        <v>209023523.97</v>
      </c>
      <c r="J27" s="187">
        <f t="shared" si="6"/>
        <v>8.1951811935883703E-2</v>
      </c>
      <c r="K27" s="225">
        <f>+K15+K26</f>
        <v>149908550</v>
      </c>
      <c r="L27" s="204">
        <v>5.8000000000000003E-2</v>
      </c>
      <c r="M27" s="157">
        <f t="shared" si="7"/>
        <v>0.39434024256788547</v>
      </c>
    </row>
    <row r="28" spans="1:15" x14ac:dyDescent="0.2">
      <c r="C28" s="383"/>
      <c r="D28" s="383"/>
      <c r="E28" s="383"/>
      <c r="F28" s="489"/>
      <c r="G28" s="383"/>
      <c r="H28" s="489"/>
      <c r="I28" s="383"/>
      <c r="J28" s="489"/>
      <c r="K28" s="383"/>
    </row>
    <row r="30" spans="1:15" ht="15.75" thickBot="1" x14ac:dyDescent="0.3">
      <c r="A30" s="7" t="s">
        <v>19</v>
      </c>
    </row>
    <row r="31" spans="1:15" ht="26.25" customHeight="1" x14ac:dyDescent="0.2">
      <c r="A31" s="666" t="s">
        <v>499</v>
      </c>
      <c r="B31" s="667"/>
      <c r="C31" s="176" t="s">
        <v>512</v>
      </c>
      <c r="D31" s="650" t="s">
        <v>510</v>
      </c>
      <c r="E31" s="648"/>
      <c r="F31" s="648"/>
      <c r="G31" s="648"/>
      <c r="H31" s="648"/>
      <c r="I31" s="648"/>
      <c r="J31" s="649"/>
      <c r="K31" s="644" t="s">
        <v>511</v>
      </c>
      <c r="L31" s="645"/>
      <c r="M31" s="219"/>
    </row>
    <row r="32" spans="1:15" x14ac:dyDescent="0.2">
      <c r="C32" s="169">
        <v>1</v>
      </c>
      <c r="D32" s="159">
        <v>2</v>
      </c>
      <c r="E32" s="88">
        <v>3</v>
      </c>
      <c r="F32" s="89" t="s">
        <v>39</v>
      </c>
      <c r="G32" s="88">
        <v>4</v>
      </c>
      <c r="H32" s="89" t="s">
        <v>40</v>
      </c>
      <c r="I32" s="88">
        <v>5</v>
      </c>
      <c r="J32" s="160" t="s">
        <v>41</v>
      </c>
      <c r="K32" s="88" t="s">
        <v>42</v>
      </c>
      <c r="L32" s="16" t="s">
        <v>43</v>
      </c>
      <c r="M32" s="150" t="s">
        <v>368</v>
      </c>
    </row>
    <row r="33" spans="1:13" ht="25.5" x14ac:dyDescent="0.2">
      <c r="A33" s="1"/>
      <c r="B33" s="2" t="s">
        <v>22</v>
      </c>
      <c r="C33" s="170" t="s">
        <v>13</v>
      </c>
      <c r="D33" s="120" t="s">
        <v>14</v>
      </c>
      <c r="E33" s="90" t="s">
        <v>15</v>
      </c>
      <c r="F33" s="90" t="s">
        <v>18</v>
      </c>
      <c r="G33" s="90" t="s">
        <v>16</v>
      </c>
      <c r="H33" s="90" t="s">
        <v>18</v>
      </c>
      <c r="I33" s="90" t="s">
        <v>17</v>
      </c>
      <c r="J33" s="121" t="s">
        <v>18</v>
      </c>
      <c r="K33" s="90" t="s">
        <v>17</v>
      </c>
      <c r="L33" s="12" t="s">
        <v>18</v>
      </c>
      <c r="M33" s="151" t="s">
        <v>553</v>
      </c>
    </row>
    <row r="34" spans="1:13" ht="15" customHeight="1" x14ac:dyDescent="0.2">
      <c r="A34" s="29">
        <v>1</v>
      </c>
      <c r="B34" s="20" t="s">
        <v>428</v>
      </c>
      <c r="C34" s="221">
        <v>182282357.78</v>
      </c>
      <c r="D34" s="226">
        <v>190864638.31</v>
      </c>
      <c r="E34" s="30">
        <v>71097862.280000001</v>
      </c>
      <c r="F34" s="45">
        <f t="shared" ref="F34:F43" si="8">+E34/D34</f>
        <v>0.37250411029267627</v>
      </c>
      <c r="G34" s="30">
        <v>64586931.229999997</v>
      </c>
      <c r="H34" s="45">
        <f t="shared" ref="H34:H43" si="9">+G34/D34</f>
        <v>0.33839129029809439</v>
      </c>
      <c r="I34" s="30">
        <v>9648248.0800000019</v>
      </c>
      <c r="J34" s="165">
        <f t="shared" ref="J34:J43" si="10">+I34/D34</f>
        <v>5.0550212786558378E-2</v>
      </c>
      <c r="K34" s="30">
        <v>13272979</v>
      </c>
      <c r="L34" s="49">
        <v>7.5999999999999998E-2</v>
      </c>
      <c r="M34" s="152">
        <f t="shared" ref="M34:M40" si="11">+I34/K34-1</f>
        <v>-0.27309098582917957</v>
      </c>
    </row>
    <row r="35" spans="1:13" ht="15" customHeight="1" x14ac:dyDescent="0.2">
      <c r="A35" s="31">
        <v>2</v>
      </c>
      <c r="B35" s="22" t="s">
        <v>429</v>
      </c>
      <c r="C35" s="221">
        <v>205272445.00999999</v>
      </c>
      <c r="D35" s="226">
        <v>205369715.28999999</v>
      </c>
      <c r="E35" s="30">
        <v>145673738.06999999</v>
      </c>
      <c r="F35" s="45">
        <f t="shared" si="8"/>
        <v>0.70932434153836144</v>
      </c>
      <c r="G35" s="30">
        <v>142234094.58000001</v>
      </c>
      <c r="H35" s="295">
        <f t="shared" si="9"/>
        <v>0.69257579862324414</v>
      </c>
      <c r="I35" s="30">
        <v>13084502.24</v>
      </c>
      <c r="J35" s="192">
        <f t="shared" si="10"/>
        <v>6.3711936404661898E-2</v>
      </c>
      <c r="K35" s="32">
        <v>13416430</v>
      </c>
      <c r="L35" s="50">
        <v>6.9000000000000006E-2</v>
      </c>
      <c r="M35" s="153">
        <f t="shared" si="11"/>
        <v>-2.4740393681478623E-2</v>
      </c>
    </row>
    <row r="36" spans="1:13" ht="15" customHeight="1" x14ac:dyDescent="0.2">
      <c r="A36" s="31">
        <v>4</v>
      </c>
      <c r="B36" s="22" t="s">
        <v>24</v>
      </c>
      <c r="C36" s="221">
        <v>244658507.91</v>
      </c>
      <c r="D36" s="226">
        <v>243241302.84999999</v>
      </c>
      <c r="E36" s="30">
        <v>35114316.240000002</v>
      </c>
      <c r="F36" s="45">
        <f t="shared" si="8"/>
        <v>0.14436000723797307</v>
      </c>
      <c r="G36" s="30">
        <v>28874517.460000001</v>
      </c>
      <c r="H36" s="295">
        <f t="shared" si="9"/>
        <v>0.11870729650632605</v>
      </c>
      <c r="I36" s="30">
        <v>14932067.15</v>
      </c>
      <c r="J36" s="192">
        <f t="shared" si="10"/>
        <v>6.1387876873888407E-2</v>
      </c>
      <c r="K36" s="32">
        <v>14298690</v>
      </c>
      <c r="L36" s="50">
        <v>0.06</v>
      </c>
      <c r="M36" s="153">
        <f t="shared" si="11"/>
        <v>4.4296166292156824E-2</v>
      </c>
    </row>
    <row r="37" spans="1:13" ht="15" customHeight="1" x14ac:dyDescent="0.2">
      <c r="A37" s="31" t="s">
        <v>431</v>
      </c>
      <c r="B37" s="22" t="s">
        <v>25</v>
      </c>
      <c r="C37" s="221">
        <v>42675310.450000003</v>
      </c>
      <c r="D37" s="226">
        <v>43500295.890000001</v>
      </c>
      <c r="E37" s="30">
        <v>15332367.23</v>
      </c>
      <c r="F37" s="45">
        <f t="shared" si="8"/>
        <v>0.35246581468712856</v>
      </c>
      <c r="G37" s="30">
        <v>15029711.23</v>
      </c>
      <c r="H37" s="295">
        <f t="shared" si="9"/>
        <v>0.34550825281754194</v>
      </c>
      <c r="I37" s="30">
        <v>698020.17</v>
      </c>
      <c r="J37" s="192">
        <f t="shared" si="10"/>
        <v>1.6046331541401386E-2</v>
      </c>
      <c r="K37" s="32">
        <v>619868</v>
      </c>
      <c r="L37" s="50">
        <v>1.4999999999999999E-2</v>
      </c>
      <c r="M37" s="153">
        <f t="shared" si="11"/>
        <v>0.12607872966502542</v>
      </c>
    </row>
    <row r="38" spans="1:13" ht="15" customHeight="1" x14ac:dyDescent="0.2">
      <c r="A38" s="31" t="s">
        <v>430</v>
      </c>
      <c r="B38" s="22" t="s">
        <v>23</v>
      </c>
      <c r="C38" s="221">
        <v>309902947.29000002</v>
      </c>
      <c r="D38" s="226">
        <v>310018077.56999999</v>
      </c>
      <c r="E38" s="30">
        <v>63958058.200000003</v>
      </c>
      <c r="F38" s="45">
        <f t="shared" si="8"/>
        <v>0.20630428619298402</v>
      </c>
      <c r="G38" s="30">
        <v>63958058.200000003</v>
      </c>
      <c r="H38" s="295">
        <f t="shared" si="9"/>
        <v>0.20630428619298402</v>
      </c>
      <c r="I38" s="30">
        <v>174257.39</v>
      </c>
      <c r="J38" s="192">
        <f t="shared" si="10"/>
        <v>5.6208783489618882E-4</v>
      </c>
      <c r="K38" s="32">
        <v>723558</v>
      </c>
      <c r="L38" s="50">
        <v>2E-3</v>
      </c>
      <c r="M38" s="153">
        <f t="shared" si="11"/>
        <v>-0.75916596872676412</v>
      </c>
    </row>
    <row r="39" spans="1:13" ht="15" customHeight="1" x14ac:dyDescent="0.2">
      <c r="A39" s="31" t="s">
        <v>464</v>
      </c>
      <c r="B39" s="22" t="s">
        <v>465</v>
      </c>
      <c r="C39" s="221">
        <v>6604592.1299999999</v>
      </c>
      <c r="D39" s="226">
        <v>6381477.9100000001</v>
      </c>
      <c r="E39" s="30">
        <v>375873.67</v>
      </c>
      <c r="F39" s="45">
        <f t="shared" si="8"/>
        <v>5.8900724142755823E-2</v>
      </c>
      <c r="G39" s="30">
        <v>244048.07</v>
      </c>
      <c r="H39" s="295">
        <f t="shared" si="9"/>
        <v>3.8243189656359713E-2</v>
      </c>
      <c r="I39" s="30">
        <v>156565.07</v>
      </c>
      <c r="J39" s="192">
        <f t="shared" si="10"/>
        <v>2.4534296319455567E-2</v>
      </c>
      <c r="K39" s="144">
        <v>194650</v>
      </c>
      <c r="L39" s="50">
        <v>2.5000000000000001E-2</v>
      </c>
      <c r="M39" s="153">
        <f t="shared" si="11"/>
        <v>-0.1956585152838427</v>
      </c>
    </row>
    <row r="40" spans="1:13" ht="15" customHeight="1" x14ac:dyDescent="0.2">
      <c r="A40" s="31" t="s">
        <v>473</v>
      </c>
      <c r="B40" s="22" t="s">
        <v>475</v>
      </c>
      <c r="C40" s="221">
        <v>43447489.090000004</v>
      </c>
      <c r="D40" s="226">
        <v>43450455.969999999</v>
      </c>
      <c r="E40" s="30">
        <v>1943674.37</v>
      </c>
      <c r="F40" s="45">
        <f t="shared" si="8"/>
        <v>4.4733117906564521E-2</v>
      </c>
      <c r="G40" s="30">
        <v>1572356.22</v>
      </c>
      <c r="H40" s="295">
        <f t="shared" si="9"/>
        <v>3.6187335320154522E-2</v>
      </c>
      <c r="I40" s="30">
        <v>183556.92</v>
      </c>
      <c r="J40" s="192">
        <f t="shared" si="10"/>
        <v>4.2245107882581331E-3</v>
      </c>
      <c r="K40" s="144">
        <v>166362</v>
      </c>
      <c r="L40" s="50">
        <v>5.0000000000000001E-3</v>
      </c>
      <c r="M40" s="153">
        <f t="shared" si="11"/>
        <v>0.10335845926353371</v>
      </c>
    </row>
    <row r="41" spans="1:13" ht="15" customHeight="1" x14ac:dyDescent="0.2">
      <c r="A41" s="31">
        <v>7</v>
      </c>
      <c r="B41" s="22" t="s">
        <v>433</v>
      </c>
      <c r="C41" s="221">
        <v>129122876.34</v>
      </c>
      <c r="D41" s="226">
        <v>130694791.77</v>
      </c>
      <c r="E41" s="30">
        <v>53063139.370000005</v>
      </c>
      <c r="F41" s="45">
        <f t="shared" si="8"/>
        <v>0.40600806391261451</v>
      </c>
      <c r="G41" s="30">
        <v>47064633.440000005</v>
      </c>
      <c r="H41" s="295">
        <f t="shared" si="9"/>
        <v>0.36011100980080019</v>
      </c>
      <c r="I41" s="30">
        <v>5015062.0199999996</v>
      </c>
      <c r="J41" s="192">
        <f t="shared" si="10"/>
        <v>3.8372317305693654E-2</v>
      </c>
      <c r="K41" s="144">
        <v>6409351</v>
      </c>
      <c r="L41" s="50">
        <v>7.3999999999999996E-2</v>
      </c>
      <c r="M41" s="153">
        <f>+I41/K42-1</f>
        <v>-0.81651903113148772</v>
      </c>
    </row>
    <row r="42" spans="1:13" ht="15" customHeight="1" x14ac:dyDescent="0.2">
      <c r="A42" s="33" t="s">
        <v>434</v>
      </c>
      <c r="B42" s="24" t="s">
        <v>26</v>
      </c>
      <c r="C42" s="221">
        <v>333733413.32999998</v>
      </c>
      <c r="D42" s="226">
        <v>330255883.62</v>
      </c>
      <c r="E42" s="30">
        <v>197310728.91999999</v>
      </c>
      <c r="F42" s="45">
        <f t="shared" si="8"/>
        <v>0.59744803561783089</v>
      </c>
      <c r="G42" s="30">
        <v>197310728.91999999</v>
      </c>
      <c r="H42" s="433">
        <f t="shared" si="9"/>
        <v>0.59744803561783089</v>
      </c>
      <c r="I42" s="30">
        <v>22825629.77</v>
      </c>
      <c r="J42" s="434">
        <f t="shared" si="10"/>
        <v>6.9114982963524405E-2</v>
      </c>
      <c r="K42" s="32">
        <v>27332873</v>
      </c>
      <c r="L42" s="50">
        <v>8.3000000000000004E-2</v>
      </c>
      <c r="M42" s="154">
        <f>+I42/K43-1</f>
        <v>-0.33144231373332489</v>
      </c>
    </row>
    <row r="43" spans="1:13" ht="15" customHeight="1" x14ac:dyDescent="0.2">
      <c r="A43" s="31">
        <v>8</v>
      </c>
      <c r="B43" s="22" t="s">
        <v>435</v>
      </c>
      <c r="C43" s="221">
        <v>209900385.63</v>
      </c>
      <c r="D43" s="226">
        <v>210369711.53999999</v>
      </c>
      <c r="E43" s="30">
        <v>198314928.68000001</v>
      </c>
      <c r="F43" s="45">
        <f t="shared" si="8"/>
        <v>0.94269715553748867</v>
      </c>
      <c r="G43" s="30">
        <v>198314928.68000001</v>
      </c>
      <c r="H43" s="295">
        <f t="shared" si="9"/>
        <v>0.94269715553748867</v>
      </c>
      <c r="I43" s="30">
        <v>36251796.130000003</v>
      </c>
      <c r="J43" s="192">
        <f t="shared" si="10"/>
        <v>0.17232421846577015</v>
      </c>
      <c r="K43" s="34">
        <v>34141601</v>
      </c>
      <c r="L43" s="354">
        <v>0.16600000000000001</v>
      </c>
      <c r="M43" s="154">
        <f>+I43/K44-1</f>
        <v>-0.67215600627193717</v>
      </c>
    </row>
    <row r="44" spans="1:13" ht="15" customHeight="1" x14ac:dyDescent="0.2">
      <c r="A44" s="9"/>
      <c r="B44" s="2" t="s">
        <v>27</v>
      </c>
      <c r="C44" s="229">
        <f>SUM(C34:C43)</f>
        <v>1707600324.96</v>
      </c>
      <c r="D44" s="229">
        <f>SUM(D34:D43)</f>
        <v>1714146350.7200003</v>
      </c>
      <c r="E44" s="224">
        <f>SUM(E34:E43)</f>
        <v>782184687.02999997</v>
      </c>
      <c r="F44" s="91">
        <f t="shared" ref="F44:F56" si="12">+E44/D44</f>
        <v>0.45631149679924093</v>
      </c>
      <c r="G44" s="224">
        <f>SUM(G34:G43)</f>
        <v>759190008.02999997</v>
      </c>
      <c r="H44" s="91">
        <f t="shared" ref="H44:H56" si="13">+G44/D44</f>
        <v>0.44289684349945624</v>
      </c>
      <c r="I44" s="224">
        <f>SUM(I34:I43)</f>
        <v>102969704.94</v>
      </c>
      <c r="J44" s="183">
        <f t="shared" ref="J44:J56" si="14">+I44/D44</f>
        <v>6.0070544674758482E-2</v>
      </c>
      <c r="K44" s="224">
        <f>SUM(K34:K43)</f>
        <v>110576362</v>
      </c>
      <c r="L44" s="40">
        <v>6.8000000000000005E-2</v>
      </c>
      <c r="M44" s="155">
        <f t="shared" ref="M44:M56" si="15">+I44/K44-1</f>
        <v>-6.8790986811448906E-2</v>
      </c>
    </row>
    <row r="45" spans="1:13" ht="15" customHeight="1" x14ac:dyDescent="0.2">
      <c r="A45" s="29">
        <v>1</v>
      </c>
      <c r="B45" s="20" t="s">
        <v>28</v>
      </c>
      <c r="C45" s="221">
        <v>45393979.670000002</v>
      </c>
      <c r="D45" s="226">
        <v>45400420.100000001</v>
      </c>
      <c r="E45" s="30">
        <v>14377892.59</v>
      </c>
      <c r="F45" s="45">
        <f t="shared" si="12"/>
        <v>0.31669073894758959</v>
      </c>
      <c r="G45" s="30">
        <v>13128402.689999999</v>
      </c>
      <c r="H45" s="45">
        <f t="shared" si="13"/>
        <v>0.28916918964809313</v>
      </c>
      <c r="I45" s="30">
        <v>463843.16</v>
      </c>
      <c r="J45" s="165">
        <f t="shared" si="14"/>
        <v>1.021671515325912E-2</v>
      </c>
      <c r="K45" s="30">
        <v>322892</v>
      </c>
      <c r="L45" s="49">
        <v>7.0000000000000001E-3</v>
      </c>
      <c r="M45" s="152">
        <f t="shared" si="15"/>
        <v>0.43652725988875529</v>
      </c>
    </row>
    <row r="46" spans="1:13" ht="15" customHeight="1" x14ac:dyDescent="0.2">
      <c r="A46" s="31">
        <v>2</v>
      </c>
      <c r="B46" s="22" t="s">
        <v>29</v>
      </c>
      <c r="C46" s="221">
        <v>39077838.960000001</v>
      </c>
      <c r="D46" s="226">
        <v>39437027.850000001</v>
      </c>
      <c r="E46" s="30">
        <v>14360603</v>
      </c>
      <c r="F46" s="295">
        <f t="shared" si="12"/>
        <v>0.36414009328038138</v>
      </c>
      <c r="G46" s="30">
        <v>13792236.380000001</v>
      </c>
      <c r="H46" s="295">
        <f t="shared" si="13"/>
        <v>0.34972808885241591</v>
      </c>
      <c r="I46" s="30">
        <v>386545.54</v>
      </c>
      <c r="J46" s="192">
        <f t="shared" si="14"/>
        <v>9.8015890414013523E-3</v>
      </c>
      <c r="K46" s="32">
        <v>385270</v>
      </c>
      <c r="L46" s="50">
        <v>0.01</v>
      </c>
      <c r="M46" s="153">
        <f t="shared" si="15"/>
        <v>3.3107690710409976E-3</v>
      </c>
    </row>
    <row r="47" spans="1:13" ht="15" customHeight="1" x14ac:dyDescent="0.2">
      <c r="A47" s="35">
        <v>3</v>
      </c>
      <c r="B47" s="22" t="s">
        <v>30</v>
      </c>
      <c r="C47" s="221">
        <v>32320121.32</v>
      </c>
      <c r="D47" s="226">
        <v>32424398.18</v>
      </c>
      <c r="E47" s="30">
        <v>11454019.289999999</v>
      </c>
      <c r="F47" s="295">
        <f t="shared" si="12"/>
        <v>0.35325310361704915</v>
      </c>
      <c r="G47" s="30">
        <v>10684607.9</v>
      </c>
      <c r="H47" s="295">
        <f t="shared" si="13"/>
        <v>0.32952370744664966</v>
      </c>
      <c r="I47" s="30">
        <v>341195.73</v>
      </c>
      <c r="J47" s="192">
        <f t="shared" si="14"/>
        <v>1.0522808414388895E-2</v>
      </c>
      <c r="K47" s="32">
        <v>357175</v>
      </c>
      <c r="L47" s="50">
        <v>1.0999999999999999E-2</v>
      </c>
      <c r="M47" s="153">
        <f t="shared" si="15"/>
        <v>-4.4737929586337266E-2</v>
      </c>
    </row>
    <row r="48" spans="1:13" ht="15" customHeight="1" x14ac:dyDescent="0.2">
      <c r="A48" s="35">
        <v>4</v>
      </c>
      <c r="B48" s="22" t="s">
        <v>31</v>
      </c>
      <c r="C48" s="221">
        <v>15096559.359999999</v>
      </c>
      <c r="D48" s="226">
        <v>15120027.470000001</v>
      </c>
      <c r="E48" s="30">
        <v>5185732.07</v>
      </c>
      <c r="F48" s="295">
        <f t="shared" si="12"/>
        <v>0.34297107464183729</v>
      </c>
      <c r="G48" s="30">
        <v>4741643.43</v>
      </c>
      <c r="H48" s="295">
        <f t="shared" si="13"/>
        <v>0.31360018620389446</v>
      </c>
      <c r="I48" s="30">
        <v>256954.84</v>
      </c>
      <c r="J48" s="192">
        <f t="shared" si="14"/>
        <v>1.6994336849574521E-2</v>
      </c>
      <c r="K48" s="32">
        <v>247970</v>
      </c>
      <c r="L48" s="50">
        <v>1.7000000000000001E-2</v>
      </c>
      <c r="M48" s="153">
        <f t="shared" si="15"/>
        <v>3.6233576642335841E-2</v>
      </c>
    </row>
    <row r="49" spans="1:13" ht="15" customHeight="1" x14ac:dyDescent="0.2">
      <c r="A49" s="35">
        <v>5</v>
      </c>
      <c r="B49" s="22" t="s">
        <v>32</v>
      </c>
      <c r="C49" s="221">
        <v>21002284.260000002</v>
      </c>
      <c r="D49" s="226">
        <v>21290726.550000001</v>
      </c>
      <c r="E49" s="30">
        <v>7876115.7000000002</v>
      </c>
      <c r="F49" s="295">
        <f t="shared" si="12"/>
        <v>0.36993174852457067</v>
      </c>
      <c r="G49" s="30">
        <v>7377881.04</v>
      </c>
      <c r="H49" s="295">
        <f t="shared" si="13"/>
        <v>0.34653026155183042</v>
      </c>
      <c r="I49" s="30">
        <v>304873.2</v>
      </c>
      <c r="J49" s="192">
        <f t="shared" si="14"/>
        <v>1.4319530114861204E-2</v>
      </c>
      <c r="K49" s="32">
        <v>289483</v>
      </c>
      <c r="L49" s="50">
        <v>1.4E-2</v>
      </c>
      <c r="M49" s="153">
        <f t="shared" si="15"/>
        <v>5.3164434526379756E-2</v>
      </c>
    </row>
    <row r="50" spans="1:13" ht="15" customHeight="1" x14ac:dyDescent="0.2">
      <c r="A50" s="35">
        <v>6</v>
      </c>
      <c r="B50" s="22" t="s">
        <v>33</v>
      </c>
      <c r="C50" s="221">
        <v>21419602.420000002</v>
      </c>
      <c r="D50" s="226">
        <v>21424705.640000001</v>
      </c>
      <c r="E50" s="30">
        <v>3857265.66</v>
      </c>
      <c r="F50" s="295">
        <f t="shared" si="12"/>
        <v>0.18003821031727371</v>
      </c>
      <c r="G50" s="30">
        <v>3307994.25</v>
      </c>
      <c r="H50" s="295">
        <f t="shared" si="13"/>
        <v>0.1544009194611273</v>
      </c>
      <c r="I50" s="30">
        <v>314376.15000000002</v>
      </c>
      <c r="J50" s="192">
        <f t="shared" si="14"/>
        <v>1.4673534156430072E-2</v>
      </c>
      <c r="K50" s="32">
        <v>292557</v>
      </c>
      <c r="L50" s="50">
        <v>1.4E-2</v>
      </c>
      <c r="M50" s="153">
        <f t="shared" si="15"/>
        <v>7.4580850911104557E-2</v>
      </c>
    </row>
    <row r="51" spans="1:13" ht="15" customHeight="1" x14ac:dyDescent="0.2">
      <c r="A51" s="35">
        <v>7</v>
      </c>
      <c r="B51" s="22" t="s">
        <v>34</v>
      </c>
      <c r="C51" s="221">
        <v>25695480.390000001</v>
      </c>
      <c r="D51" s="226">
        <v>25598086.350000001</v>
      </c>
      <c r="E51" s="30">
        <v>4855572.29</v>
      </c>
      <c r="F51" s="295">
        <f t="shared" si="12"/>
        <v>0.18968497190025299</v>
      </c>
      <c r="G51" s="30">
        <v>3562153.29</v>
      </c>
      <c r="H51" s="295">
        <f t="shared" si="13"/>
        <v>0.13915701514929846</v>
      </c>
      <c r="I51" s="30">
        <v>335375.63</v>
      </c>
      <c r="J51" s="192">
        <f t="shared" si="14"/>
        <v>1.3101589916310287E-2</v>
      </c>
      <c r="K51" s="32">
        <v>444378</v>
      </c>
      <c r="L51" s="50">
        <v>0.01</v>
      </c>
      <c r="M51" s="153">
        <f t="shared" si="15"/>
        <v>-0.2452920036545464</v>
      </c>
    </row>
    <row r="52" spans="1:13" ht="15" customHeight="1" x14ac:dyDescent="0.2">
      <c r="A52" s="35">
        <v>8</v>
      </c>
      <c r="B52" s="22" t="s">
        <v>35</v>
      </c>
      <c r="C52" s="221">
        <v>27379622.440000001</v>
      </c>
      <c r="D52" s="226">
        <v>27405382.809999999</v>
      </c>
      <c r="E52" s="30">
        <v>641275.73</v>
      </c>
      <c r="F52" s="295">
        <f t="shared" si="12"/>
        <v>2.3399626797623266E-2</v>
      </c>
      <c r="G52" s="30">
        <v>442775.73</v>
      </c>
      <c r="H52" s="295">
        <f t="shared" si="13"/>
        <v>1.6156524178835216E-2</v>
      </c>
      <c r="I52" s="30">
        <v>273032.40999999997</v>
      </c>
      <c r="J52" s="192">
        <f t="shared" si="14"/>
        <v>9.9627292890932615E-3</v>
      </c>
      <c r="K52" s="32">
        <v>266337</v>
      </c>
      <c r="L52" s="50">
        <v>0.01</v>
      </c>
      <c r="M52" s="153">
        <f t="shared" si="15"/>
        <v>2.5138865422378309E-2</v>
      </c>
    </row>
    <row r="53" spans="1:13" ht="15" customHeight="1" x14ac:dyDescent="0.2">
      <c r="A53" s="35">
        <v>9</v>
      </c>
      <c r="B53" s="22" t="s">
        <v>36</v>
      </c>
      <c r="C53" s="221">
        <v>23990071.370000001</v>
      </c>
      <c r="D53" s="226">
        <v>23867102.449999999</v>
      </c>
      <c r="E53" s="30">
        <v>8331395.9000000004</v>
      </c>
      <c r="F53" s="295">
        <f t="shared" si="12"/>
        <v>0.34907446002101528</v>
      </c>
      <c r="G53" s="30">
        <v>7390487.5099999998</v>
      </c>
      <c r="H53" s="295">
        <f t="shared" si="13"/>
        <v>0.30965164395144246</v>
      </c>
      <c r="I53" s="30">
        <v>475762.81</v>
      </c>
      <c r="J53" s="192">
        <f t="shared" si="14"/>
        <v>1.9933831976323545E-2</v>
      </c>
      <c r="K53" s="32">
        <v>320644</v>
      </c>
      <c r="L53" s="50">
        <v>1.4999999999999999E-2</v>
      </c>
      <c r="M53" s="153">
        <f t="shared" si="15"/>
        <v>0.48377268871396306</v>
      </c>
    </row>
    <row r="54" spans="1:13" ht="15" customHeight="1" x14ac:dyDescent="0.2">
      <c r="A54" s="36">
        <v>10</v>
      </c>
      <c r="B54" s="24" t="s">
        <v>37</v>
      </c>
      <c r="C54" s="221">
        <v>37134721.299999997</v>
      </c>
      <c r="D54" s="226">
        <v>36996378.329999998</v>
      </c>
      <c r="E54" s="30">
        <v>13990351.18</v>
      </c>
      <c r="F54" s="433">
        <f t="shared" si="12"/>
        <v>0.3781546143573562</v>
      </c>
      <c r="G54" s="30">
        <v>13123292.76</v>
      </c>
      <c r="H54" s="433">
        <f t="shared" si="13"/>
        <v>0.35471830899076007</v>
      </c>
      <c r="I54" s="30">
        <v>418363.99</v>
      </c>
      <c r="J54" s="434">
        <f t="shared" si="14"/>
        <v>1.1308241749186373E-2</v>
      </c>
      <c r="K54" s="34">
        <v>2601079</v>
      </c>
      <c r="L54" s="354">
        <v>7.0999999999999994E-2</v>
      </c>
      <c r="M54" s="154">
        <f t="shared" si="15"/>
        <v>-0.83915752270500055</v>
      </c>
    </row>
    <row r="55" spans="1:13" ht="15" customHeight="1" thickBot="1" x14ac:dyDescent="0.25">
      <c r="A55" s="10">
        <v>6</v>
      </c>
      <c r="B55" s="2" t="s">
        <v>38</v>
      </c>
      <c r="C55" s="229">
        <f>SUM(C45:C54)</f>
        <v>288510281.49000001</v>
      </c>
      <c r="D55" s="229">
        <f>SUM(D45:D54)</f>
        <v>288964255.73000002</v>
      </c>
      <c r="E55" s="224">
        <f>SUM(E45:E54)</f>
        <v>84930223.409999996</v>
      </c>
      <c r="F55" s="91">
        <f t="shared" si="12"/>
        <v>0.29391255743878708</v>
      </c>
      <c r="G55" s="224">
        <f>SUM(G45:G54)</f>
        <v>77551474.979999989</v>
      </c>
      <c r="H55" s="91">
        <f t="shared" si="13"/>
        <v>0.26837739769607311</v>
      </c>
      <c r="I55" s="224">
        <f>SUM(I45:I54)</f>
        <v>3570323.46</v>
      </c>
      <c r="J55" s="183">
        <f t="shared" si="14"/>
        <v>1.2355588586485965E-2</v>
      </c>
      <c r="K55" s="224">
        <f>SUM(K45:K54)</f>
        <v>5527785</v>
      </c>
      <c r="L55" s="40">
        <v>0.02</v>
      </c>
      <c r="M55" s="155">
        <f t="shared" si="15"/>
        <v>-0.3541131827666959</v>
      </c>
    </row>
    <row r="56" spans="1:13" s="6" customFormat="1" ht="23.25" customHeight="1" thickBot="1" x14ac:dyDescent="0.25">
      <c r="A56" s="5"/>
      <c r="B56" s="4" t="s">
        <v>136</v>
      </c>
      <c r="C56" s="230">
        <f>+C44+C55</f>
        <v>1996110606.45</v>
      </c>
      <c r="D56" s="230">
        <f>+D44+D55</f>
        <v>2003110606.4500003</v>
      </c>
      <c r="E56" s="231">
        <f>+E44+E55</f>
        <v>867114910.43999994</v>
      </c>
      <c r="F56" s="195">
        <f t="shared" si="12"/>
        <v>0.43288418904472714</v>
      </c>
      <c r="G56" s="231">
        <f>+G44+G55</f>
        <v>836741483.00999999</v>
      </c>
      <c r="H56" s="195">
        <f t="shared" si="13"/>
        <v>0.41772105859541608</v>
      </c>
      <c r="I56" s="231">
        <f>+I44+I55</f>
        <v>106540028.39999999</v>
      </c>
      <c r="J56" s="187">
        <f t="shared" si="14"/>
        <v>5.3187291833482357E-2</v>
      </c>
      <c r="K56" s="225">
        <f>+K55+K44</f>
        <v>116104147</v>
      </c>
      <c r="L56" s="204">
        <v>6.0999999999999999E-2</v>
      </c>
      <c r="M56" s="157">
        <f t="shared" si="15"/>
        <v>-8.2375340133199582E-2</v>
      </c>
    </row>
    <row r="61" spans="1:13" x14ac:dyDescent="0.2">
      <c r="C61" s="376"/>
      <c r="D61" s="376"/>
      <c r="E61" s="376"/>
      <c r="F61" s="490"/>
      <c r="G61" s="376"/>
      <c r="H61" s="490"/>
      <c r="I61" s="376"/>
      <c r="J61" s="490"/>
      <c r="K61" s="376"/>
    </row>
    <row r="62" spans="1:13" x14ac:dyDescent="0.2">
      <c r="C62" s="384"/>
      <c r="D62" s="384"/>
      <c r="E62" s="384"/>
      <c r="F62" s="473"/>
      <c r="G62" s="384"/>
      <c r="H62" s="473"/>
      <c r="I62" s="384"/>
      <c r="J62" s="473"/>
      <c r="K62" s="384"/>
    </row>
  </sheetData>
  <mergeCells count="5">
    <mergeCell ref="K2:L2"/>
    <mergeCell ref="K31:L31"/>
    <mergeCell ref="D2:J2"/>
    <mergeCell ref="A31:B31"/>
    <mergeCell ref="D31:J31"/>
  </mergeCells>
  <printOptions horizontalCentered="1"/>
  <pageMargins left="0.51181102362204722" right="0.51181102362204722" top="1.3385826771653544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Gener&amp;R&amp;"Arial,Negreta"&amp;8&amp;K03+000Direcció de Pressupostos i Política Fiscal</oddHeader>
  </headerFooter>
  <rowBreaks count="1" manualBreakCount="1">
    <brk id="2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22"/>
  <sheetViews>
    <sheetView zoomScaleNormal="100" workbookViewId="0">
      <selection activeCell="M23" sqref="M23"/>
    </sheetView>
  </sheetViews>
  <sheetFormatPr defaultColWidth="11.42578125" defaultRowHeight="12.75" x14ac:dyDescent="0.2"/>
  <cols>
    <col min="1" max="1" width="2.7109375" customWidth="1"/>
    <col min="2" max="2" width="31.42578125" customWidth="1"/>
    <col min="3" max="3" width="11.28515625" bestFit="1" customWidth="1"/>
    <col min="4" max="4" width="12.7109375" style="43" bestFit="1" customWidth="1"/>
    <col min="5" max="5" width="10.85546875" style="43" customWidth="1"/>
    <col min="6" max="6" width="6.28515625" style="98" customWidth="1"/>
    <col min="7" max="7" width="10" style="43" customWidth="1"/>
    <col min="8" max="8" width="7.42578125" style="98" bestFit="1" customWidth="1"/>
    <col min="9" max="9" width="11.5703125" style="43" bestFit="1" customWidth="1"/>
    <col min="10" max="10" width="7.42578125" style="98" bestFit="1" customWidth="1"/>
    <col min="11" max="11" width="11.7109375" style="43" customWidth="1"/>
    <col min="12" max="12" width="6.28515625" style="98" customWidth="1"/>
    <col min="13" max="13" width="8" style="98" customWidth="1"/>
    <col min="14" max="14" width="3.7109375" customWidth="1"/>
  </cols>
  <sheetData>
    <row r="1" spans="1:13" ht="15.75" thickBot="1" x14ac:dyDescent="0.3">
      <c r="A1" s="7" t="s">
        <v>436</v>
      </c>
    </row>
    <row r="2" spans="1:13" x14ac:dyDescent="0.2">
      <c r="A2" s="8" t="s">
        <v>20</v>
      </c>
      <c r="C2" s="176" t="s">
        <v>512</v>
      </c>
      <c r="D2" s="650" t="s">
        <v>510</v>
      </c>
      <c r="E2" s="648"/>
      <c r="F2" s="648"/>
      <c r="G2" s="648"/>
      <c r="H2" s="648"/>
      <c r="I2" s="648"/>
      <c r="J2" s="649"/>
      <c r="K2" s="644" t="s">
        <v>511</v>
      </c>
      <c r="L2" s="645"/>
      <c r="M2" s="219"/>
    </row>
    <row r="3" spans="1:13" x14ac:dyDescent="0.2">
      <c r="C3" s="169">
        <v>1</v>
      </c>
      <c r="D3" s="243">
        <v>2</v>
      </c>
      <c r="E3" s="241">
        <v>3</v>
      </c>
      <c r="F3" s="89" t="s">
        <v>39</v>
      </c>
      <c r="G3" s="241">
        <v>4</v>
      </c>
      <c r="H3" s="89" t="s">
        <v>40</v>
      </c>
      <c r="I3" s="241">
        <v>5</v>
      </c>
      <c r="J3" s="160" t="s">
        <v>41</v>
      </c>
      <c r="K3" s="241" t="s">
        <v>42</v>
      </c>
      <c r="L3" s="16" t="s">
        <v>43</v>
      </c>
      <c r="M3" s="150" t="s">
        <v>368</v>
      </c>
    </row>
    <row r="4" spans="1:13" ht="25.5" x14ac:dyDescent="0.2">
      <c r="A4" s="1"/>
      <c r="B4" s="2" t="s">
        <v>12</v>
      </c>
      <c r="C4" s="170" t="s">
        <v>13</v>
      </c>
      <c r="D4" s="244" t="s">
        <v>14</v>
      </c>
      <c r="E4" s="242" t="s">
        <v>15</v>
      </c>
      <c r="F4" s="90" t="s">
        <v>18</v>
      </c>
      <c r="G4" s="242" t="s">
        <v>16</v>
      </c>
      <c r="H4" s="90" t="s">
        <v>18</v>
      </c>
      <c r="I4" s="242" t="s">
        <v>17</v>
      </c>
      <c r="J4" s="121" t="s">
        <v>18</v>
      </c>
      <c r="K4" s="242" t="s">
        <v>17</v>
      </c>
      <c r="L4" s="12" t="s">
        <v>18</v>
      </c>
      <c r="M4" s="151" t="s">
        <v>553</v>
      </c>
    </row>
    <row r="5" spans="1:13" ht="15" customHeight="1" x14ac:dyDescent="0.2">
      <c r="A5" s="20">
        <v>1</v>
      </c>
      <c r="B5" s="20" t="s">
        <v>0</v>
      </c>
      <c r="C5" s="172">
        <v>57784103.840000004</v>
      </c>
      <c r="D5" s="227">
        <v>59366384.369999997</v>
      </c>
      <c r="E5" s="32">
        <v>4245250.75</v>
      </c>
      <c r="F5" s="45">
        <f>+E5/D5</f>
        <v>7.1509336387096542E-2</v>
      </c>
      <c r="G5" s="32">
        <v>4235250.75</v>
      </c>
      <c r="H5" s="45">
        <f>G5/D5</f>
        <v>7.1340890892122893E-2</v>
      </c>
      <c r="I5" s="32">
        <v>4235250.75</v>
      </c>
      <c r="J5" s="165">
        <f>I5/D5</f>
        <v>7.1340890892122893E-2</v>
      </c>
      <c r="K5" s="30">
        <v>4214810</v>
      </c>
      <c r="L5" s="49">
        <v>7.2999999999999995E-2</v>
      </c>
      <c r="M5" s="232">
        <f>+I5/K5-1</f>
        <v>4.8497441165793465E-3</v>
      </c>
    </row>
    <row r="6" spans="1:13" ht="15" customHeight="1" x14ac:dyDescent="0.2">
      <c r="A6" s="22">
        <v>2</v>
      </c>
      <c r="B6" s="22" t="s">
        <v>1</v>
      </c>
      <c r="C6" s="172">
        <v>69877823.049999997</v>
      </c>
      <c r="D6" s="227">
        <v>69587423.049999997</v>
      </c>
      <c r="E6" s="32">
        <v>25805521.77</v>
      </c>
      <c r="F6" s="45">
        <f>+E6/D6</f>
        <v>0.37083600223934432</v>
      </c>
      <c r="G6" s="32">
        <v>22293590.719999999</v>
      </c>
      <c r="H6" s="45">
        <f>G6/D6</f>
        <v>0.32036810306916519</v>
      </c>
      <c r="I6" s="32">
        <v>466628.98</v>
      </c>
      <c r="J6" s="165">
        <f>I6/D6</f>
        <v>6.7056511011295457E-3</v>
      </c>
      <c r="K6" s="32">
        <v>1420717</v>
      </c>
      <c r="L6" s="50">
        <v>2.1000000000000001E-2</v>
      </c>
      <c r="M6" s="233">
        <f>+I6/K6-1</f>
        <v>-0.67155388441188502</v>
      </c>
    </row>
    <row r="7" spans="1:13" ht="15" customHeight="1" x14ac:dyDescent="0.2">
      <c r="A7" s="22">
        <v>3</v>
      </c>
      <c r="B7" s="22" t="s">
        <v>2</v>
      </c>
      <c r="C7" s="172"/>
      <c r="D7" s="227"/>
      <c r="E7" s="32"/>
      <c r="F7" s="358" t="s">
        <v>135</v>
      </c>
      <c r="G7" s="32"/>
      <c r="H7" s="45" t="s">
        <v>135</v>
      </c>
      <c r="I7" s="32"/>
      <c r="J7" s="165" t="s">
        <v>135</v>
      </c>
      <c r="K7" s="32"/>
      <c r="L7" s="50"/>
      <c r="M7" s="234" t="s">
        <v>135</v>
      </c>
    </row>
    <row r="8" spans="1:13" ht="15" customHeight="1" x14ac:dyDescent="0.2">
      <c r="A8" s="24">
        <v>4</v>
      </c>
      <c r="B8" s="24" t="s">
        <v>3</v>
      </c>
      <c r="C8" s="172">
        <v>54620430.890000001</v>
      </c>
      <c r="D8" s="227">
        <v>61910830.890000001</v>
      </c>
      <c r="E8" s="32">
        <v>41047089.759999998</v>
      </c>
      <c r="F8" s="79">
        <f>+E8/D8</f>
        <v>0.66300337388348685</v>
      </c>
      <c r="G8" s="32">
        <v>38058089.759999998</v>
      </c>
      <c r="H8" s="433">
        <f>G8/D8</f>
        <v>0.61472426089095245</v>
      </c>
      <c r="I8" s="32">
        <v>4946368.3499999996</v>
      </c>
      <c r="J8" s="434">
        <f>I8/D8</f>
        <v>7.9895040639794579E-2</v>
      </c>
      <c r="K8" s="34">
        <v>7637452</v>
      </c>
      <c r="L8" s="354">
        <v>0.153</v>
      </c>
      <c r="M8" s="494">
        <f>+I8/K8-1</f>
        <v>-0.35235359253321663</v>
      </c>
    </row>
    <row r="9" spans="1:13" ht="15" customHeight="1" x14ac:dyDescent="0.2">
      <c r="A9" s="9"/>
      <c r="B9" s="2" t="s">
        <v>4</v>
      </c>
      <c r="C9" s="174">
        <f>SUM(C5:C8)</f>
        <v>182282357.78</v>
      </c>
      <c r="D9" s="164">
        <f t="shared" ref="D9:G9" si="0">SUM(D5:D8)</f>
        <v>190864638.31</v>
      </c>
      <c r="E9" s="85">
        <f t="shared" si="0"/>
        <v>71097862.280000001</v>
      </c>
      <c r="F9" s="91">
        <f>+E9/D9</f>
        <v>0.37250411029267627</v>
      </c>
      <c r="G9" s="85">
        <f t="shared" si="0"/>
        <v>64586931.229999997</v>
      </c>
      <c r="H9" s="91">
        <f>G9/D9</f>
        <v>0.33839129029809439</v>
      </c>
      <c r="I9" s="85">
        <f>SUM(I5:I8)</f>
        <v>9648248.0800000001</v>
      </c>
      <c r="J9" s="183">
        <f>I9/D9</f>
        <v>5.0550212786558364E-2</v>
      </c>
      <c r="K9" s="85">
        <f>SUM(K5:K8)</f>
        <v>13272979</v>
      </c>
      <c r="L9" s="40">
        <v>7.5999999999999998E-2</v>
      </c>
      <c r="M9" s="155">
        <f>+I9/K9-1</f>
        <v>-0.27309098582917968</v>
      </c>
    </row>
    <row r="10" spans="1:13" ht="15" customHeight="1" x14ac:dyDescent="0.2">
      <c r="A10" s="82">
        <v>6</v>
      </c>
      <c r="B10" s="82" t="s">
        <v>5</v>
      </c>
      <c r="C10" s="172">
        <v>5332708.5599999996</v>
      </c>
      <c r="D10" s="227">
        <v>5995213.9199999999</v>
      </c>
      <c r="E10" s="32">
        <v>0</v>
      </c>
      <c r="F10" s="268" t="s">
        <v>135</v>
      </c>
      <c r="G10" s="83">
        <v>0</v>
      </c>
      <c r="H10" s="387" t="s">
        <v>135</v>
      </c>
      <c r="I10" s="83">
        <v>0</v>
      </c>
      <c r="J10" s="479" t="s">
        <v>135</v>
      </c>
      <c r="K10" s="83"/>
      <c r="L10" s="108"/>
      <c r="M10" s="152"/>
    </row>
    <row r="11" spans="1:13" ht="15" customHeight="1" x14ac:dyDescent="0.2">
      <c r="A11" s="54">
        <v>7</v>
      </c>
      <c r="B11" s="54" t="s">
        <v>6</v>
      </c>
      <c r="C11" s="172">
        <v>0</v>
      </c>
      <c r="D11" s="227">
        <v>747600</v>
      </c>
      <c r="E11" s="32">
        <v>0</v>
      </c>
      <c r="F11" s="268" t="s">
        <v>135</v>
      </c>
      <c r="G11" s="55">
        <v>0</v>
      </c>
      <c r="H11" s="269" t="s">
        <v>135</v>
      </c>
      <c r="I11" s="55">
        <v>0</v>
      </c>
      <c r="J11" s="217" t="s">
        <v>135</v>
      </c>
      <c r="K11" s="213"/>
      <c r="L11" s="375"/>
      <c r="M11" s="274"/>
    </row>
    <row r="12" spans="1:13" ht="15" customHeight="1" x14ac:dyDescent="0.2">
      <c r="A12" s="9"/>
      <c r="B12" s="2" t="s">
        <v>7</v>
      </c>
      <c r="C12" s="174">
        <f>SUM(C10:C11)</f>
        <v>5332708.5599999996</v>
      </c>
      <c r="D12" s="164">
        <f t="shared" ref="D12:I12" si="1">SUM(D10:D11)</f>
        <v>6742813.9199999999</v>
      </c>
      <c r="E12" s="85">
        <f t="shared" si="1"/>
        <v>0</v>
      </c>
      <c r="F12" s="91">
        <f>+E12/D12</f>
        <v>0</v>
      </c>
      <c r="G12" s="85">
        <f t="shared" si="1"/>
        <v>0</v>
      </c>
      <c r="H12" s="91">
        <f>G12/D12</f>
        <v>0</v>
      </c>
      <c r="I12" s="85">
        <f t="shared" si="1"/>
        <v>0</v>
      </c>
      <c r="J12" s="183">
        <f>I12/D12</f>
        <v>0</v>
      </c>
      <c r="K12" s="85"/>
      <c r="L12" s="40"/>
      <c r="M12" s="236"/>
    </row>
    <row r="13" spans="1:13" ht="15" customHeight="1" x14ac:dyDescent="0.2">
      <c r="A13" s="20">
        <v>8</v>
      </c>
      <c r="B13" s="20" t="s">
        <v>8</v>
      </c>
      <c r="C13" s="171"/>
      <c r="D13" s="226"/>
      <c r="E13" s="30"/>
      <c r="F13" s="87" t="s">
        <v>135</v>
      </c>
      <c r="G13" s="30"/>
      <c r="H13" s="87" t="s">
        <v>135</v>
      </c>
      <c r="I13" s="30"/>
      <c r="J13" s="245" t="s">
        <v>135</v>
      </c>
      <c r="K13" s="30"/>
      <c r="L13" s="52" t="s">
        <v>135</v>
      </c>
      <c r="M13" s="237" t="s">
        <v>135</v>
      </c>
    </row>
    <row r="14" spans="1:13" ht="15" customHeight="1" x14ac:dyDescent="0.2">
      <c r="A14" s="24">
        <v>9</v>
      </c>
      <c r="B14" s="24" t="s">
        <v>9</v>
      </c>
      <c r="C14" s="173"/>
      <c r="D14" s="228"/>
      <c r="E14" s="34"/>
      <c r="F14" s="46" t="s">
        <v>135</v>
      </c>
      <c r="G14" s="34"/>
      <c r="H14" s="46" t="s">
        <v>135</v>
      </c>
      <c r="I14" s="34"/>
      <c r="J14" s="246" t="s">
        <v>135</v>
      </c>
      <c r="K14" s="34"/>
      <c r="L14" s="51" t="s">
        <v>135</v>
      </c>
      <c r="M14" s="238" t="s">
        <v>135</v>
      </c>
    </row>
    <row r="15" spans="1:13" ht="15" customHeight="1" thickBot="1" x14ac:dyDescent="0.25">
      <c r="A15" s="9"/>
      <c r="B15" s="2" t="s">
        <v>10</v>
      </c>
      <c r="C15" s="174">
        <f>SUM(C13:C14)</f>
        <v>0</v>
      </c>
      <c r="D15" s="164">
        <f t="shared" ref="D15:I15" si="2">SUM(D13:D14)</f>
        <v>0</v>
      </c>
      <c r="E15" s="85">
        <f t="shared" si="2"/>
        <v>0</v>
      </c>
      <c r="F15" s="57" t="s">
        <v>135</v>
      </c>
      <c r="G15" s="85">
        <f t="shared" si="2"/>
        <v>0</v>
      </c>
      <c r="H15" s="57" t="s">
        <v>135</v>
      </c>
      <c r="I15" s="85">
        <f t="shared" si="2"/>
        <v>0</v>
      </c>
      <c r="J15" s="247" t="s">
        <v>135</v>
      </c>
      <c r="K15" s="85"/>
      <c r="L15" s="100" t="s">
        <v>135</v>
      </c>
      <c r="M15" s="239" t="s">
        <v>135</v>
      </c>
    </row>
    <row r="16" spans="1:13" s="6" customFormat="1" ht="19.5" customHeight="1" thickBot="1" x14ac:dyDescent="0.25">
      <c r="A16" s="5"/>
      <c r="B16" s="4" t="s">
        <v>11</v>
      </c>
      <c r="C16" s="175">
        <f>+C9+C12+C15</f>
        <v>187615066.34</v>
      </c>
      <c r="D16" s="166">
        <f>+D9+D12+D15</f>
        <v>197607452.22999999</v>
      </c>
      <c r="E16" s="167">
        <f t="shared" ref="E16:I16" si="3">+E9+E12+E15</f>
        <v>71097862.280000001</v>
      </c>
      <c r="F16" s="195">
        <f>+E16/D16</f>
        <v>0.35979342619754806</v>
      </c>
      <c r="G16" s="167">
        <f t="shared" si="3"/>
        <v>64586931.229999997</v>
      </c>
      <c r="H16" s="195">
        <f>G16/D16</f>
        <v>0.3268446128986357</v>
      </c>
      <c r="I16" s="167">
        <f t="shared" si="3"/>
        <v>9648248.0800000001</v>
      </c>
      <c r="J16" s="187">
        <f>I16/D16</f>
        <v>4.8825325012389592E-2</v>
      </c>
      <c r="K16" s="158">
        <f>K9+K12+K15</f>
        <v>13272979</v>
      </c>
      <c r="L16" s="204">
        <v>7.0999999999999994E-2</v>
      </c>
      <c r="M16" s="240">
        <f>+I16/K16-1</f>
        <v>-0.27309098582917968</v>
      </c>
    </row>
    <row r="17" spans="4:10" x14ac:dyDescent="0.2">
      <c r="F17" s="491"/>
      <c r="H17" s="491"/>
      <c r="J17" s="491"/>
    </row>
    <row r="18" spans="4:10" x14ac:dyDescent="0.2">
      <c r="F18" s="491"/>
      <c r="H18" s="491"/>
    </row>
    <row r="22" spans="4:10" x14ac:dyDescent="0.2">
      <c r="D22" s="194"/>
    </row>
  </sheetData>
  <mergeCells count="2">
    <mergeCell ref="K2:L2"/>
    <mergeCell ref="D2:J2"/>
  </mergeCells>
  <printOptions horizontalCentered="1"/>
  <pageMargins left="0.51181102362204722" right="0.51181102362204722" top="1.3385826771653544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Gener
&amp;R&amp;"Arial,Negreta"&amp;8&amp;K03+000Direcció de Pressupostos i Política Fiscal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20</vt:i4>
      </vt:variant>
      <vt:variant>
        <vt:lpstr>Intervals amb nom</vt:lpstr>
      </vt:variant>
      <vt:variant>
        <vt:i4>15</vt:i4>
      </vt:variant>
    </vt:vector>
  </HeadingPairs>
  <TitlesOfParts>
    <vt:vector size="35" baseType="lpstr">
      <vt:lpstr>Indicadors</vt:lpstr>
      <vt:lpstr>ICap </vt:lpstr>
      <vt:lpstr>IDetallCorrent</vt:lpstr>
      <vt:lpstr>IDetallCapital</vt:lpstr>
      <vt:lpstr>DCap</vt:lpstr>
      <vt:lpstr>DDetallCorrent</vt:lpstr>
      <vt:lpstr>DProg</vt:lpstr>
      <vt:lpstr>DOrg</vt:lpstr>
      <vt:lpstr>DCap 01</vt:lpstr>
      <vt:lpstr>DCap 02</vt:lpstr>
      <vt:lpstr>DCap 04</vt:lpstr>
      <vt:lpstr>DCap 0501</vt:lpstr>
      <vt:lpstr>DCap 0502</vt:lpstr>
      <vt:lpstr>DCap 0503</vt:lpstr>
      <vt:lpstr>DCap 0504</vt:lpstr>
      <vt:lpstr>DCap 07</vt:lpstr>
      <vt:lpstr>DCap 0703</vt:lpstr>
      <vt:lpstr>DCap 08</vt:lpstr>
      <vt:lpstr>DCap 06</vt:lpstr>
      <vt:lpstr>Full de control</vt:lpstr>
      <vt:lpstr>DDetallCorrent!Àrea_d'impressió</vt:lpstr>
      <vt:lpstr>DOrg!Àrea_d'impressió</vt:lpstr>
      <vt:lpstr>DProg!Àrea_d'impressió</vt:lpstr>
      <vt:lpstr>IDetallCapital!Àrea_d'impressió</vt:lpstr>
      <vt:lpstr>IDetallCorrent!Àrea_d'impressió</vt:lpstr>
      <vt:lpstr>Indicadors!Àrea_d'impressió</vt:lpstr>
      <vt:lpstr>DCap!Print_Area</vt:lpstr>
      <vt:lpstr>'DCap 0503'!Print_Area</vt:lpstr>
      <vt:lpstr>'DCap 0504'!Print_Area</vt:lpstr>
      <vt:lpstr>DDetallCorrent!Print_Area</vt:lpstr>
      <vt:lpstr>DProg!Print_Area</vt:lpstr>
      <vt:lpstr>'ICap '!Print_Area</vt:lpstr>
      <vt:lpstr>IDetallCapital!Print_Area</vt:lpstr>
      <vt:lpstr>IDetallCorrent!Print_Area</vt:lpstr>
      <vt:lpstr>Indicadors!Print_Area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Lopez, Christian; PBR</dc:creator>
  <cp:lastModifiedBy>Ajuntament de Barcelona</cp:lastModifiedBy>
  <cp:lastPrinted>2015-03-26T11:56:14Z</cp:lastPrinted>
  <dcterms:created xsi:type="dcterms:W3CDTF">2011-01-04T08:57:13Z</dcterms:created>
  <dcterms:modified xsi:type="dcterms:W3CDTF">2015-03-26T12:12:55Z</dcterms:modified>
</cp:coreProperties>
</file>