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76" tabRatio="931" activeTab="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4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DDetallCorrent!$A$1:$P$141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DDetallCorrent!$A$1:$P$141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O30" i="1" l="1"/>
  <c r="O29" i="1"/>
  <c r="O28" i="1"/>
  <c r="O27" i="1"/>
  <c r="O23" i="1"/>
  <c r="O24" i="1"/>
  <c r="O25" i="1"/>
  <c r="O26" i="1"/>
  <c r="O22" i="1"/>
  <c r="E14" i="15" l="1"/>
  <c r="D211" i="78" l="1"/>
  <c r="E211" i="78"/>
  <c r="D213" i="16"/>
  <c r="E213" i="16"/>
  <c r="D79" i="16"/>
  <c r="E79" i="16"/>
  <c r="F116" i="45"/>
  <c r="H14" i="44"/>
  <c r="F14" i="44"/>
  <c r="J11" i="74" l="1"/>
  <c r="H11" i="74"/>
  <c r="J12" i="100" l="1"/>
  <c r="H12" i="100"/>
  <c r="F12" i="100"/>
  <c r="D17" i="13"/>
  <c r="E17" i="13"/>
  <c r="G17" i="13"/>
  <c r="I17" i="13"/>
  <c r="P8" i="47" l="1"/>
  <c r="P11" i="25"/>
  <c r="N6" i="78" l="1"/>
  <c r="N27" i="16"/>
  <c r="P104" i="45" l="1"/>
  <c r="F26" i="44" l="1"/>
  <c r="F27" i="44"/>
  <c r="F66" i="43"/>
  <c r="H9" i="43"/>
  <c r="J81" i="45"/>
  <c r="H81" i="45"/>
  <c r="F81" i="45"/>
  <c r="D59" i="13" l="1"/>
  <c r="E59" i="13"/>
  <c r="N211" i="78"/>
  <c r="P85" i="45" l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0" i="16"/>
  <c r="K86" i="16" l="1"/>
  <c r="P101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N65" i="78"/>
  <c r="P41" i="78" l="1"/>
  <c r="P157" i="16"/>
  <c r="P158" i="16"/>
  <c r="N148" i="16" l="1"/>
  <c r="P145" i="16"/>
  <c r="K148" i="16"/>
  <c r="P137" i="16"/>
  <c r="M137" i="16"/>
  <c r="N121" i="16"/>
  <c r="P41" i="16" l="1"/>
  <c r="P128" i="45" l="1"/>
  <c r="P135" i="45"/>
  <c r="M103" i="45"/>
  <c r="P90" i="45"/>
  <c r="M90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0" i="45" l="1"/>
  <c r="P129" i="45"/>
  <c r="J116" i="45"/>
  <c r="H116" i="45"/>
  <c r="M112" i="45"/>
  <c r="M101" i="45"/>
  <c r="I106" i="45"/>
  <c r="P77" i="45"/>
  <c r="K13" i="44" l="1"/>
  <c r="H59" i="43" l="1"/>
  <c r="K21" i="43"/>
  <c r="K44" i="43"/>
  <c r="H44" i="43"/>
  <c r="H28" i="43"/>
  <c r="H21" i="43"/>
  <c r="P166" i="78" l="1"/>
  <c r="P165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6" i="45"/>
  <c r="M111" i="45"/>
  <c r="P91" i="45"/>
  <c r="P92" i="45"/>
  <c r="P95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3" i="45" l="1"/>
  <c r="H83" i="45"/>
  <c r="F83" i="45"/>
  <c r="P137" i="45"/>
  <c r="M137" i="45"/>
  <c r="M135" i="45"/>
  <c r="P131" i="45"/>
  <c r="M130" i="45"/>
  <c r="M129" i="45"/>
  <c r="M128" i="45"/>
  <c r="P123" i="45"/>
  <c r="M124" i="45"/>
  <c r="P121" i="45"/>
  <c r="P116" i="45"/>
  <c r="P111" i="45"/>
  <c r="M104" i="45"/>
  <c r="M91" i="45"/>
  <c r="M92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F13" i="100" s="1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H13" i="100" l="1"/>
  <c r="J13" i="100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9" i="45"/>
  <c r="C139" i="45"/>
  <c r="C106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7" i="45" l="1"/>
  <c r="H87" i="45"/>
  <c r="J87" i="45"/>
  <c r="F88" i="45"/>
  <c r="H88" i="45"/>
  <c r="J88" i="45"/>
  <c r="F90" i="45"/>
  <c r="H90" i="45"/>
  <c r="J90" i="45"/>
  <c r="F91" i="45"/>
  <c r="H91" i="45"/>
  <c r="J91" i="45"/>
  <c r="F92" i="45"/>
  <c r="H92" i="45"/>
  <c r="J92" i="45"/>
  <c r="F95" i="45"/>
  <c r="H95" i="45"/>
  <c r="J95" i="45"/>
  <c r="F100" i="45"/>
  <c r="H100" i="45"/>
  <c r="J100" i="45"/>
  <c r="F101" i="45"/>
  <c r="H101" i="45"/>
  <c r="J101" i="45"/>
  <c r="F103" i="45"/>
  <c r="H103" i="45"/>
  <c r="J103" i="45"/>
  <c r="F104" i="45"/>
  <c r="H104" i="45"/>
  <c r="J104" i="45"/>
  <c r="D106" i="45"/>
  <c r="E106" i="45"/>
  <c r="G106" i="45"/>
  <c r="E8" i="44"/>
  <c r="D60" i="43"/>
  <c r="I11" i="15"/>
  <c r="H5" i="1"/>
  <c r="F106" i="45" l="1"/>
  <c r="J106" i="45"/>
  <c r="H106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K6" i="78"/>
  <c r="K6" i="16"/>
  <c r="N61" i="45"/>
  <c r="N65" i="45"/>
  <c r="K65" i="45"/>
  <c r="N140" i="45" l="1"/>
  <c r="N141" i="45" s="1"/>
  <c r="K140" i="45"/>
  <c r="K141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5" i="45" l="1"/>
  <c r="H135" i="45"/>
  <c r="F135" i="45"/>
  <c r="J130" i="45"/>
  <c r="J131" i="45"/>
  <c r="J132" i="45"/>
  <c r="J133" i="45"/>
  <c r="H130" i="45"/>
  <c r="H131" i="45"/>
  <c r="H132" i="45"/>
  <c r="H133" i="45"/>
  <c r="F130" i="45"/>
  <c r="F131" i="45"/>
  <c r="F132" i="45"/>
  <c r="F133" i="45"/>
  <c r="J127" i="45"/>
  <c r="H127" i="45"/>
  <c r="F127" i="45"/>
  <c r="J124" i="45"/>
  <c r="H124" i="45"/>
  <c r="F124" i="45"/>
  <c r="J112" i="45"/>
  <c r="H112" i="45"/>
  <c r="F112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I192" i="16"/>
  <c r="G192" i="16"/>
  <c r="I148" i="16"/>
  <c r="G148" i="16"/>
  <c r="E148" i="16"/>
  <c r="D148" i="16"/>
  <c r="J138" i="45" l="1"/>
  <c r="H138" i="45"/>
  <c r="F138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P147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F213" i="16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6" i="45"/>
  <c r="M134" i="45"/>
  <c r="M133" i="45"/>
  <c r="M132" i="45"/>
  <c r="M131" i="45"/>
  <c r="M127" i="45"/>
  <c r="M125" i="45"/>
  <c r="M123" i="45"/>
  <c r="M121" i="45"/>
  <c r="M120" i="45"/>
  <c r="M118" i="45"/>
  <c r="M117" i="45"/>
  <c r="M95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1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3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7" i="45" l="1"/>
  <c r="P82" i="45"/>
  <c r="P63" i="45"/>
  <c r="K43" i="43"/>
  <c r="J8" i="24" l="1"/>
  <c r="H8" i="24"/>
  <c r="F134" i="45" l="1"/>
  <c r="H123" i="45"/>
  <c r="H125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3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5" i="45" l="1"/>
  <c r="J117" i="45"/>
  <c r="J118" i="45"/>
  <c r="J120" i="45"/>
  <c r="J121" i="45"/>
  <c r="I27" i="1" l="1"/>
  <c r="E27" i="1"/>
  <c r="G27" i="1"/>
  <c r="J5" i="20" l="1"/>
  <c r="J6" i="20"/>
  <c r="J10" i="20"/>
  <c r="H10" i="20" l="1"/>
  <c r="J39" i="45"/>
  <c r="J40" i="45"/>
  <c r="H39" i="45"/>
  <c r="H40" i="45"/>
  <c r="P133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9" i="45"/>
  <c r="I139" i="45"/>
  <c r="G139" i="45"/>
  <c r="M139" i="45" s="1"/>
  <c r="G6" i="14"/>
  <c r="G7" i="14" s="1"/>
  <c r="D140" i="45" l="1"/>
  <c r="F139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1" i="45"/>
  <c r="F111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8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M17" i="13"/>
  <c r="E29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7" i="45"/>
  <c r="H137" i="45"/>
  <c r="F137" i="45"/>
  <c r="P136" i="45"/>
  <c r="J136" i="45"/>
  <c r="H136" i="45"/>
  <c r="F136" i="45"/>
  <c r="P134" i="45"/>
  <c r="J134" i="45"/>
  <c r="H134" i="45"/>
  <c r="J128" i="45"/>
  <c r="H128" i="45"/>
  <c r="F128" i="45"/>
  <c r="J129" i="45"/>
  <c r="H129" i="45"/>
  <c r="F129" i="45"/>
  <c r="J125" i="45"/>
  <c r="F125" i="45"/>
  <c r="P132" i="45"/>
  <c r="H121" i="45"/>
  <c r="F121" i="45"/>
  <c r="P120" i="45"/>
  <c r="H120" i="45"/>
  <c r="F120" i="45"/>
  <c r="H118" i="45"/>
  <c r="F118" i="45"/>
  <c r="H117" i="45"/>
  <c r="F117" i="45"/>
  <c r="F80" i="16" l="1"/>
  <c r="J80" i="16"/>
  <c r="H80" i="16"/>
  <c r="P79" i="16"/>
  <c r="P139" i="45"/>
  <c r="J139" i="45"/>
  <c r="H139" i="45"/>
  <c r="E140" i="45" l="1"/>
  <c r="F140" i="45" s="1"/>
  <c r="C140" i="45"/>
  <c r="G140" i="45" l="1"/>
  <c r="M140" i="45" s="1"/>
  <c r="M106" i="45"/>
  <c r="I140" i="45"/>
  <c r="P106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0" i="45" l="1"/>
  <c r="P140" i="45"/>
  <c r="J140" i="45"/>
  <c r="I65" i="45"/>
  <c r="P65" i="45" s="1"/>
  <c r="G65" i="45"/>
  <c r="M65" i="45" s="1"/>
  <c r="E65" i="45"/>
  <c r="D65" i="45"/>
  <c r="C65" i="45"/>
  <c r="C141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1" i="45"/>
  <c r="S16" i="1"/>
  <c r="E17" i="1"/>
  <c r="C4" i="42" s="1"/>
  <c r="H16" i="1"/>
  <c r="H13" i="1"/>
  <c r="G141" i="45"/>
  <c r="M141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1" i="45"/>
  <c r="F141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K14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1" i="45" l="1"/>
  <c r="J141" i="45" l="1"/>
  <c r="P141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<sst xmlns="http://schemas.openxmlformats.org/spreadsheetml/2006/main" count="3925" uniqueCount="788">
  <si>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</si>
  <si>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</si>
  <si>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</si>
  <si>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</si>
  <si>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</si>
  <si>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</si>
  <si>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</si>
  <si>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</si>
  <si>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</si>
  <si>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</si>
  <si>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</si>
  <si>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</si>
  <si>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</si>
  <si>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</si>
  <si>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</si>
  <si>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</si>
  <si>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</si>
  <si>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</si>
  <si>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</si>
  <si>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</si>
  <si>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</si>
  <si>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</si>
  <si>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</si>
  <si>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</si>
  <si>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</si>
  <si>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</si>
  <si>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</si>
  <si>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</si>
  <si>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</si>
  <si>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</si>
  <si>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</si>
  <si>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</si>
  <si>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</si>
  <si>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</si>
  <si>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</si>
  <si>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</si>
  <si>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</si>
  <si>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</si>
  <si>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</si>
  <si>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</si>
  <si>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</si>
  <si>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</si>
  <si>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</si>
  <si>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</si>
  <si>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</si>
  <si>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</si>
  <si>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</si>
  <si>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</si>
  <si>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</si>
  <si>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</si>
  <si>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</si>
  <si>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</si>
  <si>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</si>
  <si>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</si>
  <si>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</si>
  <si>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</si>
  <si>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</si>
  <si>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</si>
  <si>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</si>
  <si>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</si>
  <si>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</si>
  <si>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</si>
  <si>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</si>
  <si>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</si>
  <si>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</si>
  <si>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</si>
  <si>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</si>
  <si>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</si>
  <si>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</si>
  <si>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</si>
  <si>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</si>
  <si>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</si>
  <si>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</si>
  <si>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</si>
  <si>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</si>
  <si>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</si>
  <si>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</si>
  <si>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</si>
  <si>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</si>
  <si>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</si>
  <si>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</si>
  <si>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</si>
  <si>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</si>
  <si>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</si>
  <si>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</si>
  <si>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</si>
  <si>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</si>
  <si>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</si>
  <si>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</si>
  <si>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</si>
  <si>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</si>
  <si>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</si>
  <si>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</si>
  <si>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</si>
  <si>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</si>
  <si>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</si>
  <si>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</si>
  <si>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</si>
  <si>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</si>
  <si>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</si>
  <si>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</si>
  <si>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</si>
  <si>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</si>
  <si>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</si>
  <si>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</si>
  <si>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</si>
  <si>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</si>
  <si>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</si>
  <si>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</si>
  <si>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</si>
  <si>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</si>
  <si>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</si>
  <si>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</si>
  <si>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</si>
  <si>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</si>
  <si>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</si>
  <si>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</si>
  <si>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</si>
  <si>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</si>
  <si>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</si>
  <si>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</si>
  <si>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</si>
  <si>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</si>
  <si>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</si>
  <si>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</si>
  <si>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</si>
  <si>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</si>
  <si>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</si>
  <si>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</si>
  <si>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</si>
  <si>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</si>
  <si>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</si>
  <si>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</si>
  <si>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</si>
  <si>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</si>
  <si>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</si>
  <si>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</si>
  <si>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</si>
  <si>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</si>
  <si>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</si>
  <si>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</si>
  <si>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</si>
  <si>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</si>
  <si>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</si>
  <si>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</si>
  <si>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</si>
  <si>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</si>
  <si>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</si>
  <si>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</si>
  <si>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</si>
  <si>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</si>
  <si>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</si>
  <si>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</si>
  <si>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</si>
  <si>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</si>
  <si>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</si>
  <si>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</si>
  <si>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</si>
  <si>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</si>
  <si>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</si>
  <si>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</si>
  <si>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</si>
  <si>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</si>
  <si>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</si>
  <si>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</si>
  <si>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</si>
  <si>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</si>
  <si>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</si>
  <si>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</si>
  <si>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</si>
  <si>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</si>
  <si>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</si>
  <si>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</si>
  <si>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</si>
  <si>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</si>
  <si>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</si>
  <si>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</si>
  <si>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</si>
  <si>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</si>
  <si>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</si>
  <si>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</si>
  <si>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</si>
  <si>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</si>
  <si>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</si>
  <si>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</si>
  <si>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</si>
  <si>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</si>
  <si>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</si>
  <si>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</si>
  <si>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</si>
  <si>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</si>
  <si>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</si>
  <si>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</si>
  <si>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</si>
  <si>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</si>
  <si>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</si>
  <si>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</si>
  <si>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</si>
  <si>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</si>
  <si>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</si>
  <si>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</si>
  <si>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</si>
  <si>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</si>
  <si>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</si>
  <si>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</si>
  <si>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</si>
  <si>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</si>
  <si>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</si>
  <si>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</si>
  <si>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</si>
  <si>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</si>
  <si>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</si>
  <si>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</si>
  <si>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</si>
  <si>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</si>
  <si>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</si>
  <si>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</si>
  <si>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</si>
  <si>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</si>
  <si>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</si>
  <si>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</si>
  <si>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</si>
  <si>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</si>
  <si>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</si>
  <si>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</si>
  <si>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</si>
  <si>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</si>
  <si>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</si>
  <si>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</si>
  <si>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</si>
  <si>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</si>
  <si>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</si>
  <si>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</si>
  <si>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</si>
  <si>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</si>
  <si>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</si>
  <si>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</si>
  <si>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</si>
  <si>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</si>
  <si>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</si>
  <si>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</si>
  <si>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</si>
  <si>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</si>
  <si>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</si>
  <si>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</si>
  <si>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</si>
  <si>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</si>
  <si>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</si>
  <si>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</si>
  <si>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</si>
  <si>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</si>
  <si>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</si>
  <si>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</si>
  <si>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</si>
  <si>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</si>
  <si>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</si>
  <si>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</si>
  <si>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</si>
  <si>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</si>
  <si>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</si>
  <si>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</si>
  <si>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</si>
  <si>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</si>
  <si>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</si>
  <si>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</si>
  <si>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</si>
  <si>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</si>
  <si>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</si>
  <si>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</si>
  <si>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</si>
  <si>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</si>
  <si>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</si>
  <si>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</si>
  <si>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</si>
  <si>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</si>
  <si>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</si>
  <si>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</si>
  <si>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</si>
  <si>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</si>
  <si>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</si>
  <si>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</si>
  <si>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</si>
  <si>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</si>
  <si>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</si>
  <si>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</si>
  <si>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</si>
  <si>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</si>
  <si>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</si>
  <si>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</si>
  <si>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</si>
  <si>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</si>
  <si>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</si>
  <si>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</si>
  <si>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</si>
  <si>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</si>
  <si>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</si>
  <si>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</si>
  <si>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</si>
  <si>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</si>
  <si>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</si>
  <si>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</si>
  <si>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</si>
  <si>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</si>
  <si>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</si>
  <si>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</si>
  <si>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</si>
  <si>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</si>
  <si>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</si>
  <si>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</si>
  <si>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</si>
  <si>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</si>
  <si>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</si>
  <si>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</si>
  <si>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</si>
  <si>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</si>
  <si>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</si>
  <si>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</si>
  <si>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</si>
  <si>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</si>
  <si>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</si>
  <si>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</si>
  <si>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</si>
  <si>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</si>
  <si>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</si>
  <si>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</si>
  <si>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</si>
  <si>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</si>
  <si>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</si>
  <si>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</si>
  <si>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</si>
  <si>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</si>
  <si>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</si>
  <si>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</si>
  <si>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</si>
  <si>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</si>
  <si>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</si>
  <si>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</si>
  <si>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</si>
  <si>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</si>
  <si>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</si>
  <si>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</si>
  <si>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</si>
  <si>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</si>
  <si>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</si>
  <si>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</si>
  <si>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</si>
  <si>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</si>
  <si>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</si>
  <si>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</si>
  <si>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</si>
  <si>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</si>
  <si>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</si>
  <si>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</si>
  <si>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</si>
  <si>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</si>
  <si>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</si>
  <si>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</si>
  <si>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</si>
  <si>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</si>
  <si>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</si>
  <si>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</si>
  <si>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</si>
  <si>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</si>
  <si>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</si>
  <si>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</si>
  <si>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</si>
  <si>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</si>
  <si>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</si>
  <si>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</si>
  <si>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</si>
  <si>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</si>
  <si>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</si>
  <si>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</si>
  <si>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</si>
  <si>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</si>
  <si>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</si>
  <si>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</si>
  <si>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</si>
  <si>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</si>
  <si>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</si>
  <si>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</si>
  <si>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</si>
  <si>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</si>
  <si>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</si>
  <si>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</si>
  <si>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</si>
  <si>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</si>
  <si>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</si>
  <si>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</si>
  <si>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</si>
  <si>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</si>
  <si>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</si>
  <si>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</si>
  <si>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</si>
  <si>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</si>
  <si>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</si>
  <si>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</si>
  <si>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</si>
  <si>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</si>
  <si>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</si>
  <si>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</si>
  <si>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</si>
  <si>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</si>
  <si>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</si>
  <si>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</si>
  <si>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</si>
  <si>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</si>
  <si>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</si>
  <si>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</si>
  <si>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</si>
  <si>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</si>
  <si>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</si>
  <si>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</si>
  <si>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</si>
  <si>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</si>
  <si>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</si>
  <si>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</si>
  <si>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</si>
  <si>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</si>
  <si>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</si>
  <si>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</si>
  <si>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</si>
  <si>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</si>
  <si>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</si>
  <si>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</si>
  <si>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</si>
  <si>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</si>
  <si>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</si>
  <si>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</si>
  <si>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</si>
  <si>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</si>
  <si>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</si>
  <si>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</si>
  <si>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</si>
  <si>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</si>
  <si>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</si>
  <si>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</si>
  <si>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</si>
  <si>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</si>
  <si>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</si>
  <si>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</si>
  <si>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</si>
  <si>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</si>
  <si>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</si>
  <si>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</si>
  <si>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</si>
  <si>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</si>
  <si>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</si>
  <si>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</si>
  <si>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</si>
  <si>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</si>
  <si>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</si>
  <si>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</si>
  <si>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</si>
  <si>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</si>
  <si>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</si>
  <si>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</si>
  <si>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</si>
  <si>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</si>
  <si>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</si>
  <si>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</si>
  <si>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</si>
  <si>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</si>
  <si>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</si>
  <si>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</si>
  <si>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</si>
  <si>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</si>
  <si>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</si>
  <si>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</si>
  <si>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</si>
  <si>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</si>
  <si>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</si>
  <si>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</si>
  <si>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</si>
  <si>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</si>
  <si>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</si>
  <si>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</si>
  <si>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</si>
  <si>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</si>
  <si>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</si>
  <si>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</si>
  <si>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</si>
  <si>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</si>
  <si>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</si>
  <si>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</si>
  <si>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</si>
  <si>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</si>
  <si>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</si>
  <si>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</si>
  <si>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</si>
  <si>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</si>
  <si>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</si>
  <si>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</si>
  <si>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</si>
  <si>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</si>
  <si>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</si>
  <si>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</si>
  <si>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</si>
  <si>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</si>
  <si>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</si>
  <si>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</si>
  <si>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</si>
  <si>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</si>
  <si>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</si>
  <si>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</si>
  <si>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</si>
  <si>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</si>
  <si>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</si>
  <si>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</si>
  <si>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</si>
  <si>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</si>
  <si>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</si>
  <si>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</si>
  <si>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</si>
  <si>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</si>
  <si>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</si>
  <si>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</si>
  <si>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</si>
  <si>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</si>
  <si>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</si>
  <si>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</si>
  <si>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</si>
  <si>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</si>
  <si>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</si>
  <si>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</si>
  <si>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</si>
  <si>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</si>
  <si>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</si>
  <si>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</si>
  <si>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</si>
  <si>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</si>
  <si>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</si>
  <si>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</si>
  <si>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</si>
  <si>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</si>
  <si>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</si>
  <si>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</si>
  <si>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</si>
  <si>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</si>
  <si>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</si>
  <si>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</si>
  <si>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</si>
  <si>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</si>
  <si>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</si>
  <si>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</si>
  <si>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</si>
  <si>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</si>
  <si>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</si>
  <si>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</si>
  <si>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</si>
  <si>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</si>
  <si>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</si>
  <si>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</si>
  <si>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</si>
  <si>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</si>
  <si>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</si>
  <si>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</si>
  <si>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</si>
  <si>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</si>
  <si>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</si>
  <si>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</si>
  <si>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</si>
  <si>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</si>
  <si>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</si>
  <si>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</si>
  <si>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</si>
  <si>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</si>
  <si>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</si>
  <si>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</si>
  <si>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</si>
  <si>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</si>
  <si>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</si>
  <si>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</si>
  <si>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</si>
  <si>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</si>
  <si>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</si>
  <si>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</si>
  <si>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</si>
  <si>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</si>
  <si>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</si>
  <si>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</si>
  <si>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</si>
  <si>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</si>
  <si>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</si>
  <si>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</si>
  <si>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</si>
  <si>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</si>
  <si>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</si>
  <si>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</si>
  <si>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</si>
  <si>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</si>
  <si>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</si>
  <si>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</si>
  <si>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</si>
  <si>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</si>
  <si>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</si>
  <si>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</si>
  <si>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</si>
  <si>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</si>
  <si>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</si>
  <si>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</si>
  <si>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</si>
  <si>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</si>
  <si>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</si>
  <si>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</si>
  <si>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</si>
  <si>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</si>
  <si>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</si>
  <si>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</si>
  <si>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</si>
  <si>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</si>
  <si>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</si>
  <si>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</si>
  <si>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</si>
  <si>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</si>
  <si>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</si>
  <si>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</si>
  <si>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</si>
  <si>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</si>
  <si>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</si>
  <si>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</si>
  <si>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</si>
  <si>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</si>
  <si>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</si>
  <si>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</si>
  <si>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</si>
  <si>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</si>
  <si>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</si>
  <si>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</si>
  <si>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</si>
  <si>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</si>
  <si>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</si>
  <si>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</si>
  <si>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</si>
  <si>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</si>
  <si>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</si>
  <si>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</si>
  <si>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</si>
  <si>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</si>
  <si>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</si>
  <si>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</si>
  <si>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</si>
  <si>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</si>
  <si>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</si>
  <si>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</si>
  <si>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</si>
  <si>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</si>
  <si>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</si>
  <si>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</si>
  <si>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</si>
  <si>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</si>
  <si>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</si>
  <si>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</si>
  <si>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</si>
  <si>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</si>
  <si>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</si>
  <si>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</si>
  <si>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</si>
  <si>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</si>
  <si>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</si>
  <si>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</si>
  <si>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</si>
  <si>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</si>
  <si>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</si>
  <si>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</si>
  <si>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</si>
  <si>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</si>
  <si>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</si>
  <si>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</si>
  <si>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</si>
  <si>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</si>
  <si>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</si>
  <si>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</si>
  <si>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</si>
  <si>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</si>
  <si>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</si>
  <si>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</si>
  <si>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</si>
  <si>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</si>
  <si>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</si>
  <si>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</si>
  <si>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</si>
  <si>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</si>
  <si>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</si>
  <si>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</si>
  <si>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</si>
  <si>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</si>
  <si>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</si>
  <si>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</si>
  <si>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</si>
  <si>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</si>
  <si>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</si>
  <si>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</si>
  <si>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</si>
  <si>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</si>
  <si>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</si>
  <si>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</si>
  <si>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</si>
  <si>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</si>
  <si>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</si>
  <si>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</si>
  <si>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</si>
  <si>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</si>
  <si>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</si>
  <si>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</si>
  <si>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</si>
  <si>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</si>
  <si>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</si>
  <si>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</si>
  <si>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</si>
  <si>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</si>
  <si>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</si>
  <si>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</si>
  <si>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</si>
  <si>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</si>
  <si>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</si>
  <si>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</si>
  <si>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</si>
  <si>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</si>
  <si>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</si>
  <si>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</si>
  <si>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</si>
  <si>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</si>
  <si>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</si>
  <si>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</si>
  <si>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</si>
  <si>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</si>
  <si>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</si>
  <si>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</si>
  <si>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</si>
  <si>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</si>
  <si>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</si>
  <si>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</si>
  <si>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</si>
  <si>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</si>
  <si>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</si>
  <si>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</si>
  <si>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</si>
  <si>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</si>
  <si>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</si>
  <si>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</si>
  <si>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</si>
  <si>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</si>
  <si>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</si>
  <si>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</si>
  <si>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</si>
  <si>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</si>
  <si>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</si>
  <si>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</si>
  <si>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</si>
  <si>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</si>
  <si>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</si>
  <si>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</si>
  <si>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</si>
  <si>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</si>
  <si>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</si>
  <si>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</si>
  <si>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</si>
  <si>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</si>
  <si>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</si>
  <si>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</si>
  <si>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</si>
  <si>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</si>
  <si>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</si>
  <si>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</si>
  <si>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</si>
  <si>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</si>
  <si>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</si>
  <si>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</si>
  <si>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</si>
  <si>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</si>
  <si>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</si>
  <si>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</si>
  <si>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</si>
  <si>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</si>
  <si>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</si>
  <si>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</si>
  <si>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</si>
  <si>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</si>
  <si>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</si>
  <si>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</si>
  <si>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l' Administració General de l' Estat</t>
  </si>
  <si>
    <t>Agost 2017</t>
  </si>
  <si>
    <t>Agost 2016</t>
  </si>
  <si>
    <t xml:space="preserve">Agost 2016 </t>
  </si>
  <si>
    <t>Anàlisi modificacions de crèdit per capítols Agost 2017</t>
  </si>
  <si>
    <t>A Agost</t>
  </si>
  <si>
    <t>Agost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</si>
</sst>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45">
    <xf numFmtId="0" fontId="0" fillId="0" borderId="0"/>
    <xf numFmtId="0" fontId="30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51" fillId="0" borderId="0"/>
    <xf numFmtId="0" fontId="45" fillId="0" borderId="0"/>
    <xf numFmtId="0" fontId="54" fillId="0" borderId="0" applyNumberFormat="0" applyFill="0" applyBorder="0" applyAlignment="0" applyProtection="0"/>
    <xf numFmtId="0" fontId="29" fillId="0" borderId="0"/>
    <xf numFmtId="0" fontId="70" fillId="0" borderId="107" applyNumberFormat="0" applyFill="0" applyAlignment="0" applyProtection="0"/>
    <xf numFmtId="0" fontId="71" fillId="0" borderId="108" applyNumberFormat="0" applyFill="0" applyAlignment="0" applyProtection="0"/>
    <xf numFmtId="0" fontId="30" fillId="0" borderId="109" applyNumberFormat="0" applyFill="0" applyAlignment="0" applyProtection="0"/>
    <xf numFmtId="0" fontId="72" fillId="4" borderId="0" applyNumberFormat="0" applyBorder="0" applyAlignment="0" applyProtection="0"/>
    <xf numFmtId="0" fontId="73" fillId="5" borderId="0" applyNumberFormat="0" applyBorder="0" applyAlignment="0" applyProtection="0"/>
    <xf numFmtId="0" fontId="74" fillId="6" borderId="0" applyNumberFormat="0" applyBorder="0" applyAlignment="0" applyProtection="0"/>
    <xf numFmtId="0" fontId="75" fillId="7" borderId="110" applyNumberFormat="0" applyAlignment="0" applyProtection="0"/>
    <xf numFmtId="0" fontId="76" fillId="8" borderId="111" applyNumberFormat="0" applyAlignment="0" applyProtection="0"/>
    <xf numFmtId="0" fontId="77" fillId="8" borderId="110" applyNumberFormat="0" applyAlignment="0" applyProtection="0"/>
    <xf numFmtId="0" fontId="78" fillId="0" borderId="112" applyNumberFormat="0" applyFill="0" applyAlignment="0" applyProtection="0"/>
    <xf numFmtId="0" fontId="31" fillId="9" borderId="113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0" fillId="0" borderId="115" applyNumberFormat="0" applyFill="0" applyAlignment="0" applyProtection="0"/>
    <xf numFmtId="0" fontId="32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2" fillId="34" borderId="0" applyNumberFormat="0" applyBorder="0" applyAlignment="0" applyProtection="0"/>
    <xf numFmtId="0" fontId="45" fillId="0" borderId="0"/>
    <xf numFmtId="0" fontId="39" fillId="10" borderId="114" applyNumberFormat="0" applyFont="0" applyAlignment="0" applyProtection="0"/>
    <xf numFmtId="0" fontId="45" fillId="0" borderId="0"/>
    <xf numFmtId="0" fontId="39" fillId="10" borderId="114" applyNumberFormat="0" applyFont="0" applyAlignment="0" applyProtection="0"/>
    <xf numFmtId="0" fontId="39" fillId="10" borderId="114" applyNumberFormat="0" applyFont="0" applyAlignment="0" applyProtection="0"/>
    <xf numFmtId="0" fontId="39" fillId="10" borderId="114" applyNumberFormat="0" applyFont="0" applyAlignment="0" applyProtection="0"/>
    <xf numFmtId="0" fontId="45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1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10" borderId="114" applyNumberFormat="0" applyFont="0" applyAlignment="0" applyProtection="0"/>
    <xf numFmtId="0" fontId="39" fillId="17" borderId="0" applyNumberFormat="0" applyBorder="0" applyAlignment="0" applyProtection="0"/>
    <xf numFmtId="0" fontId="39" fillId="10" borderId="114" applyNumberFormat="0" applyFont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1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1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13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10" borderId="114" applyNumberFormat="0" applyFont="0" applyAlignment="0" applyProtection="0"/>
    <xf numFmtId="0" fontId="45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39" fillId="10" borderId="114" applyNumberFormat="0" applyFont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16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9" fillId="10" borderId="114" applyNumberFormat="0" applyFont="0" applyAlignment="0" applyProtection="0"/>
    <xf numFmtId="0" fontId="55" fillId="0" borderId="107" applyNumberFormat="0" applyFill="0" applyAlignment="0" applyProtection="0"/>
    <xf numFmtId="0" fontId="56" fillId="0" borderId="108" applyNumberFormat="0" applyFill="0" applyAlignment="0" applyProtection="0"/>
    <xf numFmtId="0" fontId="57" fillId="0" borderId="109" applyNumberFormat="0" applyFill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110" applyNumberFormat="0" applyAlignment="0" applyProtection="0"/>
    <xf numFmtId="0" fontId="62" fillId="8" borderId="111" applyNumberFormat="0" applyAlignment="0" applyProtection="0"/>
    <xf numFmtId="0" fontId="63" fillId="8" borderId="110" applyNumberFormat="0" applyAlignment="0" applyProtection="0"/>
    <xf numFmtId="0" fontId="64" fillId="0" borderId="112" applyNumberFormat="0" applyFill="0" applyAlignment="0" applyProtection="0"/>
    <xf numFmtId="0" fontId="65" fillId="9" borderId="113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15" applyNumberFormat="0" applyFill="0" applyAlignment="0" applyProtection="0"/>
    <xf numFmtId="0" fontId="6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69" fillId="34" borderId="0" applyNumberFormat="0" applyBorder="0" applyAlignment="0" applyProtection="0"/>
    <xf numFmtId="0" fontId="28" fillId="0" borderId="0"/>
    <xf numFmtId="0" fontId="45" fillId="0" borderId="0"/>
    <xf numFmtId="0" fontId="28" fillId="10" borderId="114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51" fillId="0" borderId="0"/>
    <xf numFmtId="0" fontId="55" fillId="0" borderId="107" applyNumberFormat="0" applyFill="0" applyAlignment="0" applyProtection="0"/>
    <xf numFmtId="0" fontId="56" fillId="0" borderId="108" applyNumberFormat="0" applyFill="0" applyAlignment="0" applyProtection="0"/>
    <xf numFmtId="0" fontId="57" fillId="0" borderId="109" applyNumberFormat="0" applyFill="0" applyAlignment="0" applyProtection="0"/>
    <xf numFmtId="0" fontId="58" fillId="4" borderId="0" applyNumberFormat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110" applyNumberFormat="0" applyAlignment="0" applyProtection="0"/>
    <xf numFmtId="0" fontId="62" fillId="8" borderId="111" applyNumberFormat="0" applyAlignment="0" applyProtection="0"/>
    <xf numFmtId="0" fontId="63" fillId="8" borderId="110" applyNumberFormat="0" applyAlignment="0" applyProtection="0"/>
    <xf numFmtId="0" fontId="64" fillId="0" borderId="112" applyNumberFormat="0" applyFill="0" applyAlignment="0" applyProtection="0"/>
    <xf numFmtId="0" fontId="65" fillId="9" borderId="113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15" applyNumberFormat="0" applyFill="0" applyAlignment="0" applyProtection="0"/>
    <xf numFmtId="0" fontId="69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69" fillId="34" borderId="0" applyNumberFormat="0" applyBorder="0" applyAlignment="0" applyProtection="0"/>
    <xf numFmtId="0" fontId="27" fillId="0" borderId="0"/>
    <xf numFmtId="0" fontId="27" fillId="10" borderId="114" applyNumberFormat="0" applyFont="0" applyAlignment="0" applyProtection="0"/>
    <xf numFmtId="0" fontId="84" fillId="0" borderId="0"/>
    <xf numFmtId="0" fontId="45" fillId="0" borderId="0"/>
    <xf numFmtId="43" fontId="39" fillId="0" borderId="0" applyFont="0" applyFill="0" applyBorder="0" applyAlignment="0" applyProtection="0"/>
    <xf numFmtId="0" fontId="86" fillId="0" borderId="0"/>
    <xf numFmtId="0" fontId="26" fillId="10" borderId="114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87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0" fillId="0" borderId="0"/>
    <xf numFmtId="9" fontId="23" fillId="0" borderId="0" applyFont="0" applyFill="0" applyBorder="0" applyAlignment="0" applyProtection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91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0" borderId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45" fillId="0" borderId="0"/>
    <xf numFmtId="0" fontId="21" fillId="0" borderId="0"/>
    <xf numFmtId="0" fontId="45" fillId="0" borderId="0"/>
    <xf numFmtId="0" fontId="45" fillId="0" borderId="0"/>
    <xf numFmtId="0" fontId="21" fillId="0" borderId="0"/>
    <xf numFmtId="0" fontId="39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93" fillId="0" borderId="0"/>
    <xf numFmtId="0" fontId="19" fillId="0" borderId="0"/>
    <xf numFmtId="0" fontId="18" fillId="0" borderId="0"/>
    <xf numFmtId="0" fontId="17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94" fillId="0" borderId="0"/>
    <xf numFmtId="0" fontId="15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0" borderId="0"/>
    <xf numFmtId="0" fontId="13" fillId="10" borderId="114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95" fillId="0" borderId="0"/>
    <xf numFmtId="0" fontId="12" fillId="10" borderId="114" applyNumberFormat="0" applyFont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96" fillId="0" borderId="0"/>
    <xf numFmtId="0" fontId="7" fillId="10" borderId="114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6" fillId="0" borderId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9" fillId="0" borderId="0"/>
    <xf numFmtId="0" fontId="4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00" fillId="0" borderId="0"/>
    <xf numFmtId="0" fontId="101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6">
    <xf numFmtId="0" fontId="0" fillId="0" borderId="0" xfId="0"/>
    <xf numFmtId="0" fontId="32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1"/>
    <xf numFmtId="0" fontId="33" fillId="0" borderId="0" xfId="1" applyFont="1"/>
    <xf numFmtId="0" fontId="32" fillId="2" borderId="0" xfId="0" applyFont="1" applyFill="1" applyAlignment="1">
      <alignment vertical="center"/>
    </xf>
    <xf numFmtId="164" fontId="31" fillId="2" borderId="0" xfId="0" applyNumberFormat="1" applyFont="1" applyFill="1" applyAlignment="1">
      <alignment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quotePrefix="1" applyFont="1" applyAlignment="1">
      <alignment horizontal="center" vertical="center"/>
    </xf>
    <xf numFmtId="0" fontId="35" fillId="0" borderId="5" xfId="0" quotePrefix="1" applyFont="1" applyBorder="1" applyAlignment="1">
      <alignment horizontal="center" vertical="center"/>
    </xf>
    <xf numFmtId="164" fontId="35" fillId="0" borderId="0" xfId="0" quotePrefix="1" applyNumberFormat="1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3" fontId="37" fillId="2" borderId="0" xfId="0" applyNumberFormat="1" applyFont="1" applyFill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5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5" fillId="0" borderId="9" xfId="0" applyNumberFormat="1" applyFont="1" applyBorder="1" applyAlignment="1">
      <alignment horizontal="right" vertical="center"/>
    </xf>
    <xf numFmtId="0" fontId="35" fillId="0" borderId="8" xfId="0" quotePrefix="1" applyFont="1" applyBorder="1" applyAlignment="1">
      <alignment horizontal="center" vertical="center"/>
    </xf>
    <xf numFmtId="0" fontId="35" fillId="0" borderId="6" xfId="0" quotePrefix="1" applyFont="1" applyBorder="1" applyAlignment="1">
      <alignment horizontal="center" vertical="center"/>
    </xf>
    <xf numFmtId="0" fontId="35" fillId="0" borderId="9" xfId="0" quotePrefix="1" applyFont="1" applyBorder="1" applyAlignment="1">
      <alignment horizontal="center" vertical="center"/>
    </xf>
    <xf numFmtId="164" fontId="35" fillId="0" borderId="6" xfId="0" quotePrefix="1" applyNumberFormat="1" applyFont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164" fontId="35" fillId="0" borderId="8" xfId="0" quotePrefix="1" applyNumberFormat="1" applyFont="1" applyBorder="1" applyAlignment="1">
      <alignment vertical="center"/>
    </xf>
    <xf numFmtId="3" fontId="35" fillId="0" borderId="8" xfId="0" applyNumberFormat="1" applyFont="1" applyBorder="1" applyAlignment="1">
      <alignment vertical="center"/>
    </xf>
    <xf numFmtId="164" fontId="35" fillId="0" borderId="9" xfId="0" quotePrefix="1" applyNumberFormat="1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164" fontId="35" fillId="0" borderId="8" xfId="0" applyNumberFormat="1" applyFont="1" applyBorder="1" applyAlignment="1">
      <alignment vertical="center"/>
    </xf>
    <xf numFmtId="164" fontId="35" fillId="0" borderId="9" xfId="0" applyNumberFormat="1" applyFont="1" applyBorder="1" applyAlignment="1">
      <alignment vertical="center"/>
    </xf>
    <xf numFmtId="164" fontId="35" fillId="0" borderId="6" xfId="0" quotePrefix="1" applyNumberFormat="1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164" fontId="35" fillId="0" borderId="8" xfId="0" quotePrefix="1" applyNumberFormat="1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164" fontId="35" fillId="0" borderId="9" xfId="0" quotePrefix="1" applyNumberFormat="1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165" fontId="37" fillId="2" borderId="5" xfId="2" applyNumberFormat="1" applyFont="1" applyFill="1" applyBorder="1" applyAlignment="1">
      <alignment horizontal="center" vertical="center" wrapText="1"/>
    </xf>
    <xf numFmtId="165" fontId="37" fillId="2" borderId="0" xfId="2" applyNumberFormat="1" applyFont="1" applyFill="1" applyAlignment="1">
      <alignment horizontal="center" vertical="center" wrapText="1"/>
    </xf>
    <xf numFmtId="165" fontId="37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1" fillId="2" borderId="0" xfId="0" applyNumberFormat="1" applyFont="1" applyFill="1" applyAlignment="1">
      <alignment horizontal="center" vertical="center" wrapText="1"/>
    </xf>
    <xf numFmtId="165" fontId="35" fillId="0" borderId="6" xfId="2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0" fillId="0" borderId="0" xfId="0" applyFont="1"/>
    <xf numFmtId="165" fontId="35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3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5" fillId="0" borderId="0" xfId="0" applyNumberFormat="1" applyFont="1" applyBorder="1" applyAlignment="1">
      <alignment horizontal="right" vertical="center"/>
    </xf>
    <xf numFmtId="165" fontId="35" fillId="0" borderId="5" xfId="2" applyNumberFormat="1" applyFont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35" fillId="0" borderId="0" xfId="0" quotePrefix="1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5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5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5" fillId="0" borderId="16" xfId="0" applyNumberFormat="1" applyFont="1" applyBorder="1" applyAlignment="1">
      <alignment horizontal="right" vertical="center"/>
    </xf>
    <xf numFmtId="165" fontId="35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5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5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5" fillId="0" borderId="20" xfId="0" applyNumberFormat="1" applyFont="1" applyBorder="1" applyAlignment="1">
      <alignment horizontal="right" vertical="center"/>
    </xf>
    <xf numFmtId="0" fontId="44" fillId="0" borderId="19" xfId="3" applyBorder="1" applyAlignment="1" applyProtection="1">
      <alignment vertical="center"/>
    </xf>
    <xf numFmtId="0" fontId="45" fillId="3" borderId="14" xfId="0" applyFont="1" applyFill="1" applyBorder="1" applyAlignment="1">
      <alignment vertical="center"/>
    </xf>
    <xf numFmtId="0" fontId="46" fillId="3" borderId="14" xfId="0" applyFont="1" applyFill="1" applyBorder="1" applyAlignment="1">
      <alignment vertical="center"/>
    </xf>
    <xf numFmtId="3" fontId="47" fillId="3" borderId="14" xfId="0" applyNumberFormat="1" applyFont="1" applyFill="1" applyBorder="1" applyAlignment="1">
      <alignment horizontal="right" vertical="center" wrapText="1"/>
    </xf>
    <xf numFmtId="165" fontId="35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5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5" fillId="0" borderId="22" xfId="0" applyNumberFormat="1" applyFont="1" applyBorder="1" applyAlignment="1">
      <alignment horizontal="right" vertical="center"/>
    </xf>
    <xf numFmtId="0" fontId="31" fillId="2" borderId="0" xfId="0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right" vertical="center" wrapText="1"/>
    </xf>
    <xf numFmtId="165" fontId="37" fillId="2" borderId="0" xfId="2" applyNumberFormat="1" applyFont="1" applyFill="1" applyBorder="1" applyAlignment="1">
      <alignment horizontal="right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quotePrefix="1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165" fontId="37" fillId="2" borderId="0" xfId="2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35" fillId="0" borderId="24" xfId="0" quotePrefix="1" applyFont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 wrapText="1"/>
    </xf>
    <xf numFmtId="165" fontId="35" fillId="0" borderId="25" xfId="2" quotePrefix="1" applyNumberFormat="1" applyFont="1" applyBorder="1" applyAlignment="1">
      <alignment horizontal="center" vertical="center"/>
    </xf>
    <xf numFmtId="165" fontId="37" fillId="2" borderId="26" xfId="2" applyNumberFormat="1" applyFont="1" applyFill="1" applyBorder="1" applyAlignment="1">
      <alignment horizontal="center" vertical="center" wrapText="1"/>
    </xf>
    <xf numFmtId="3" fontId="35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5" fillId="0" borderId="27" xfId="2" applyNumberFormat="1" applyFont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6" fillId="0" borderId="4" xfId="0" applyFont="1" applyBorder="1" applyAlignment="1"/>
    <xf numFmtId="0" fontId="35" fillId="0" borderId="5" xfId="0" applyFont="1" applyBorder="1" applyAlignment="1">
      <alignment horizontal="center" vertical="center" wrapText="1"/>
    </xf>
    <xf numFmtId="3" fontId="34" fillId="0" borderId="0" xfId="0" applyNumberFormat="1" applyFont="1" applyAlignment="1">
      <alignment vertical="center"/>
    </xf>
    <xf numFmtId="3" fontId="34" fillId="0" borderId="4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4" xfId="0" applyNumberFormat="1" applyFont="1" applyFill="1" applyBorder="1" applyAlignment="1">
      <alignment horizontal="right" vertical="center" wrapText="1"/>
    </xf>
    <xf numFmtId="3" fontId="38" fillId="2" borderId="0" xfId="0" applyNumberFormat="1" applyFont="1" applyFill="1" applyBorder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3" fontId="38" fillId="2" borderId="30" xfId="0" applyNumberFormat="1" applyFont="1" applyFill="1" applyBorder="1" applyAlignment="1">
      <alignment horizontal="right" vertical="center" wrapText="1"/>
    </xf>
    <xf numFmtId="3" fontId="38" fillId="2" borderId="31" xfId="0" applyNumberFormat="1" applyFont="1" applyFill="1" applyBorder="1" applyAlignment="1">
      <alignment horizontal="right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165" fontId="34" fillId="0" borderId="0" xfId="2" applyNumberFormat="1" applyFont="1" applyAlignment="1">
      <alignment horizontal="center"/>
    </xf>
    <xf numFmtId="165" fontId="34" fillId="0" borderId="35" xfId="2" applyNumberFormat="1" applyFont="1" applyBorder="1" applyAlignment="1">
      <alignment horizontal="center"/>
    </xf>
    <xf numFmtId="165" fontId="34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4" fillId="0" borderId="0" xfId="2" applyNumberFormat="1" applyFont="1" applyAlignment="1">
      <alignment horizontal="center" vertical="center"/>
    </xf>
    <xf numFmtId="165" fontId="34" fillId="0" borderId="37" xfId="2" applyNumberFormat="1" applyFont="1" applyBorder="1" applyAlignment="1">
      <alignment horizontal="center" vertical="center"/>
    </xf>
    <xf numFmtId="165" fontId="34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5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7" fillId="2" borderId="0" xfId="2" applyNumberFormat="1" applyFont="1" applyFill="1" applyBorder="1" applyAlignment="1">
      <alignment horizontal="center" vertical="center" wrapText="1"/>
    </xf>
    <xf numFmtId="3" fontId="41" fillId="0" borderId="6" xfId="0" applyNumberFormat="1" applyFont="1" applyFill="1" applyBorder="1" applyAlignment="1">
      <alignment horizontal="right" vertical="center"/>
    </xf>
    <xf numFmtId="0" fontId="45" fillId="3" borderId="0" xfId="0" applyFont="1" applyFill="1" applyBorder="1" applyAlignment="1">
      <alignment vertical="center"/>
    </xf>
    <xf numFmtId="3" fontId="47" fillId="3" borderId="0" xfId="0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horizontal="center" vertical="center"/>
    </xf>
    <xf numFmtId="0" fontId="36" fillId="0" borderId="0" xfId="0" applyFont="1" applyFill="1" applyBorder="1" applyAlignment="1"/>
    <xf numFmtId="165" fontId="35" fillId="0" borderId="19" xfId="2" applyNumberFormat="1" applyFont="1" applyBorder="1" applyAlignment="1">
      <alignment horizontal="center" vertical="center"/>
    </xf>
    <xf numFmtId="164" fontId="35" fillId="0" borderId="8" xfId="0" quotePrefix="1" applyNumberFormat="1" applyFont="1" applyBorder="1" applyAlignment="1">
      <alignment horizontal="right" vertical="center"/>
    </xf>
    <xf numFmtId="3" fontId="41" fillId="0" borderId="8" xfId="0" applyNumberFormat="1" applyFont="1" applyBorder="1" applyAlignment="1">
      <alignment horizontal="right" vertical="center"/>
    </xf>
    <xf numFmtId="3" fontId="35" fillId="0" borderId="8" xfId="0" applyNumberFormat="1" applyFont="1" applyBorder="1" applyAlignment="1">
      <alignment horizontal="right" vertical="center"/>
    </xf>
    <xf numFmtId="165" fontId="35" fillId="0" borderId="6" xfId="2" applyNumberFormat="1" applyFont="1" applyBorder="1" applyAlignment="1">
      <alignment vertical="center"/>
    </xf>
    <xf numFmtId="165" fontId="35" fillId="0" borderId="9" xfId="2" applyNumberFormat="1" applyFont="1" applyBorder="1" applyAlignment="1">
      <alignment vertical="center"/>
    </xf>
    <xf numFmtId="3" fontId="35" fillId="0" borderId="6" xfId="0" applyNumberFormat="1" applyFont="1" applyBorder="1" applyAlignment="1">
      <alignment horizontal="right" vertical="center"/>
    </xf>
    <xf numFmtId="3" fontId="35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5" fillId="0" borderId="41" xfId="0" quotePrefix="1" applyFont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 wrapText="1"/>
    </xf>
    <xf numFmtId="165" fontId="35" fillId="0" borderId="42" xfId="2" applyNumberFormat="1" applyFont="1" applyBorder="1" applyAlignment="1">
      <alignment horizontal="center" vertical="center"/>
    </xf>
    <xf numFmtId="165" fontId="35" fillId="0" borderId="43" xfId="2" applyNumberFormat="1" applyFont="1" applyBorder="1" applyAlignment="1">
      <alignment horizontal="center" vertical="center"/>
    </xf>
    <xf numFmtId="165" fontId="35" fillId="0" borderId="44" xfId="2" applyNumberFormat="1" applyFont="1" applyBorder="1" applyAlignment="1">
      <alignment horizontal="center" vertical="center"/>
    </xf>
    <xf numFmtId="165" fontId="37" fillId="2" borderId="41" xfId="2" applyNumberFormat="1" applyFont="1" applyFill="1" applyBorder="1" applyAlignment="1">
      <alignment horizontal="center" vertical="center" wrapText="1"/>
    </xf>
    <xf numFmtId="165" fontId="35" fillId="0" borderId="42" xfId="2" quotePrefix="1" applyNumberFormat="1" applyFont="1" applyBorder="1" applyAlignment="1">
      <alignment horizontal="center" vertical="center"/>
    </xf>
    <xf numFmtId="165" fontId="37" fillId="2" borderId="46" xfId="2" applyNumberFormat="1" applyFont="1" applyFill="1" applyBorder="1" applyAlignment="1">
      <alignment horizontal="center" vertical="center" wrapText="1"/>
    </xf>
    <xf numFmtId="3" fontId="37" fillId="2" borderId="48" xfId="0" applyNumberFormat="1" applyFont="1" applyFill="1" applyBorder="1" applyAlignment="1">
      <alignment horizontal="right" vertical="center" wrapText="1"/>
    </xf>
    <xf numFmtId="0" fontId="35" fillId="0" borderId="35" xfId="0" applyFont="1" applyBorder="1" applyAlignment="1">
      <alignment horizontal="center" vertical="center"/>
    </xf>
    <xf numFmtId="0" fontId="35" fillId="0" borderId="36" xfId="0" quotePrefix="1" applyFont="1" applyBorder="1" applyAlignment="1">
      <alignment horizontal="center" vertical="center"/>
    </xf>
    <xf numFmtId="3" fontId="35" fillId="0" borderId="50" xfId="0" applyNumberFormat="1" applyFont="1" applyBorder="1" applyAlignment="1">
      <alignment horizontal="right" vertical="center"/>
    </xf>
    <xf numFmtId="3" fontId="35" fillId="0" borderId="52" xfId="0" applyNumberFormat="1" applyFont="1" applyBorder="1" applyAlignment="1">
      <alignment horizontal="right" vertical="center"/>
    </xf>
    <xf numFmtId="3" fontId="37" fillId="2" borderId="35" xfId="0" applyNumberFormat="1" applyFont="1" applyFill="1" applyBorder="1" applyAlignment="1">
      <alignment horizontal="right" vertical="center" wrapText="1"/>
    </xf>
    <xf numFmtId="165" fontId="35" fillId="0" borderId="51" xfId="2" applyNumberFormat="1" applyFont="1" applyBorder="1" applyAlignment="1">
      <alignment horizontal="center" vertical="center"/>
    </xf>
    <xf numFmtId="3" fontId="37" fillId="2" borderId="56" xfId="0" applyNumberFormat="1" applyFont="1" applyFill="1" applyBorder="1" applyAlignment="1">
      <alignment horizontal="right" vertical="center" wrapText="1"/>
    </xf>
    <xf numFmtId="3" fontId="37" fillId="2" borderId="57" xfId="0" applyNumberFormat="1" applyFont="1" applyFill="1" applyBorder="1" applyAlignment="1">
      <alignment horizontal="right" vertical="center" wrapText="1"/>
    </xf>
    <xf numFmtId="165" fontId="37" fillId="2" borderId="57" xfId="2" applyNumberFormat="1" applyFont="1" applyFill="1" applyBorder="1" applyAlignment="1">
      <alignment horizontal="right" vertical="center" wrapText="1"/>
    </xf>
    <xf numFmtId="0" fontId="35" fillId="0" borderId="60" xfId="0" applyFont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 wrapText="1"/>
    </xf>
    <xf numFmtId="3" fontId="35" fillId="0" borderId="61" xfId="0" applyNumberFormat="1" applyFont="1" applyBorder="1" applyAlignment="1">
      <alignment horizontal="right" vertical="center"/>
    </xf>
    <xf numFmtId="3" fontId="35" fillId="0" borderId="62" xfId="0" applyNumberFormat="1" applyFont="1" applyBorder="1" applyAlignment="1">
      <alignment horizontal="right" vertical="center"/>
    </xf>
    <xf numFmtId="3" fontId="35" fillId="0" borderId="63" xfId="0" applyNumberFormat="1" applyFont="1" applyBorder="1" applyAlignment="1">
      <alignment horizontal="right" vertical="center"/>
    </xf>
    <xf numFmtId="3" fontId="37" fillId="2" borderId="60" xfId="0" applyNumberFormat="1" applyFont="1" applyFill="1" applyBorder="1" applyAlignment="1">
      <alignment horizontal="right" vertical="center" wrapText="1"/>
    </xf>
    <xf numFmtId="3" fontId="37" fillId="2" borderId="64" xfId="0" applyNumberFormat="1" applyFont="1" applyFill="1" applyBorder="1" applyAlignment="1">
      <alignment horizontal="right" vertical="center" wrapText="1"/>
    </xf>
    <xf numFmtId="0" fontId="42" fillId="0" borderId="59" xfId="0" applyFont="1" applyBorder="1" applyAlignment="1">
      <alignment horizontal="center"/>
    </xf>
    <xf numFmtId="165" fontId="35" fillId="0" borderId="41" xfId="2" applyNumberFormat="1" applyFont="1" applyBorder="1" applyAlignment="1">
      <alignment horizontal="center" vertical="center"/>
    </xf>
    <xf numFmtId="3" fontId="37" fillId="2" borderId="70" xfId="0" applyNumberFormat="1" applyFont="1" applyFill="1" applyBorder="1" applyAlignment="1">
      <alignment horizontal="right" vertical="center" wrapText="1"/>
    </xf>
    <xf numFmtId="3" fontId="35" fillId="0" borderId="71" xfId="0" applyNumberFormat="1" applyFont="1" applyBorder="1" applyAlignment="1">
      <alignment horizontal="right" vertical="center"/>
    </xf>
    <xf numFmtId="3" fontId="35" fillId="0" borderId="50" xfId="0" applyNumberFormat="1" applyFont="1" applyFill="1" applyBorder="1" applyAlignment="1">
      <alignment horizontal="right" vertical="center"/>
    </xf>
    <xf numFmtId="3" fontId="37" fillId="2" borderId="37" xfId="0" applyNumberFormat="1" applyFont="1" applyFill="1" applyBorder="1" applyAlignment="1">
      <alignment horizontal="right" vertical="center" wrapText="1"/>
    </xf>
    <xf numFmtId="165" fontId="37" fillId="2" borderId="36" xfId="2" applyNumberFormat="1" applyFont="1" applyFill="1" applyBorder="1" applyAlignment="1">
      <alignment horizontal="center" vertical="center" wrapText="1"/>
    </xf>
    <xf numFmtId="165" fontId="37" fillId="2" borderId="36" xfId="2" quotePrefix="1" applyNumberFormat="1" applyFont="1" applyFill="1" applyBorder="1" applyAlignment="1">
      <alignment horizontal="center" vertical="center" wrapText="1"/>
    </xf>
    <xf numFmtId="165" fontId="35" fillId="0" borderId="36" xfId="2" applyNumberFormat="1" applyFont="1" applyBorder="1" applyAlignment="1">
      <alignment horizontal="center" vertical="center"/>
    </xf>
    <xf numFmtId="165" fontId="37" fillId="2" borderId="58" xfId="2" applyNumberFormat="1" applyFont="1" applyFill="1" applyBorder="1" applyAlignment="1">
      <alignment horizontal="center" vertical="center" wrapText="1"/>
    </xf>
    <xf numFmtId="3" fontId="37" fillId="2" borderId="77" xfId="0" applyNumberFormat="1" applyFont="1" applyFill="1" applyBorder="1" applyAlignment="1">
      <alignment horizontal="right" vertical="center" wrapText="1"/>
    </xf>
    <xf numFmtId="165" fontId="37" fillId="2" borderId="38" xfId="2" applyNumberFormat="1" applyFont="1" applyFill="1" applyBorder="1" applyAlignment="1">
      <alignment horizontal="center" vertical="center" wrapText="1"/>
    </xf>
    <xf numFmtId="3" fontId="35" fillId="0" borderId="60" xfId="0" applyNumberFormat="1" applyFont="1" applyBorder="1" applyAlignment="1">
      <alignment horizontal="right" vertical="center"/>
    </xf>
    <xf numFmtId="3" fontId="35" fillId="0" borderId="78" xfId="0" applyNumberFormat="1" applyFont="1" applyBorder="1" applyAlignment="1">
      <alignment horizontal="right" vertical="center"/>
    </xf>
    <xf numFmtId="165" fontId="35" fillId="0" borderId="53" xfId="2" applyNumberFormat="1" applyFont="1" applyBorder="1" applyAlignment="1">
      <alignment horizontal="center" vertical="center"/>
    </xf>
    <xf numFmtId="3" fontId="35" fillId="0" borderId="16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165" fontId="37" fillId="2" borderId="57" xfId="2" applyNumberFormat="1" applyFont="1" applyFill="1" applyBorder="1" applyAlignment="1">
      <alignment horizontal="center" vertical="center" wrapText="1"/>
    </xf>
    <xf numFmtId="165" fontId="37" fillId="2" borderId="83" xfId="2" applyNumberFormat="1" applyFont="1" applyFill="1" applyBorder="1" applyAlignment="1">
      <alignment horizontal="center" vertical="center" wrapText="1"/>
    </xf>
    <xf numFmtId="165" fontId="37" fillId="2" borderId="45" xfId="2" applyNumberFormat="1" applyFont="1" applyFill="1" applyBorder="1" applyAlignment="1">
      <alignment horizontal="center" vertical="center" wrapText="1"/>
    </xf>
    <xf numFmtId="3" fontId="35" fillId="0" borderId="85" xfId="0" applyNumberFormat="1" applyFont="1" applyBorder="1" applyAlignment="1">
      <alignment horizontal="right" vertical="center"/>
    </xf>
    <xf numFmtId="3" fontId="35" fillId="0" borderId="86" xfId="0" applyNumberFormat="1" applyFont="1" applyBorder="1" applyAlignment="1">
      <alignment horizontal="right" vertical="center"/>
    </xf>
    <xf numFmtId="3" fontId="35" fillId="0" borderId="87" xfId="0" applyNumberFormat="1" applyFont="1" applyBorder="1" applyAlignment="1">
      <alignment horizontal="right" vertical="center"/>
    </xf>
    <xf numFmtId="3" fontId="41" fillId="0" borderId="50" xfId="0" applyNumberFormat="1" applyFont="1" applyFill="1" applyBorder="1" applyAlignment="1">
      <alignment horizontal="right" vertical="center"/>
    </xf>
    <xf numFmtId="3" fontId="35" fillId="0" borderId="90" xfId="0" applyNumberFormat="1" applyFont="1" applyBorder="1" applyAlignment="1">
      <alignment horizontal="right" vertical="center"/>
    </xf>
    <xf numFmtId="3" fontId="35" fillId="0" borderId="92" xfId="0" applyNumberFormat="1" applyFont="1" applyBorder="1" applyAlignment="1">
      <alignment horizontal="right" vertical="center"/>
    </xf>
    <xf numFmtId="3" fontId="35" fillId="0" borderId="94" xfId="0" applyNumberFormat="1" applyFont="1" applyBorder="1" applyAlignment="1">
      <alignment horizontal="right" vertical="center"/>
    </xf>
    <xf numFmtId="3" fontId="35" fillId="0" borderId="96" xfId="0" applyNumberFormat="1" applyFont="1" applyBorder="1" applyAlignment="1">
      <alignment horizontal="right" vertical="center"/>
    </xf>
    <xf numFmtId="3" fontId="47" fillId="3" borderId="60" xfId="0" applyNumberFormat="1" applyFont="1" applyFill="1" applyBorder="1" applyAlignment="1">
      <alignment horizontal="right" vertical="center" wrapText="1"/>
    </xf>
    <xf numFmtId="3" fontId="47" fillId="3" borderId="69" xfId="0" applyNumberFormat="1" applyFont="1" applyFill="1" applyBorder="1" applyAlignment="1">
      <alignment horizontal="right" vertical="center" wrapText="1"/>
    </xf>
    <xf numFmtId="165" fontId="35" fillId="0" borderId="91" xfId="2" applyNumberFormat="1" applyFont="1" applyBorder="1" applyAlignment="1">
      <alignment horizontal="center" vertical="center"/>
    </xf>
    <xf numFmtId="165" fontId="35" fillId="0" borderId="97" xfId="2" applyNumberFormat="1" applyFont="1" applyBorder="1" applyAlignment="1">
      <alignment horizontal="center" vertical="center"/>
    </xf>
    <xf numFmtId="3" fontId="47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5" fillId="0" borderId="61" xfId="0" applyNumberFormat="1" applyFont="1" applyBorder="1" applyAlignment="1">
      <alignment vertical="center"/>
    </xf>
    <xf numFmtId="3" fontId="35" fillId="0" borderId="62" xfId="0" applyNumberFormat="1" applyFont="1" applyBorder="1" applyAlignment="1">
      <alignment vertical="center"/>
    </xf>
    <xf numFmtId="3" fontId="35" fillId="0" borderId="63" xfId="0" applyNumberFormat="1" applyFont="1" applyBorder="1" applyAlignment="1">
      <alignment vertical="center"/>
    </xf>
    <xf numFmtId="3" fontId="37" fillId="2" borderId="60" xfId="0" applyNumberFormat="1" applyFont="1" applyFill="1" applyBorder="1" applyAlignment="1">
      <alignment horizontal="center" vertical="center" wrapText="1"/>
    </xf>
    <xf numFmtId="3" fontId="37" fillId="2" borderId="64" xfId="0" applyNumberFormat="1" applyFont="1" applyFill="1" applyBorder="1" applyAlignment="1">
      <alignment horizontal="center" vertical="center" wrapText="1"/>
    </xf>
    <xf numFmtId="3" fontId="37" fillId="2" borderId="0" xfId="0" applyNumberFormat="1" applyFont="1" applyFill="1" applyBorder="1" applyAlignment="1">
      <alignment horizontal="center" vertical="center" wrapText="1"/>
    </xf>
    <xf numFmtId="3" fontId="35" fillId="0" borderId="50" xfId="0" applyNumberFormat="1" applyFont="1" applyBorder="1" applyAlignment="1">
      <alignment vertical="center"/>
    </xf>
    <xf numFmtId="3" fontId="35" fillId="0" borderId="52" xfId="0" applyNumberFormat="1" applyFont="1" applyBorder="1" applyAlignment="1">
      <alignment vertical="center"/>
    </xf>
    <xf numFmtId="3" fontId="35" fillId="0" borderId="54" xfId="0" applyNumberFormat="1" applyFont="1" applyBorder="1" applyAlignment="1">
      <alignment vertical="center"/>
    </xf>
    <xf numFmtId="3" fontId="37" fillId="2" borderId="35" xfId="0" applyNumberFormat="1" applyFont="1" applyFill="1" applyBorder="1" applyAlignment="1">
      <alignment horizontal="center" vertical="center" wrapText="1"/>
    </xf>
    <xf numFmtId="3" fontId="37" fillId="2" borderId="56" xfId="0" applyNumberFormat="1" applyFont="1" applyFill="1" applyBorder="1" applyAlignment="1">
      <alignment horizontal="center" vertical="center" wrapText="1"/>
    </xf>
    <xf numFmtId="3" fontId="37" fillId="2" borderId="57" xfId="0" applyNumberFormat="1" applyFont="1" applyFill="1" applyBorder="1" applyAlignment="1">
      <alignment horizontal="center" vertical="center" wrapText="1"/>
    </xf>
    <xf numFmtId="165" fontId="35" fillId="0" borderId="98" xfId="2" applyNumberFormat="1" applyFont="1" applyBorder="1" applyAlignment="1">
      <alignment horizontal="center" vertical="center"/>
    </xf>
    <xf numFmtId="165" fontId="35" fillId="0" borderId="99" xfId="2" applyNumberFormat="1" applyFont="1" applyBorder="1" applyAlignment="1">
      <alignment horizontal="center" vertical="center"/>
    </xf>
    <xf numFmtId="165" fontId="35" fillId="0" borderId="99" xfId="2" quotePrefix="1" applyNumberFormat="1" applyFont="1" applyBorder="1" applyAlignment="1">
      <alignment horizontal="center" vertical="center"/>
    </xf>
    <xf numFmtId="165" fontId="37" fillId="2" borderId="67" xfId="2" applyNumberFormat="1" applyFont="1" applyFill="1" applyBorder="1" applyAlignment="1">
      <alignment horizontal="center" vertical="center" wrapText="1"/>
    </xf>
    <xf numFmtId="0" fontId="35" fillId="0" borderId="98" xfId="0" quotePrefix="1" applyFont="1" applyBorder="1" applyAlignment="1">
      <alignment horizontal="center" vertical="center"/>
    </xf>
    <xf numFmtId="0" fontId="35" fillId="0" borderId="100" xfId="0" quotePrefix="1" applyFont="1" applyBorder="1" applyAlignment="1">
      <alignment horizontal="center" vertical="center"/>
    </xf>
    <xf numFmtId="0" fontId="37" fillId="2" borderId="67" xfId="0" quotePrefix="1" applyFont="1" applyFill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 wrapText="1"/>
    </xf>
    <xf numFmtId="3" fontId="35" fillId="0" borderId="35" xfId="0" applyNumberFormat="1" applyFont="1" applyBorder="1" applyAlignment="1">
      <alignment horizontal="center" vertical="center"/>
    </xf>
    <xf numFmtId="3" fontId="31" fillId="2" borderId="35" xfId="0" applyNumberFormat="1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 wrapText="1"/>
    </xf>
    <xf numFmtId="165" fontId="35" fillId="0" borderId="98" xfId="2" quotePrefix="1" applyNumberFormat="1" applyFont="1" applyBorder="1" applyAlignment="1">
      <alignment horizontal="center" vertical="center"/>
    </xf>
    <xf numFmtId="165" fontId="37" fillId="2" borderId="67" xfId="2" quotePrefix="1" applyNumberFormat="1" applyFont="1" applyFill="1" applyBorder="1" applyAlignment="1">
      <alignment horizontal="center" vertical="center" wrapText="1"/>
    </xf>
    <xf numFmtId="0" fontId="35" fillId="0" borderId="51" xfId="0" quotePrefix="1" applyFont="1" applyBorder="1" applyAlignment="1">
      <alignment horizontal="center" vertical="center"/>
    </xf>
    <xf numFmtId="0" fontId="35" fillId="0" borderId="55" xfId="0" quotePrefix="1" applyFont="1" applyBorder="1" applyAlignment="1">
      <alignment horizontal="center" vertical="center"/>
    </xf>
    <xf numFmtId="0" fontId="37" fillId="2" borderId="0" xfId="0" quotePrefix="1" applyFont="1" applyFill="1" applyBorder="1" applyAlignment="1">
      <alignment horizontal="center" vertical="center" wrapText="1"/>
    </xf>
    <xf numFmtId="0" fontId="37" fillId="2" borderId="36" xfId="0" quotePrefix="1" applyFont="1" applyFill="1" applyBorder="1" applyAlignment="1">
      <alignment horizontal="center" vertical="center" wrapText="1"/>
    </xf>
    <xf numFmtId="0" fontId="35" fillId="0" borderId="53" xfId="0" quotePrefix="1" applyFont="1" applyBorder="1" applyAlignment="1">
      <alignment horizontal="center" vertical="center"/>
    </xf>
    <xf numFmtId="165" fontId="37" fillId="2" borderId="101" xfId="2" applyNumberFormat="1" applyFont="1" applyFill="1" applyBorder="1" applyAlignment="1">
      <alignment horizontal="center" vertical="center" wrapText="1"/>
    </xf>
    <xf numFmtId="9" fontId="37" fillId="2" borderId="0" xfId="2" applyFont="1" applyFill="1" applyBorder="1" applyAlignment="1">
      <alignment horizontal="center" vertical="center" wrapText="1"/>
    </xf>
    <xf numFmtId="0" fontId="48" fillId="0" borderId="91" xfId="6" applyFont="1" applyBorder="1"/>
    <xf numFmtId="0" fontId="45" fillId="0" borderId="95" xfId="10" applyFont="1" applyBorder="1"/>
    <xf numFmtId="0" fontId="0" fillId="0" borderId="106" xfId="0" applyBorder="1" applyAlignment="1">
      <alignment vertical="center"/>
    </xf>
    <xf numFmtId="3" fontId="35" fillId="0" borderId="105" xfId="0" applyNumberFormat="1" applyFont="1" applyBorder="1" applyAlignment="1">
      <alignment horizontal="right" vertical="center"/>
    </xf>
    <xf numFmtId="3" fontId="35" fillId="0" borderId="106" xfId="0" applyNumberFormat="1" applyFont="1" applyBorder="1" applyAlignment="1">
      <alignment horizontal="right" vertical="center"/>
    </xf>
    <xf numFmtId="165" fontId="35" fillId="0" borderId="17" xfId="2" quotePrefix="1" applyNumberFormat="1" applyFont="1" applyBorder="1" applyAlignment="1">
      <alignment horizontal="center" vertical="center"/>
    </xf>
    <xf numFmtId="165" fontId="35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1" fillId="0" borderId="22" xfId="2" applyNumberFormat="1" applyFont="1" applyFill="1" applyBorder="1" applyAlignment="1">
      <alignment horizontal="center" vertical="center" wrapText="1"/>
    </xf>
    <xf numFmtId="165" fontId="35" fillId="0" borderId="21" xfId="2" applyNumberFormat="1" applyFont="1" applyBorder="1" applyAlignment="1">
      <alignment horizontal="center" vertical="center"/>
    </xf>
    <xf numFmtId="165" fontId="35" fillId="0" borderId="25" xfId="2" applyNumberFormat="1" applyFont="1" applyBorder="1" applyAlignment="1">
      <alignment horizontal="center" vertical="center"/>
    </xf>
    <xf numFmtId="165" fontId="35" fillId="0" borderId="67" xfId="2" applyNumberFormat="1" applyFont="1" applyBorder="1" applyAlignment="1">
      <alignment horizontal="center" vertical="center"/>
    </xf>
    <xf numFmtId="165" fontId="37" fillId="2" borderId="32" xfId="2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/>
    </xf>
    <xf numFmtId="0" fontId="31" fillId="2" borderId="60" xfId="0" applyFont="1" applyFill="1" applyBorder="1" applyAlignment="1">
      <alignment horizontal="center" vertical="center" shrinkToFit="1"/>
    </xf>
    <xf numFmtId="0" fontId="31" fillId="2" borderId="35" xfId="0" applyFont="1" applyFill="1" applyBorder="1" applyAlignment="1">
      <alignment horizontal="center" vertical="center" shrinkToFit="1"/>
    </xf>
    <xf numFmtId="164" fontId="35" fillId="0" borderId="0" xfId="0" quotePrefix="1" applyNumberFormat="1" applyFont="1" applyBorder="1" applyAlignment="1">
      <alignment horizontal="center" vertical="center"/>
    </xf>
    <xf numFmtId="3" fontId="37" fillId="2" borderId="64" xfId="0" applyNumberFormat="1" applyFont="1" applyFill="1" applyBorder="1" applyAlignment="1">
      <alignment vertical="center" wrapText="1"/>
    </xf>
    <xf numFmtId="165" fontId="35" fillId="0" borderId="5" xfId="2" applyNumberFormat="1" applyFont="1" applyBorder="1" applyAlignment="1">
      <alignment horizontal="center" vertical="center" shrinkToFit="1"/>
    </xf>
    <xf numFmtId="164" fontId="35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2" fillId="0" borderId="33" xfId="0" applyNumberFormat="1" applyFont="1" applyBorder="1" applyAlignment="1">
      <alignment horizontal="center"/>
    </xf>
    <xf numFmtId="165" fontId="35" fillId="0" borderId="35" xfId="0" applyNumberFormat="1" applyFont="1" applyBorder="1" applyAlignment="1">
      <alignment horizontal="center" vertical="center"/>
    </xf>
    <xf numFmtId="165" fontId="31" fillId="2" borderId="35" xfId="0" applyNumberFormat="1" applyFont="1" applyFill="1" applyBorder="1" applyAlignment="1">
      <alignment horizontal="center" vertical="center" wrapText="1"/>
    </xf>
    <xf numFmtId="165" fontId="37" fillId="2" borderId="35" xfId="0" applyNumberFormat="1" applyFont="1" applyFill="1" applyBorder="1" applyAlignment="1">
      <alignment horizontal="center" vertical="center" wrapText="1"/>
    </xf>
    <xf numFmtId="165" fontId="35" fillId="0" borderId="50" xfId="0" applyNumberFormat="1" applyFont="1" applyBorder="1" applyAlignment="1">
      <alignment horizontal="center" vertical="center"/>
    </xf>
    <xf numFmtId="165" fontId="35" fillId="0" borderId="54" xfId="0" applyNumberFormat="1" applyFont="1" applyBorder="1" applyAlignment="1">
      <alignment horizontal="center" vertical="center"/>
    </xf>
    <xf numFmtId="165" fontId="35" fillId="0" borderId="6" xfId="0" applyNumberFormat="1" applyFont="1" applyBorder="1" applyAlignment="1">
      <alignment horizontal="center" vertical="center"/>
    </xf>
    <xf numFmtId="165" fontId="37" fillId="2" borderId="0" xfId="0" applyNumberFormat="1" applyFont="1" applyFill="1" applyBorder="1" applyAlignment="1">
      <alignment horizontal="center" vertical="center" wrapText="1"/>
    </xf>
    <xf numFmtId="165" fontId="35" fillId="0" borderId="9" xfId="0" applyNumberFormat="1" applyFont="1" applyBorder="1" applyAlignment="1">
      <alignment horizontal="center" vertical="center"/>
    </xf>
    <xf numFmtId="165" fontId="37" fillId="2" borderId="57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Border="1" applyAlignment="1">
      <alignment horizontal="center" vertical="center"/>
    </xf>
    <xf numFmtId="0" fontId="40" fillId="0" borderId="59" xfId="0" quotePrefix="1" applyFont="1" applyBorder="1" applyAlignment="1">
      <alignment horizontal="center"/>
    </xf>
    <xf numFmtId="165" fontId="35" fillId="0" borderId="0" xfId="2" quotePrefix="1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horizontal="center" vertical="center" wrapText="1"/>
    </xf>
    <xf numFmtId="165" fontId="47" fillId="0" borderId="0" xfId="2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4" fontId="45" fillId="0" borderId="0" xfId="0" applyNumberFormat="1" applyFont="1" applyFill="1" applyAlignment="1">
      <alignment vertical="center"/>
    </xf>
    <xf numFmtId="3" fontId="45" fillId="0" borderId="0" xfId="0" applyNumberFormat="1" applyFont="1" applyFill="1"/>
    <xf numFmtId="4" fontId="35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7" fillId="2" borderId="36" xfId="2" applyFont="1" applyFill="1" applyBorder="1" applyAlignment="1">
      <alignment horizontal="center" vertical="center" wrapText="1"/>
    </xf>
    <xf numFmtId="165" fontId="35" fillId="0" borderId="95" xfId="2" quotePrefix="1" applyNumberFormat="1" applyFont="1" applyBorder="1" applyAlignment="1">
      <alignment horizontal="center" vertical="center"/>
    </xf>
    <xf numFmtId="4" fontId="35" fillId="0" borderId="0" xfId="0" applyNumberFormat="1" applyFont="1" applyFill="1" applyBorder="1" applyAlignment="1">
      <alignment vertical="center"/>
    </xf>
    <xf numFmtId="165" fontId="35" fillId="0" borderId="8" xfId="2" applyNumberFormat="1" applyFont="1" applyBorder="1" applyAlignment="1">
      <alignment horizontal="center" vertical="center"/>
    </xf>
    <xf numFmtId="0" fontId="45" fillId="0" borderId="6" xfId="0" applyFont="1" applyBorder="1" applyAlignment="1">
      <alignment vertical="center"/>
    </xf>
    <xf numFmtId="3" fontId="41" fillId="0" borderId="61" xfId="0" applyNumberFormat="1" applyFont="1" applyBorder="1" applyAlignment="1">
      <alignment horizontal="right" vertical="center"/>
    </xf>
    <xf numFmtId="3" fontId="41" fillId="0" borderId="50" xfId="0" applyNumberFormat="1" applyFont="1" applyBorder="1" applyAlignment="1">
      <alignment horizontal="right" vertical="center"/>
    </xf>
    <xf numFmtId="3" fontId="41" fillId="0" borderId="6" xfId="0" applyNumberFormat="1" applyFont="1" applyBorder="1" applyAlignment="1">
      <alignment horizontal="right" vertical="center"/>
    </xf>
    <xf numFmtId="165" fontId="41" fillId="0" borderId="42" xfId="2" applyNumberFormat="1" applyFont="1" applyBorder="1" applyAlignment="1">
      <alignment horizontal="center" vertical="center"/>
    </xf>
    <xf numFmtId="0" fontId="41" fillId="0" borderId="0" xfId="0" quotePrefix="1" applyFont="1" applyAlignment="1">
      <alignment horizontal="center"/>
    </xf>
    <xf numFmtId="0" fontId="45" fillId="0" borderId="0" xfId="0" applyFont="1"/>
    <xf numFmtId="0" fontId="45" fillId="0" borderId="8" xfId="0" applyFont="1" applyBorder="1" applyAlignment="1">
      <alignment vertical="center"/>
    </xf>
    <xf numFmtId="0" fontId="41" fillId="0" borderId="0" xfId="0" applyFont="1" applyAlignment="1">
      <alignment horizontal="center"/>
    </xf>
    <xf numFmtId="0" fontId="45" fillId="0" borderId="9" xfId="0" applyFont="1" applyBorder="1" applyAlignment="1">
      <alignment vertical="center"/>
    </xf>
    <xf numFmtId="3" fontId="41" fillId="0" borderId="63" xfId="0" applyNumberFormat="1" applyFont="1" applyBorder="1" applyAlignment="1">
      <alignment horizontal="right" vertical="center"/>
    </xf>
    <xf numFmtId="3" fontId="41" fillId="0" borderId="54" xfId="0" applyNumberFormat="1" applyFont="1" applyBorder="1" applyAlignment="1">
      <alignment horizontal="right" vertical="center"/>
    </xf>
    <xf numFmtId="165" fontId="41" fillId="0" borderId="43" xfId="2" applyNumberFormat="1" applyFont="1" applyBorder="1" applyAlignment="1">
      <alignment horizontal="center" vertical="center"/>
    </xf>
    <xf numFmtId="3" fontId="41" fillId="0" borderId="9" xfId="0" applyNumberFormat="1" applyFont="1" applyBorder="1" applyAlignment="1">
      <alignment horizontal="right" vertical="center"/>
    </xf>
    <xf numFmtId="165" fontId="41" fillId="0" borderId="44" xfId="2" applyNumberFormat="1" applyFont="1" applyBorder="1" applyAlignment="1">
      <alignment horizontal="center" vertical="center"/>
    </xf>
    <xf numFmtId="0" fontId="45" fillId="0" borderId="12" xfId="0" applyFont="1" applyBorder="1" applyAlignment="1">
      <alignment vertical="center"/>
    </xf>
    <xf numFmtId="3" fontId="41" fillId="0" borderId="12" xfId="0" applyNumberFormat="1" applyFont="1" applyBorder="1" applyAlignment="1">
      <alignment horizontal="right" vertical="center"/>
    </xf>
    <xf numFmtId="165" fontId="41" fillId="0" borderId="65" xfId="2" applyNumberFormat="1" applyFont="1" applyBorder="1" applyAlignment="1">
      <alignment horizontal="center" vertical="center"/>
    </xf>
    <xf numFmtId="0" fontId="45" fillId="0" borderId="14" xfId="0" applyFont="1" applyBorder="1" applyAlignment="1">
      <alignment vertical="center"/>
    </xf>
    <xf numFmtId="3" fontId="41" fillId="0" borderId="69" xfId="0" applyNumberFormat="1" applyFont="1" applyBorder="1" applyAlignment="1">
      <alignment horizontal="right" vertical="center"/>
    </xf>
    <xf numFmtId="3" fontId="41" fillId="0" borderId="72" xfId="0" applyNumberFormat="1" applyFont="1" applyBorder="1" applyAlignment="1">
      <alignment horizontal="right" vertical="center"/>
    </xf>
    <xf numFmtId="3" fontId="41" fillId="0" borderId="14" xfId="0" applyNumberFormat="1" applyFont="1" applyBorder="1" applyAlignment="1">
      <alignment horizontal="right" vertical="center"/>
    </xf>
    <xf numFmtId="165" fontId="41" fillId="0" borderId="74" xfId="2" applyNumberFormat="1" applyFont="1" applyBorder="1" applyAlignment="1">
      <alignment horizontal="center" vertical="center"/>
    </xf>
    <xf numFmtId="165" fontId="41" fillId="0" borderId="66" xfId="2" quotePrefix="1" applyNumberFormat="1" applyFont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3" fontId="41" fillId="0" borderId="61" xfId="0" applyNumberFormat="1" applyFont="1" applyFill="1" applyBorder="1" applyAlignment="1">
      <alignment horizontal="right" vertical="center"/>
    </xf>
    <xf numFmtId="0" fontId="45" fillId="0" borderId="103" xfId="5" applyFont="1" applyFill="1" applyBorder="1"/>
    <xf numFmtId="165" fontId="41" fillId="0" borderId="6" xfId="2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3" fontId="41" fillId="0" borderId="106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right" vertical="center"/>
    </xf>
    <xf numFmtId="165" fontId="41" fillId="0" borderId="41" xfId="2" applyNumberFormat="1" applyFont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165" fontId="41" fillId="0" borderId="51" xfId="2" applyNumberFormat="1" applyFont="1" applyFill="1" applyBorder="1" applyAlignment="1">
      <alignment horizontal="center" vertical="center"/>
    </xf>
    <xf numFmtId="0" fontId="41" fillId="0" borderId="0" xfId="0" quotePrefix="1" applyFont="1" applyFill="1" applyAlignment="1">
      <alignment horizontal="center" shrinkToFit="1"/>
    </xf>
    <xf numFmtId="165" fontId="41" fillId="0" borderId="6" xfId="2" quotePrefix="1" applyNumberFormat="1" applyFont="1" applyFill="1" applyBorder="1" applyAlignment="1">
      <alignment horizontal="center" vertical="center"/>
    </xf>
    <xf numFmtId="0" fontId="41" fillId="0" borderId="0" xfId="0" quotePrefix="1" applyFont="1" applyFill="1" applyAlignment="1">
      <alignment horizontal="center"/>
    </xf>
    <xf numFmtId="0" fontId="45" fillId="0" borderId="16" xfId="0" applyFont="1" applyBorder="1" applyAlignment="1">
      <alignment vertical="center"/>
    </xf>
    <xf numFmtId="3" fontId="41" fillId="0" borderId="16" xfId="0" applyNumberFormat="1" applyFont="1" applyFill="1" applyBorder="1" applyAlignment="1">
      <alignment horizontal="right" vertical="center"/>
    </xf>
    <xf numFmtId="0" fontId="45" fillId="0" borderId="17" xfId="0" applyFont="1" applyBorder="1" applyAlignment="1">
      <alignment vertical="center"/>
    </xf>
    <xf numFmtId="3" fontId="41" fillId="0" borderId="84" xfId="0" applyNumberFormat="1" applyFont="1" applyBorder="1" applyAlignment="1">
      <alignment horizontal="right" vertical="center"/>
    </xf>
    <xf numFmtId="3" fontId="41" fillId="0" borderId="88" xfId="0" applyNumberFormat="1" applyFont="1" applyBorder="1" applyAlignment="1">
      <alignment horizontal="right" vertical="center"/>
    </xf>
    <xf numFmtId="3" fontId="41" fillId="0" borderId="17" xfId="0" applyNumberFormat="1" applyFont="1" applyBorder="1" applyAlignment="1">
      <alignment horizontal="right" vertical="center"/>
    </xf>
    <xf numFmtId="3" fontId="41" fillId="0" borderId="75" xfId="0" applyNumberFormat="1" applyFont="1" applyBorder="1" applyAlignment="1">
      <alignment horizontal="right" vertical="center"/>
    </xf>
    <xf numFmtId="3" fontId="41" fillId="0" borderId="16" xfId="0" applyNumberFormat="1" applyFont="1" applyBorder="1" applyAlignment="1">
      <alignment horizontal="right" vertical="center"/>
    </xf>
    <xf numFmtId="3" fontId="41" fillId="0" borderId="0" xfId="0" applyNumberFormat="1" applyFont="1" applyBorder="1" applyAlignment="1">
      <alignment horizontal="right" vertical="center"/>
    </xf>
    <xf numFmtId="165" fontId="41" fillId="0" borderId="8" xfId="2" applyNumberFormat="1" applyFont="1" applyBorder="1" applyAlignment="1">
      <alignment horizontal="center" vertical="center"/>
    </xf>
    <xf numFmtId="165" fontId="41" fillId="0" borderId="7" xfId="2" applyNumberFormat="1" applyFont="1" applyFill="1" applyBorder="1" applyAlignment="1">
      <alignment horizontal="center" vertical="center"/>
    </xf>
    <xf numFmtId="165" fontId="35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7" fillId="2" borderId="0" xfId="2" applyNumberFormat="1" applyFont="1" applyFill="1" applyBorder="1" applyAlignment="1">
      <alignment horizontal="right" vertical="center" wrapText="1"/>
    </xf>
    <xf numFmtId="3" fontId="37" fillId="2" borderId="116" xfId="0" applyNumberFormat="1" applyFont="1" applyFill="1" applyBorder="1" applyAlignment="1">
      <alignment horizontal="center" vertical="center" wrapText="1"/>
    </xf>
    <xf numFmtId="165" fontId="41" fillId="0" borderId="7" xfId="2" applyNumberFormat="1" applyFont="1" applyBorder="1" applyAlignment="1">
      <alignment horizontal="center" vertical="center"/>
    </xf>
    <xf numFmtId="165" fontId="41" fillId="0" borderId="18" xfId="2" applyNumberFormat="1" applyFont="1" applyBorder="1" applyAlignment="1">
      <alignment horizontal="center" vertical="center"/>
    </xf>
    <xf numFmtId="3" fontId="35" fillId="0" borderId="0" xfId="0" applyNumberFormat="1" applyFont="1" applyBorder="1"/>
    <xf numFmtId="3" fontId="35" fillId="0" borderId="0" xfId="0" applyNumberFormat="1" applyFont="1"/>
    <xf numFmtId="0" fontId="45" fillId="0" borderId="0" xfId="0" applyFont="1" applyBorder="1"/>
    <xf numFmtId="0" fontId="0" fillId="0" borderId="0" xfId="0" applyBorder="1"/>
    <xf numFmtId="3" fontId="41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5" fillId="0" borderId="122" xfId="0" applyFont="1" applyBorder="1" applyAlignment="1">
      <alignment vertical="center"/>
    </xf>
    <xf numFmtId="0" fontId="45" fillId="0" borderId="123" xfId="0" applyFont="1" applyBorder="1" applyAlignment="1">
      <alignment vertical="center"/>
    </xf>
    <xf numFmtId="0" fontId="47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1" fillId="0" borderId="12" xfId="2" quotePrefix="1" applyNumberFormat="1" applyFont="1" applyBorder="1" applyAlignment="1">
      <alignment horizontal="center" vertical="center"/>
    </xf>
    <xf numFmtId="165" fontId="35" fillId="0" borderId="51" xfId="2" quotePrefix="1" applyNumberFormat="1" applyFont="1" applyBorder="1" applyAlignment="1">
      <alignment horizontal="center" vertical="center"/>
    </xf>
    <xf numFmtId="43" fontId="35" fillId="0" borderId="0" xfId="247" applyFont="1"/>
    <xf numFmtId="166" fontId="35" fillId="0" borderId="0" xfId="247" applyNumberFormat="1" applyFont="1"/>
    <xf numFmtId="166" fontId="35" fillId="0" borderId="0" xfId="0" applyNumberFormat="1" applyFont="1"/>
    <xf numFmtId="43" fontId="0" fillId="0" borderId="0" xfId="0" applyNumberFormat="1"/>
    <xf numFmtId="9" fontId="35" fillId="0" borderId="22" xfId="2" applyNumberFormat="1" applyFont="1" applyBorder="1" applyAlignment="1">
      <alignment horizontal="center" vertical="center"/>
    </xf>
    <xf numFmtId="166" fontId="37" fillId="2" borderId="57" xfId="247" applyNumberFormat="1" applyFont="1" applyFill="1" applyBorder="1" applyAlignment="1">
      <alignment horizontal="right" vertical="center" wrapText="1"/>
    </xf>
    <xf numFmtId="165" fontId="41" fillId="0" borderId="51" xfId="2" quotePrefix="1" applyNumberFormat="1" applyFont="1" applyBorder="1" applyAlignment="1">
      <alignment horizontal="center" vertical="center"/>
    </xf>
    <xf numFmtId="165" fontId="41" fillId="0" borderId="36" xfId="2" quotePrefix="1" applyNumberFormat="1" applyFont="1" applyBorder="1" applyAlignment="1">
      <alignment horizontal="center" vertical="center"/>
    </xf>
    <xf numFmtId="4" fontId="35" fillId="0" borderId="0" xfId="0" applyNumberFormat="1" applyFont="1"/>
    <xf numFmtId="0" fontId="35" fillId="0" borderId="0" xfId="0" applyFont="1"/>
    <xf numFmtId="0" fontId="35" fillId="0" borderId="0" xfId="0" applyFont="1" applyAlignment="1">
      <alignment vertical="center"/>
    </xf>
    <xf numFmtId="165" fontId="35" fillId="0" borderId="52" xfId="0" applyNumberFormat="1" applyFont="1" applyBorder="1" applyAlignment="1">
      <alignment horizontal="center" vertical="center"/>
    </xf>
    <xf numFmtId="165" fontId="41" fillId="0" borderId="14" xfId="2" quotePrefix="1" applyNumberFormat="1" applyFont="1" applyBorder="1" applyAlignment="1">
      <alignment horizontal="center" vertical="center"/>
    </xf>
    <xf numFmtId="165" fontId="35" fillId="0" borderId="22" xfId="2" quotePrefix="1" applyNumberFormat="1" applyFont="1" applyBorder="1" applyAlignment="1">
      <alignment horizontal="center" vertical="center"/>
    </xf>
    <xf numFmtId="0" fontId="42" fillId="0" borderId="59" xfId="0" applyFont="1" applyFill="1" applyBorder="1" applyAlignment="1">
      <alignment horizontal="center"/>
    </xf>
    <xf numFmtId="165" fontId="41" fillId="0" borderId="51" xfId="2" applyNumberFormat="1" applyFont="1" applyBorder="1" applyAlignment="1">
      <alignment horizontal="center" vertical="center"/>
    </xf>
    <xf numFmtId="165" fontId="41" fillId="0" borderId="55" xfId="2" quotePrefix="1" applyNumberFormat="1" applyFont="1" applyBorder="1" applyAlignment="1">
      <alignment horizontal="center" vertical="center"/>
    </xf>
    <xf numFmtId="165" fontId="41" fillId="0" borderId="73" xfId="2" applyNumberFormat="1" applyFont="1" applyBorder="1" applyAlignment="1">
      <alignment horizontal="center" vertical="center"/>
    </xf>
    <xf numFmtId="165" fontId="41" fillId="0" borderId="36" xfId="2" quotePrefix="1" applyNumberFormat="1" applyFont="1" applyFill="1" applyBorder="1" applyAlignment="1">
      <alignment horizontal="center" vertical="center"/>
    </xf>
    <xf numFmtId="3" fontId="41" fillId="0" borderId="35" xfId="0" applyNumberFormat="1" applyFont="1" applyBorder="1" applyAlignment="1">
      <alignment horizontal="right" vertical="center"/>
    </xf>
    <xf numFmtId="3" fontId="41" fillId="0" borderId="12" xfId="0" applyNumberFormat="1" applyFont="1" applyFill="1" applyBorder="1" applyAlignment="1">
      <alignment horizontal="right" vertical="center"/>
    </xf>
    <xf numFmtId="3" fontId="41" fillId="0" borderId="124" xfId="0" applyNumberFormat="1" applyFont="1" applyFill="1" applyBorder="1" applyAlignment="1">
      <alignment horizontal="right" vertical="center"/>
    </xf>
    <xf numFmtId="165" fontId="41" fillId="0" borderId="76" xfId="2" applyNumberFormat="1" applyFont="1" applyFill="1" applyBorder="1" applyAlignment="1">
      <alignment horizontal="center" vertical="center"/>
    </xf>
    <xf numFmtId="165" fontId="41" fillId="0" borderId="6" xfId="2" applyNumberFormat="1" applyFont="1" applyBorder="1" applyAlignment="1">
      <alignment horizontal="center" vertical="center"/>
    </xf>
    <xf numFmtId="165" fontId="41" fillId="0" borderId="9" xfId="2" applyNumberFormat="1" applyFont="1" applyBorder="1" applyAlignment="1">
      <alignment horizontal="center" vertical="center"/>
    </xf>
    <xf numFmtId="165" fontId="41" fillId="0" borderId="6" xfId="2" quotePrefix="1" applyNumberFormat="1" applyFont="1" applyBorder="1" applyAlignment="1">
      <alignment horizontal="center" vertical="center"/>
    </xf>
    <xf numFmtId="165" fontId="41" fillId="0" borderId="117" xfId="2" quotePrefix="1" applyNumberFormat="1" applyFont="1" applyBorder="1" applyAlignment="1">
      <alignment horizontal="center" vertical="center"/>
    </xf>
    <xf numFmtId="165" fontId="41" fillId="0" borderId="0" xfId="2" quotePrefix="1" applyNumberFormat="1" applyFont="1" applyFill="1" applyBorder="1" applyAlignment="1">
      <alignment horizontal="center" vertical="center"/>
    </xf>
    <xf numFmtId="165" fontId="37" fillId="2" borderId="77" xfId="2" applyNumberFormat="1" applyFont="1" applyFill="1" applyBorder="1" applyAlignment="1">
      <alignment horizontal="center" vertical="center" wrapText="1"/>
    </xf>
    <xf numFmtId="165" fontId="41" fillId="0" borderId="16" xfId="2" applyNumberFormat="1" applyFont="1" applyFill="1" applyBorder="1" applyAlignment="1">
      <alignment horizontal="center" vertical="center"/>
    </xf>
    <xf numFmtId="165" fontId="41" fillId="0" borderId="17" xfId="2" quotePrefix="1" applyNumberFormat="1" applyFont="1" applyBorder="1" applyAlignment="1">
      <alignment horizontal="center" vertical="center"/>
    </xf>
    <xf numFmtId="165" fontId="41" fillId="0" borderId="16" xfId="2" quotePrefix="1" applyNumberFormat="1" applyFont="1" applyBorder="1" applyAlignment="1">
      <alignment horizontal="center" vertical="center"/>
    </xf>
    <xf numFmtId="165" fontId="41" fillId="0" borderId="0" xfId="2" quotePrefix="1" applyNumberFormat="1" applyFont="1" applyBorder="1" applyAlignment="1">
      <alignment horizontal="center" vertical="center"/>
    </xf>
    <xf numFmtId="165" fontId="81" fillId="0" borderId="0" xfId="2" applyNumberFormat="1" applyFont="1" applyFill="1" applyBorder="1" applyAlignment="1">
      <alignment horizontal="center" vertical="center"/>
    </xf>
    <xf numFmtId="165" fontId="35" fillId="0" borderId="16" xfId="2" applyNumberFormat="1" applyFont="1" applyBorder="1" applyAlignment="1">
      <alignment horizontal="center" vertical="center"/>
    </xf>
    <xf numFmtId="165" fontId="41" fillId="0" borderId="118" xfId="2" applyNumberFormat="1" applyFont="1" applyBorder="1" applyAlignment="1">
      <alignment horizontal="center" vertical="center"/>
    </xf>
    <xf numFmtId="165" fontId="41" fillId="0" borderId="119" xfId="2" applyNumberFormat="1" applyFont="1" applyBorder="1" applyAlignment="1">
      <alignment horizontal="center" vertical="center"/>
    </xf>
    <xf numFmtId="165" fontId="41" fillId="0" borderId="120" xfId="2" applyNumberFormat="1" applyFont="1" applyBorder="1" applyAlignment="1">
      <alignment horizontal="center" vertical="center"/>
    </xf>
    <xf numFmtId="165" fontId="41" fillId="0" borderId="79" xfId="2" applyNumberFormat="1" applyFont="1" applyBorder="1" applyAlignment="1">
      <alignment horizontal="center" vertical="center"/>
    </xf>
    <xf numFmtId="9" fontId="41" fillId="0" borderId="80" xfId="2" applyNumberFormat="1" applyFont="1" applyBorder="1" applyAlignment="1">
      <alignment horizontal="center" vertical="center"/>
    </xf>
    <xf numFmtId="3" fontId="35" fillId="0" borderId="75" xfId="0" applyNumberFormat="1" applyFont="1" applyFill="1" applyBorder="1" applyAlignment="1">
      <alignment horizontal="right" vertical="center"/>
    </xf>
    <xf numFmtId="165" fontId="35" fillId="0" borderId="9" xfId="2" applyNumberFormat="1" applyFont="1" applyBorder="1" applyAlignment="1">
      <alignment horizontal="center" vertical="center"/>
    </xf>
    <xf numFmtId="43" fontId="35" fillId="0" borderId="0" xfId="247" applyFont="1" applyAlignment="1">
      <alignment horizontal="center"/>
    </xf>
    <xf numFmtId="165" fontId="35" fillId="0" borderId="55" xfId="2" applyNumberFormat="1" applyFont="1" applyBorder="1" applyAlignment="1">
      <alignment horizontal="center" vertical="center"/>
    </xf>
    <xf numFmtId="3" fontId="41" fillId="0" borderId="125" xfId="0" applyNumberFormat="1" applyFont="1" applyBorder="1" applyAlignment="1">
      <alignment horizontal="right" vertical="center"/>
    </xf>
    <xf numFmtId="3" fontId="35" fillId="0" borderId="126" xfId="0" applyNumberFormat="1" applyFont="1" applyBorder="1" applyAlignment="1">
      <alignment horizontal="right" vertical="center"/>
    </xf>
    <xf numFmtId="3" fontId="35" fillId="0" borderId="127" xfId="0" applyNumberFormat="1" applyFont="1" applyBorder="1" applyAlignment="1">
      <alignment horizontal="right" vertical="center"/>
    </xf>
    <xf numFmtId="3" fontId="35" fillId="0" borderId="72" xfId="0" applyNumberFormat="1" applyFont="1" applyBorder="1" applyAlignment="1">
      <alignment horizontal="right" vertical="center"/>
    </xf>
    <xf numFmtId="3" fontId="35" fillId="0" borderId="104" xfId="0" applyNumberFormat="1" applyFont="1" applyBorder="1" applyAlignment="1">
      <alignment vertical="center"/>
    </xf>
    <xf numFmtId="3" fontId="35" fillId="0" borderId="106" xfId="0" applyNumberFormat="1" applyFont="1" applyBorder="1" applyAlignment="1">
      <alignment vertical="center"/>
    </xf>
    <xf numFmtId="3" fontId="41" fillId="0" borderId="9" xfId="0" applyNumberFormat="1" applyFont="1" applyFill="1" applyBorder="1" applyAlignment="1">
      <alignment horizontal="right" vertical="center"/>
    </xf>
    <xf numFmtId="0" fontId="45" fillId="0" borderId="16" xfId="0" applyFont="1" applyFill="1" applyBorder="1" applyAlignment="1">
      <alignment vertical="center"/>
    </xf>
    <xf numFmtId="165" fontId="41" fillId="0" borderId="102" xfId="2" applyNumberFormat="1" applyFont="1" applyBorder="1" applyAlignment="1">
      <alignment horizontal="center" vertical="center"/>
    </xf>
    <xf numFmtId="165" fontId="41" fillId="0" borderId="11" xfId="2" applyNumberFormat="1" applyFont="1" applyBorder="1" applyAlignment="1">
      <alignment horizontal="center" vertical="center"/>
    </xf>
    <xf numFmtId="165" fontId="41" fillId="0" borderId="13" xfId="2" applyNumberFormat="1" applyFont="1" applyBorder="1" applyAlignment="1">
      <alignment horizontal="center" vertical="center"/>
    </xf>
    <xf numFmtId="165" fontId="41" fillId="0" borderId="5" xfId="2" applyNumberFormat="1" applyFont="1" applyBorder="1" applyAlignment="1">
      <alignment horizontal="center" vertical="center"/>
    </xf>
    <xf numFmtId="165" fontId="41" fillId="0" borderId="15" xfId="2" applyNumberFormat="1" applyFont="1" applyBorder="1" applyAlignment="1">
      <alignment horizontal="center" vertical="center"/>
    </xf>
    <xf numFmtId="165" fontId="35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7" fillId="2" borderId="56" xfId="0" applyNumberFormat="1" applyFont="1" applyFill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/>
    </xf>
    <xf numFmtId="165" fontId="35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5" fillId="0" borderId="106" xfId="2" applyNumberFormat="1" applyFont="1" applyBorder="1" applyAlignment="1">
      <alignment horizontal="center" vertical="center"/>
    </xf>
    <xf numFmtId="165" fontId="35" fillId="0" borderId="20" xfId="2" applyNumberFormat="1" applyFont="1" applyBorder="1" applyAlignment="1">
      <alignment horizontal="center" vertical="center"/>
    </xf>
    <xf numFmtId="165" fontId="35" fillId="0" borderId="22" xfId="2" applyNumberFormat="1" applyFont="1" applyBorder="1" applyAlignment="1">
      <alignment horizontal="center" vertical="center"/>
    </xf>
    <xf numFmtId="165" fontId="35" fillId="0" borderId="17" xfId="2" applyNumberFormat="1" applyFont="1" applyBorder="1" applyAlignment="1">
      <alignment horizontal="center" vertical="center"/>
    </xf>
    <xf numFmtId="165" fontId="35" fillId="0" borderId="12" xfId="2" applyNumberFormat="1" applyFont="1" applyBorder="1" applyAlignment="1">
      <alignment horizontal="center" vertical="center"/>
    </xf>
    <xf numFmtId="165" fontId="35" fillId="0" borderId="6" xfId="2" quotePrefix="1" applyNumberFormat="1" applyFont="1" applyBorder="1" applyAlignment="1">
      <alignment horizontal="center" vertical="center"/>
    </xf>
    <xf numFmtId="165" fontId="35" fillId="0" borderId="8" xfId="2" quotePrefix="1" applyNumberFormat="1" applyFont="1" applyBorder="1" applyAlignment="1">
      <alignment horizontal="center" vertical="center"/>
    </xf>
    <xf numFmtId="165" fontId="35" fillId="0" borderId="16" xfId="2" quotePrefix="1" applyNumberFormat="1" applyFont="1" applyBorder="1" applyAlignment="1">
      <alignment horizontal="center" vertical="center"/>
    </xf>
    <xf numFmtId="165" fontId="35" fillId="0" borderId="19" xfId="2" quotePrefix="1" applyNumberFormat="1" applyFont="1" applyBorder="1" applyAlignment="1">
      <alignment horizontal="center" vertical="center"/>
    </xf>
    <xf numFmtId="165" fontId="35" fillId="0" borderId="20" xfId="2" quotePrefix="1" applyNumberFormat="1" applyFont="1" applyBorder="1" applyAlignment="1">
      <alignment horizontal="center" vertical="center"/>
    </xf>
    <xf numFmtId="165" fontId="35" fillId="0" borderId="12" xfId="2" quotePrefix="1" applyNumberFormat="1" applyFont="1" applyBorder="1" applyAlignment="1">
      <alignment horizontal="center" vertical="center"/>
    </xf>
    <xf numFmtId="165" fontId="35" fillId="0" borderId="14" xfId="2" quotePrefix="1" applyNumberFormat="1" applyFont="1" applyBorder="1" applyAlignment="1">
      <alignment horizontal="center" vertical="center"/>
    </xf>
    <xf numFmtId="165" fontId="47" fillId="3" borderId="14" xfId="2" applyNumberFormat="1" applyFont="1" applyFill="1" applyBorder="1" applyAlignment="1">
      <alignment horizontal="center" vertical="center" wrapText="1"/>
    </xf>
    <xf numFmtId="166" fontId="35" fillId="0" borderId="0" xfId="247" applyNumberFormat="1" applyFont="1" applyAlignment="1">
      <alignment horizontal="center"/>
    </xf>
    <xf numFmtId="165" fontId="47" fillId="3" borderId="0" xfId="2" applyNumberFormat="1" applyFont="1" applyFill="1" applyBorder="1" applyAlignment="1">
      <alignment horizontal="center" vertical="center" wrapText="1"/>
    </xf>
    <xf numFmtId="165" fontId="35" fillId="0" borderId="103" xfId="2" applyNumberFormat="1" applyFont="1" applyBorder="1" applyAlignment="1">
      <alignment horizontal="center" vertical="center"/>
    </xf>
    <xf numFmtId="165" fontId="35" fillId="0" borderId="73" xfId="2" applyNumberFormat="1" applyFont="1" applyBorder="1" applyAlignment="1">
      <alignment horizontal="center" vertical="center"/>
    </xf>
    <xf numFmtId="165" fontId="35" fillId="0" borderId="89" xfId="2" applyNumberFormat="1" applyFont="1" applyBorder="1" applyAlignment="1">
      <alignment horizontal="center" vertical="center"/>
    </xf>
    <xf numFmtId="165" fontId="35" fillId="0" borderId="93" xfId="2" applyNumberFormat="1" applyFont="1" applyBorder="1" applyAlignment="1">
      <alignment horizontal="center" vertical="center"/>
    </xf>
    <xf numFmtId="165" fontId="35" fillId="0" borderId="95" xfId="2" applyNumberFormat="1" applyFont="1" applyBorder="1" applyAlignment="1">
      <alignment horizontal="center" vertical="center"/>
    </xf>
    <xf numFmtId="165" fontId="35" fillId="0" borderId="53" xfId="2" quotePrefix="1" applyNumberFormat="1" applyFont="1" applyBorder="1" applyAlignment="1">
      <alignment horizontal="center" vertical="center"/>
    </xf>
    <xf numFmtId="165" fontId="35" fillId="0" borderId="76" xfId="2" quotePrefix="1" applyNumberFormat="1" applyFont="1" applyBorder="1" applyAlignment="1">
      <alignment horizontal="center" vertical="center"/>
    </xf>
    <xf numFmtId="165" fontId="35" fillId="0" borderId="91" xfId="2" quotePrefix="1" applyNumberFormat="1" applyFont="1" applyBorder="1" applyAlignment="1">
      <alignment horizontal="center" vertical="center"/>
    </xf>
    <xf numFmtId="165" fontId="35" fillId="0" borderId="93" xfId="2" quotePrefix="1" applyNumberFormat="1" applyFont="1" applyBorder="1" applyAlignment="1">
      <alignment horizontal="center" vertical="center"/>
    </xf>
    <xf numFmtId="165" fontId="47" fillId="3" borderId="36" xfId="2" applyNumberFormat="1" applyFont="1" applyFill="1" applyBorder="1" applyAlignment="1">
      <alignment horizontal="center" vertical="center" wrapText="1"/>
    </xf>
    <xf numFmtId="165" fontId="35" fillId="0" borderId="74" xfId="2" quotePrefix="1" applyNumberFormat="1" applyFont="1" applyBorder="1" applyAlignment="1">
      <alignment horizontal="center" vertical="center"/>
    </xf>
    <xf numFmtId="165" fontId="35" fillId="0" borderId="73" xfId="2" quotePrefix="1" applyNumberFormat="1" applyFont="1" applyBorder="1" applyAlignment="1">
      <alignment horizontal="center" vertical="center"/>
    </xf>
    <xf numFmtId="165" fontId="47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5" fillId="0" borderId="128" xfId="2" applyNumberFormat="1" applyFont="1" applyBorder="1" applyAlignment="1">
      <alignment horizontal="center" vertical="center"/>
    </xf>
    <xf numFmtId="3" fontId="45" fillId="0" borderId="0" xfId="0" applyNumberFormat="1" applyFont="1" applyBorder="1"/>
    <xf numFmtId="165" fontId="41" fillId="0" borderId="76" xfId="2" quotePrefix="1" applyNumberFormat="1" applyFont="1" applyBorder="1" applyAlignment="1">
      <alignment horizontal="center" vertical="center"/>
    </xf>
    <xf numFmtId="3" fontId="35" fillId="0" borderId="8" xfId="0" applyNumberFormat="1" applyFont="1" applyBorder="1"/>
    <xf numFmtId="0" fontId="0" fillId="0" borderId="53" xfId="0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165" fontId="37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5" fillId="0" borderId="121" xfId="0" applyFont="1" applyFill="1" applyBorder="1" applyAlignment="1">
      <alignment vertical="center"/>
    </xf>
    <xf numFmtId="0" fontId="88" fillId="0" borderId="0" xfId="1" applyFont="1"/>
    <xf numFmtId="0" fontId="30" fillId="0" borderId="0" xfId="1" applyFont="1"/>
    <xf numFmtId="0" fontId="89" fillId="0" borderId="0" xfId="0" applyFont="1"/>
    <xf numFmtId="165" fontId="41" fillId="0" borderId="73" xfId="2" applyNumberFormat="1" applyFont="1" applyFill="1" applyBorder="1" applyAlignment="1">
      <alignment horizontal="center" vertical="center"/>
    </xf>
    <xf numFmtId="3" fontId="35" fillId="0" borderId="9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/>
    <xf numFmtId="3" fontId="35" fillId="0" borderId="0" xfId="0" applyNumberFormat="1" applyFont="1" applyAlignment="1"/>
    <xf numFmtId="3" fontId="37" fillId="2" borderId="0" xfId="2" applyNumberFormat="1" applyFont="1" applyFill="1" applyBorder="1" applyAlignment="1">
      <alignment vertical="center" wrapText="1"/>
    </xf>
    <xf numFmtId="3" fontId="37" fillId="2" borderId="0" xfId="0" applyNumberFormat="1" applyFont="1" applyFill="1" applyAlignment="1">
      <alignment vertical="center" wrapText="1"/>
    </xf>
    <xf numFmtId="165" fontId="37" fillId="2" borderId="0" xfId="2" applyNumberFormat="1" applyFont="1" applyFill="1" applyAlignment="1">
      <alignment vertical="center" wrapText="1"/>
    </xf>
    <xf numFmtId="3" fontId="37" fillId="2" borderId="0" xfId="0" applyNumberFormat="1" applyFont="1" applyFill="1" applyBorder="1" applyAlignment="1">
      <alignment vertical="center" wrapText="1"/>
    </xf>
    <xf numFmtId="3" fontId="37" fillId="2" borderId="1" xfId="2" applyNumberFormat="1" applyFont="1" applyFill="1" applyBorder="1" applyAlignment="1">
      <alignment horizontal="right" vertical="center" wrapText="1"/>
    </xf>
    <xf numFmtId="3" fontId="35" fillId="0" borderId="22" xfId="0" applyNumberFormat="1" applyFont="1" applyBorder="1" applyAlignment="1">
      <alignment vertical="center"/>
    </xf>
    <xf numFmtId="3" fontId="35" fillId="0" borderId="19" xfId="0" applyNumberFormat="1" applyFont="1" applyBorder="1" applyAlignment="1">
      <alignment vertical="center"/>
    </xf>
    <xf numFmtId="3" fontId="35" fillId="0" borderId="20" xfId="0" applyNumberFormat="1" applyFont="1" applyBorder="1" applyAlignment="1">
      <alignment vertical="center"/>
    </xf>
    <xf numFmtId="3" fontId="41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9" fillId="0" borderId="0" xfId="0" applyFont="1"/>
    <xf numFmtId="166" fontId="92" fillId="0" borderId="0" xfId="247" applyNumberFormat="1" applyFont="1"/>
    <xf numFmtId="3" fontId="79" fillId="0" borderId="0" xfId="0" applyNumberFormat="1" applyFont="1"/>
    <xf numFmtId="4" fontId="79" fillId="0" borderId="0" xfId="0" applyNumberFormat="1" applyFont="1"/>
    <xf numFmtId="3" fontId="35" fillId="0" borderId="60" xfId="189" applyNumberFormat="1" applyFont="1" applyBorder="1"/>
    <xf numFmtId="2" fontId="45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0" fillId="0" borderId="0" xfId="0" applyNumberFormat="1" applyFont="1"/>
    <xf numFmtId="2" fontId="45" fillId="0" borderId="0" xfId="10" applyNumberFormat="1" applyFont="1" applyAlignment="1">
      <alignment horizontal="right"/>
    </xf>
    <xf numFmtId="3" fontId="41" fillId="0" borderId="124" xfId="0" applyNumberFormat="1" applyFont="1" applyBorder="1" applyAlignment="1">
      <alignment horizontal="right" vertical="center"/>
    </xf>
    <xf numFmtId="3" fontId="41" fillId="0" borderId="130" xfId="0" applyNumberFormat="1" applyFont="1" applyBorder="1" applyAlignment="1">
      <alignment horizontal="right" vertical="center"/>
    </xf>
    <xf numFmtId="3" fontId="35" fillId="0" borderId="84" xfId="0" applyNumberFormat="1" applyFont="1" applyBorder="1" applyAlignment="1">
      <alignment horizontal="right" vertical="center"/>
    </xf>
    <xf numFmtId="3" fontId="35" fillId="0" borderId="69" xfId="0" applyNumberFormat="1" applyFont="1" applyBorder="1" applyAlignment="1">
      <alignment horizontal="right" vertical="center"/>
    </xf>
    <xf numFmtId="3" fontId="35" fillId="0" borderId="92" xfId="0" applyNumberFormat="1" applyFont="1" applyFill="1" applyBorder="1" applyAlignment="1">
      <alignment horizontal="right" vertical="center"/>
    </xf>
    <xf numFmtId="3" fontId="35" fillId="0" borderId="72" xfId="0" applyNumberFormat="1" applyFont="1" applyFill="1" applyBorder="1" applyAlignment="1">
      <alignment horizontal="right" vertical="center"/>
    </xf>
    <xf numFmtId="3" fontId="41" fillId="0" borderId="78" xfId="0" applyNumberFormat="1" applyFont="1" applyBorder="1" applyAlignment="1">
      <alignment horizontal="right" vertical="center"/>
    </xf>
    <xf numFmtId="3" fontId="35" fillId="0" borderId="35" xfId="0" applyNumberFormat="1" applyFont="1" applyFill="1" applyBorder="1" applyAlignment="1">
      <alignment horizontal="right" vertical="center"/>
    </xf>
    <xf numFmtId="3" fontId="35" fillId="0" borderId="88" xfId="0" applyNumberFormat="1" applyFont="1" applyFill="1" applyBorder="1" applyAlignment="1">
      <alignment horizontal="right" vertical="center"/>
    </xf>
    <xf numFmtId="9" fontId="41" fillId="0" borderId="0" xfId="2" applyFont="1" applyAlignment="1">
      <alignment horizontal="center" vertical="center"/>
    </xf>
    <xf numFmtId="165" fontId="35" fillId="0" borderId="100" xfId="2" quotePrefix="1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right" vertical="center"/>
    </xf>
    <xf numFmtId="9" fontId="41" fillId="0" borderId="80" xfId="2" quotePrefix="1" applyNumberFormat="1" applyFont="1" applyBorder="1" applyAlignment="1">
      <alignment horizontal="center" vertical="center"/>
    </xf>
    <xf numFmtId="165" fontId="41" fillId="0" borderId="76" xfId="2" quotePrefix="1" applyNumberFormat="1" applyFont="1" applyFill="1" applyBorder="1" applyAlignment="1">
      <alignment horizontal="center" vertical="center"/>
    </xf>
    <xf numFmtId="9" fontId="41" fillId="0" borderId="82" xfId="2" applyNumberFormat="1" applyFont="1" applyBorder="1" applyAlignment="1">
      <alignment horizontal="center" vertical="center"/>
    </xf>
    <xf numFmtId="9" fontId="41" fillId="0" borderId="81" xfId="2" applyNumberFormat="1" applyFont="1" applyBorder="1" applyAlignment="1">
      <alignment horizontal="center" vertical="center"/>
    </xf>
    <xf numFmtId="2" fontId="91" fillId="0" borderId="0" xfId="304" applyNumberFormat="1" applyFont="1" applyAlignment="1">
      <alignment horizontal="left" vertical="center"/>
    </xf>
    <xf numFmtId="3" fontId="41" fillId="0" borderId="94" xfId="304" applyNumberFormat="1" applyFont="1" applyBorder="1" applyAlignment="1">
      <alignment vertical="center"/>
    </xf>
    <xf numFmtId="3" fontId="41" fillId="0" borderId="22" xfId="304" applyNumberFormat="1" applyFont="1" applyBorder="1" applyAlignment="1">
      <alignment vertical="center"/>
    </xf>
    <xf numFmtId="0" fontId="45" fillId="0" borderId="91" xfId="10" applyFont="1" applyBorder="1"/>
    <xf numFmtId="165" fontId="35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5" fillId="0" borderId="97" xfId="2" quotePrefix="1" applyNumberFormat="1" applyFont="1" applyBorder="1" applyAlignment="1">
      <alignment horizontal="center" vertical="center"/>
    </xf>
    <xf numFmtId="165" fontId="35" fillId="0" borderId="21" xfId="2" quotePrefix="1" applyNumberFormat="1" applyFont="1" applyBorder="1" applyAlignment="1">
      <alignment horizontal="center" vertical="center"/>
    </xf>
    <xf numFmtId="165" fontId="37" fillId="2" borderId="0" xfId="2" quotePrefix="1" applyNumberFormat="1" applyFont="1" applyFill="1" applyBorder="1" applyAlignment="1">
      <alignment horizontal="center" vertical="center" wrapText="1"/>
    </xf>
    <xf numFmtId="3" fontId="37" fillId="2" borderId="36" xfId="0" applyNumberFormat="1" applyFont="1" applyFill="1" applyBorder="1" applyAlignment="1">
      <alignment horizontal="right" vertical="center" wrapText="1"/>
    </xf>
    <xf numFmtId="3" fontId="35" fillId="0" borderId="35" xfId="0" applyNumberFormat="1" applyFont="1" applyBorder="1" applyAlignment="1">
      <alignment vertical="center"/>
    </xf>
    <xf numFmtId="165" fontId="35" fillId="0" borderId="36" xfId="2" quotePrefix="1" applyNumberFormat="1" applyFont="1" applyBorder="1" applyAlignment="1">
      <alignment horizontal="center" vertical="center"/>
    </xf>
    <xf numFmtId="0" fontId="31" fillId="2" borderId="36" xfId="0" applyFont="1" applyFill="1" applyBorder="1" applyAlignment="1">
      <alignment vertical="center"/>
    </xf>
    <xf numFmtId="3" fontId="37" fillId="2" borderId="132" xfId="0" applyNumberFormat="1" applyFont="1" applyFill="1" applyBorder="1" applyAlignment="1">
      <alignment horizontal="right" vertical="center" wrapText="1"/>
    </xf>
    <xf numFmtId="165" fontId="35" fillId="0" borderId="100" xfId="2" applyNumberFormat="1" applyFont="1" applyBorder="1" applyAlignment="1">
      <alignment horizontal="center" vertical="center"/>
    </xf>
    <xf numFmtId="165" fontId="35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7" fillId="2" borderId="61" xfId="0" applyNumberFormat="1" applyFont="1" applyFill="1" applyBorder="1" applyAlignment="1">
      <alignment horizontal="center" vertical="center" wrapText="1"/>
    </xf>
    <xf numFmtId="3" fontId="35" fillId="0" borderId="96" xfId="0" applyNumberFormat="1" applyFont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3" fontId="37" fillId="2" borderId="132" xfId="0" applyNumberFormat="1" applyFont="1" applyFill="1" applyBorder="1" applyAlignment="1">
      <alignment horizontal="center" vertical="center" wrapText="1"/>
    </xf>
    <xf numFmtId="3" fontId="37" fillId="2" borderId="28" xfId="0" applyNumberFormat="1" applyFont="1" applyFill="1" applyBorder="1" applyAlignment="1">
      <alignment horizontal="center" vertical="center" wrapText="1"/>
    </xf>
    <xf numFmtId="3" fontId="35" fillId="0" borderId="60" xfId="0" applyNumberFormat="1" applyFont="1" applyBorder="1" applyAlignment="1">
      <alignment vertical="center"/>
    </xf>
    <xf numFmtId="164" fontId="35" fillId="0" borderId="9" xfId="0" quotePrefix="1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4" fillId="0" borderId="55" xfId="0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165" fontId="37" fillId="2" borderId="28" xfId="2" applyNumberFormat="1" applyFont="1" applyFill="1" applyBorder="1" applyAlignment="1">
      <alignment horizontal="center" vertical="center" wrapText="1"/>
    </xf>
    <xf numFmtId="165" fontId="37" fillId="2" borderId="133" xfId="2" applyNumberFormat="1" applyFont="1" applyFill="1" applyBorder="1" applyAlignment="1">
      <alignment horizontal="center" vertical="center" wrapText="1"/>
    </xf>
    <xf numFmtId="165" fontId="35" fillId="0" borderId="63" xfId="0" applyNumberFormat="1" applyFont="1" applyBorder="1" applyAlignment="1">
      <alignment horizontal="center" vertical="center"/>
    </xf>
    <xf numFmtId="165" fontId="37" fillId="2" borderId="60" xfId="0" applyNumberFormat="1" applyFont="1" applyFill="1" applyBorder="1" applyAlignment="1">
      <alignment horizontal="center" vertical="center" wrapText="1"/>
    </xf>
    <xf numFmtId="3" fontId="35" fillId="0" borderId="35" xfId="0" applyNumberFormat="1" applyFont="1" applyBorder="1" applyAlignment="1">
      <alignment horizontal="right" vertical="center"/>
    </xf>
    <xf numFmtId="3" fontId="35" fillId="0" borderId="54" xfId="0" applyNumberFormat="1" applyFont="1" applyBorder="1" applyAlignment="1">
      <alignment horizontal="right" vertical="center"/>
    </xf>
    <xf numFmtId="0" fontId="31" fillId="2" borderId="133" xfId="0" applyFont="1" applyFill="1" applyBorder="1" applyAlignment="1">
      <alignment vertical="center"/>
    </xf>
    <xf numFmtId="0" fontId="32" fillId="2" borderId="28" xfId="0" applyFont="1" applyFill="1" applyBorder="1" applyAlignment="1">
      <alignment vertical="center"/>
    </xf>
    <xf numFmtId="165" fontId="41" fillId="0" borderId="55" xfId="2" applyNumberFormat="1" applyFont="1" applyBorder="1" applyAlignment="1">
      <alignment horizontal="center" vertical="center"/>
    </xf>
    <xf numFmtId="3" fontId="41" fillId="0" borderId="35" xfId="0" applyNumberFormat="1" applyFont="1" applyFill="1" applyBorder="1" applyAlignment="1">
      <alignment horizontal="right" vertical="center"/>
    </xf>
    <xf numFmtId="165" fontId="41" fillId="0" borderId="10" xfId="2" applyNumberFormat="1" applyFont="1" applyBorder="1" applyAlignment="1">
      <alignment horizontal="center" vertical="center"/>
    </xf>
    <xf numFmtId="9" fontId="41" fillId="0" borderId="41" xfId="2" applyNumberFormat="1" applyFont="1" applyBorder="1" applyAlignment="1">
      <alignment horizontal="center" vertical="center"/>
    </xf>
    <xf numFmtId="165" fontId="37" fillId="2" borderId="60" xfId="0" applyNumberFormat="1" applyFont="1" applyFill="1" applyBorder="1" applyAlignment="1">
      <alignment horizontal="center" vertical="center"/>
    </xf>
    <xf numFmtId="165" fontId="35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5" fillId="0" borderId="134" xfId="4" applyBorder="1"/>
    <xf numFmtId="0" fontId="46" fillId="3" borderId="36" xfId="0" applyFont="1" applyFill="1" applyBorder="1" applyAlignment="1">
      <alignment vertical="center"/>
    </xf>
    <xf numFmtId="3" fontId="35" fillId="0" borderId="130" xfId="0" applyNumberFormat="1" applyFont="1" applyBorder="1" applyAlignment="1">
      <alignment horizontal="right" vertical="center"/>
    </xf>
    <xf numFmtId="3" fontId="47" fillId="3" borderId="35" xfId="0" applyNumberFormat="1" applyFont="1" applyFill="1" applyBorder="1" applyAlignment="1">
      <alignment horizontal="right" vertical="center" wrapText="1"/>
    </xf>
    <xf numFmtId="3" fontId="35" fillId="0" borderId="134" xfId="0" applyNumberFormat="1" applyFont="1" applyBorder="1" applyAlignment="1">
      <alignment horizontal="right" vertical="center"/>
    </xf>
    <xf numFmtId="165" fontId="35" fillId="0" borderId="134" xfId="2" quotePrefix="1" applyNumberFormat="1" applyFont="1" applyBorder="1" applyAlignment="1">
      <alignment horizontal="center" vertical="center"/>
    </xf>
    <xf numFmtId="165" fontId="35" fillId="0" borderId="135" xfId="2" quotePrefix="1" applyNumberFormat="1" applyFont="1" applyBorder="1" applyAlignment="1">
      <alignment horizontal="center" vertical="center"/>
    </xf>
    <xf numFmtId="3" fontId="37" fillId="2" borderId="136" xfId="0" applyNumberFormat="1" applyFont="1" applyFill="1" applyBorder="1" applyAlignment="1">
      <alignment horizontal="center" vertical="center" wrapText="1"/>
    </xf>
    <xf numFmtId="165" fontId="35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7" fillId="2" borderId="116" xfId="2" applyNumberFormat="1" applyFont="1" applyFill="1" applyBorder="1" applyAlignment="1">
      <alignment horizontal="center" vertical="center" wrapText="1"/>
    </xf>
    <xf numFmtId="3" fontId="35" fillId="0" borderId="125" xfId="0" applyNumberFormat="1" applyFont="1" applyBorder="1" applyAlignment="1">
      <alignment horizontal="right" vertical="center"/>
    </xf>
    <xf numFmtId="3" fontId="35" fillId="0" borderId="90" xfId="0" applyNumberFormat="1" applyFont="1" applyBorder="1" applyAlignment="1">
      <alignment vertical="center"/>
    </xf>
    <xf numFmtId="0" fontId="31" fillId="2" borderId="137" xfId="0" applyFont="1" applyFill="1" applyBorder="1" applyAlignment="1">
      <alignment horizontal="center" vertical="center" wrapText="1"/>
    </xf>
    <xf numFmtId="3" fontId="35" fillId="0" borderId="138" xfId="0" applyNumberFormat="1" applyFont="1" applyBorder="1" applyAlignment="1">
      <alignment horizontal="right" vertical="center"/>
    </xf>
    <xf numFmtId="3" fontId="35" fillId="0" borderId="139" xfId="0" applyNumberFormat="1" applyFont="1" applyBorder="1" applyAlignment="1">
      <alignment horizontal="right" vertical="center"/>
    </xf>
    <xf numFmtId="3" fontId="35" fillId="0" borderId="137" xfId="0" applyNumberFormat="1" applyFont="1" applyBorder="1" applyAlignment="1">
      <alignment horizontal="right" vertical="center"/>
    </xf>
    <xf numFmtId="3" fontId="37" fillId="2" borderId="137" xfId="0" applyNumberFormat="1" applyFont="1" applyFill="1" applyBorder="1" applyAlignment="1">
      <alignment horizontal="right" vertical="center" wrapText="1"/>
    </xf>
    <xf numFmtId="3" fontId="35" fillId="0" borderId="140" xfId="0" applyNumberFormat="1" applyFont="1" applyBorder="1" applyAlignment="1">
      <alignment horizontal="right" vertical="center"/>
    </xf>
    <xf numFmtId="0" fontId="35" fillId="0" borderId="141" xfId="0" quotePrefix="1" applyFont="1" applyBorder="1" applyAlignment="1">
      <alignment horizontal="center" vertical="center"/>
    </xf>
    <xf numFmtId="0" fontId="31" fillId="2" borderId="141" xfId="0" applyFont="1" applyFill="1" applyBorder="1" applyAlignment="1">
      <alignment horizontal="center" vertical="center" wrapText="1"/>
    </xf>
    <xf numFmtId="165" fontId="35" fillId="0" borderId="142" xfId="2" applyNumberFormat="1" applyFont="1" applyBorder="1" applyAlignment="1">
      <alignment horizontal="center" vertical="center"/>
    </xf>
    <xf numFmtId="165" fontId="35" fillId="0" borderId="143" xfId="2" applyNumberFormat="1" applyFont="1" applyBorder="1" applyAlignment="1">
      <alignment horizontal="center" vertical="center"/>
    </xf>
    <xf numFmtId="165" fontId="37" fillId="2" borderId="141" xfId="2" applyNumberFormat="1" applyFont="1" applyFill="1" applyBorder="1" applyAlignment="1">
      <alignment horizontal="center" vertical="center" wrapText="1"/>
    </xf>
    <xf numFmtId="165" fontId="35" fillId="0" borderId="144" xfId="2" applyNumberFormat="1" applyFont="1" applyBorder="1" applyAlignment="1">
      <alignment horizontal="center" vertical="center"/>
    </xf>
    <xf numFmtId="3" fontId="37" fillId="2" borderId="145" xfId="0" applyNumberFormat="1" applyFont="1" applyFill="1" applyBorder="1" applyAlignment="1">
      <alignment horizontal="right" vertical="center" wrapText="1"/>
    </xf>
    <xf numFmtId="165" fontId="37" fillId="2" borderId="146" xfId="2" applyNumberFormat="1" applyFont="1" applyFill="1" applyBorder="1" applyAlignment="1">
      <alignment horizontal="center" vertical="center" wrapText="1"/>
    </xf>
    <xf numFmtId="3" fontId="35" fillId="0" borderId="138" xfId="0" applyNumberFormat="1" applyFont="1" applyBorder="1" applyAlignment="1">
      <alignment vertical="center"/>
    </xf>
    <xf numFmtId="3" fontId="35" fillId="0" borderId="139" xfId="0" applyNumberFormat="1" applyFont="1" applyBorder="1" applyAlignment="1">
      <alignment vertical="center"/>
    </xf>
    <xf numFmtId="3" fontId="35" fillId="0" borderId="140" xfId="0" applyNumberFormat="1" applyFont="1" applyBorder="1" applyAlignment="1">
      <alignment vertical="center"/>
    </xf>
    <xf numFmtId="3" fontId="35" fillId="0" borderId="147" xfId="0" applyNumberFormat="1" applyFont="1" applyBorder="1" applyAlignment="1">
      <alignment horizontal="right" vertical="center"/>
    </xf>
    <xf numFmtId="3" fontId="35" fillId="0" borderId="148" xfId="0" applyNumberFormat="1" applyFont="1" applyBorder="1" applyAlignment="1">
      <alignment horizontal="right" vertical="center"/>
    </xf>
    <xf numFmtId="3" fontId="35" fillId="0" borderId="149" xfId="0" applyNumberFormat="1" applyFont="1" applyBorder="1" applyAlignment="1">
      <alignment horizontal="right" vertical="center"/>
    </xf>
    <xf numFmtId="3" fontId="35" fillId="0" borderId="150" xfId="0" applyNumberFormat="1" applyFont="1" applyBorder="1" applyAlignment="1">
      <alignment horizontal="right" vertical="center"/>
    </xf>
    <xf numFmtId="3" fontId="35" fillId="0" borderId="151" xfId="0" applyNumberFormat="1" applyFont="1" applyBorder="1" applyAlignment="1">
      <alignment horizontal="right" vertical="center"/>
    </xf>
    <xf numFmtId="165" fontId="35" fillId="0" borderId="134" xfId="2" applyNumberFormat="1" applyFont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 wrapText="1"/>
    </xf>
    <xf numFmtId="165" fontId="35" fillId="0" borderId="152" xfId="2" applyNumberFormat="1" applyFont="1" applyBorder="1" applyAlignment="1">
      <alignment horizontal="center" vertical="center"/>
    </xf>
    <xf numFmtId="165" fontId="35" fillId="0" borderId="153" xfId="2" quotePrefix="1" applyNumberFormat="1" applyFont="1" applyBorder="1" applyAlignment="1">
      <alignment horizontal="center" vertical="center"/>
    </xf>
    <xf numFmtId="165" fontId="35" fillId="0" borderId="153" xfId="2" applyNumberFormat="1" applyFont="1" applyBorder="1" applyAlignment="1">
      <alignment horizontal="center" vertical="center"/>
    </xf>
    <xf numFmtId="165" fontId="35" fillId="0" borderId="154" xfId="2" applyNumberFormat="1" applyFont="1" applyBorder="1" applyAlignment="1">
      <alignment horizontal="center" vertical="center"/>
    </xf>
    <xf numFmtId="165" fontId="35" fillId="0" borderId="155" xfId="2" applyNumberFormat="1" applyFont="1" applyBorder="1" applyAlignment="1">
      <alignment horizontal="center" vertical="center"/>
    </xf>
    <xf numFmtId="165" fontId="35" fillId="0" borderId="156" xfId="2" applyNumberFormat="1" applyFont="1" applyBorder="1" applyAlignment="1">
      <alignment horizontal="center" vertical="center"/>
    </xf>
    <xf numFmtId="165" fontId="35" fillId="0" borderId="157" xfId="2" applyNumberFormat="1" applyFont="1" applyBorder="1" applyAlignment="1">
      <alignment horizontal="center" vertical="center"/>
    </xf>
    <xf numFmtId="165" fontId="35" fillId="0" borderId="157" xfId="2" quotePrefix="1" applyNumberFormat="1" applyFont="1" applyBorder="1" applyAlignment="1">
      <alignment horizontal="center" vertical="center"/>
    </xf>
    <xf numFmtId="165" fontId="35" fillId="0" borderId="158" xfId="2" applyNumberFormat="1" applyFont="1" applyBorder="1" applyAlignment="1">
      <alignment horizontal="center" vertical="center"/>
    </xf>
    <xf numFmtId="165" fontId="35" fillId="0" borderId="159" xfId="2" applyNumberFormat="1" applyFont="1" applyBorder="1" applyAlignment="1">
      <alignment horizontal="center" vertical="center"/>
    </xf>
    <xf numFmtId="165" fontId="47" fillId="3" borderId="67" xfId="2" applyNumberFormat="1" applyFont="1" applyFill="1" applyBorder="1" applyAlignment="1">
      <alignment horizontal="center" vertical="center" wrapText="1"/>
    </xf>
    <xf numFmtId="165" fontId="47" fillId="0" borderId="160" xfId="2" applyNumberFormat="1" applyFont="1" applyFill="1" applyBorder="1" applyAlignment="1">
      <alignment horizontal="center" vertical="center" wrapText="1"/>
    </xf>
    <xf numFmtId="165" fontId="35" fillId="0" borderId="156" xfId="2" applyNumberFormat="1" applyFont="1" applyFill="1" applyBorder="1" applyAlignment="1">
      <alignment horizontal="center" vertical="center"/>
    </xf>
    <xf numFmtId="165" fontId="47" fillId="3" borderId="158" xfId="2" applyNumberFormat="1" applyFont="1" applyFill="1" applyBorder="1" applyAlignment="1">
      <alignment horizontal="center" vertical="center" wrapText="1"/>
    </xf>
    <xf numFmtId="3" fontId="35" fillId="0" borderId="162" xfId="0" applyNumberFormat="1" applyFont="1" applyBorder="1" applyAlignment="1">
      <alignment horizontal="right" vertical="center"/>
    </xf>
    <xf numFmtId="3" fontId="35" fillId="0" borderId="163" xfId="0" applyNumberFormat="1" applyFont="1" applyBorder="1" applyAlignment="1">
      <alignment horizontal="right" vertical="center"/>
    </xf>
    <xf numFmtId="3" fontId="47" fillId="3" borderId="137" xfId="0" applyNumberFormat="1" applyFont="1" applyFill="1" applyBorder="1" applyAlignment="1">
      <alignment horizontal="right" vertical="center" wrapText="1"/>
    </xf>
    <xf numFmtId="3" fontId="35" fillId="0" borderId="150" xfId="2" applyNumberFormat="1" applyFont="1" applyBorder="1" applyAlignment="1">
      <alignment horizontal="right" vertical="center"/>
    </xf>
    <xf numFmtId="3" fontId="47" fillId="3" borderId="163" xfId="0" applyNumberFormat="1" applyFont="1" applyFill="1" applyBorder="1" applyAlignment="1">
      <alignment horizontal="right" vertical="center" wrapText="1"/>
    </xf>
    <xf numFmtId="165" fontId="37" fillId="2" borderId="164" xfId="2" applyNumberFormat="1" applyFont="1" applyFill="1" applyBorder="1" applyAlignment="1">
      <alignment horizontal="center" vertical="center" wrapText="1"/>
    </xf>
    <xf numFmtId="3" fontId="37" fillId="2" borderId="161" xfId="0" applyNumberFormat="1" applyFont="1" applyFill="1" applyBorder="1" applyAlignment="1">
      <alignment horizontal="right" vertical="center" wrapText="1"/>
    </xf>
    <xf numFmtId="165" fontId="37" fillId="2" borderId="165" xfId="2" applyNumberFormat="1" applyFont="1" applyFill="1" applyBorder="1" applyAlignment="1">
      <alignment horizontal="center" vertical="center" wrapText="1"/>
    </xf>
    <xf numFmtId="165" fontId="35" fillId="0" borderId="8" xfId="2" applyNumberFormat="1" applyFont="1" applyFill="1" applyBorder="1" applyAlignment="1">
      <alignment horizontal="center" vertical="center"/>
    </xf>
    <xf numFmtId="0" fontId="35" fillId="0" borderId="67" xfId="0" quotePrefix="1" applyFont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3" fontId="35" fillId="0" borderId="137" xfId="0" applyNumberFormat="1" applyFont="1" applyFill="1" applyBorder="1" applyAlignment="1">
      <alignment vertical="center"/>
    </xf>
    <xf numFmtId="3" fontId="35" fillId="0" borderId="138" xfId="0" applyNumberFormat="1" applyFont="1" applyFill="1" applyBorder="1" applyAlignment="1">
      <alignment vertical="center"/>
    </xf>
    <xf numFmtId="3" fontId="35" fillId="0" borderId="139" xfId="0" applyNumberFormat="1" applyFont="1" applyFill="1" applyBorder="1" applyAlignment="1">
      <alignment vertical="center"/>
    </xf>
    <xf numFmtId="4" fontId="35" fillId="0" borderId="137" xfId="0" applyNumberFormat="1" applyFont="1" applyBorder="1" applyAlignment="1">
      <alignment vertical="center"/>
    </xf>
    <xf numFmtId="3" fontId="35" fillId="0" borderId="140" xfId="0" applyNumberFormat="1" applyFont="1" applyFill="1" applyBorder="1" applyAlignment="1">
      <alignment vertical="center"/>
    </xf>
    <xf numFmtId="3" fontId="37" fillId="2" borderId="137" xfId="0" applyNumberFormat="1" applyFont="1" applyFill="1" applyBorder="1" applyAlignment="1">
      <alignment horizontal="center" vertical="center" wrapText="1"/>
    </xf>
    <xf numFmtId="3" fontId="37" fillId="2" borderId="145" xfId="0" applyNumberFormat="1" applyFont="1" applyFill="1" applyBorder="1" applyAlignment="1">
      <alignment horizontal="center" vertical="center" wrapText="1"/>
    </xf>
    <xf numFmtId="165" fontId="37" fillId="2" borderId="167" xfId="2" applyNumberFormat="1" applyFont="1" applyFill="1" applyBorder="1" applyAlignment="1">
      <alignment horizontal="center" vertical="center" wrapText="1"/>
    </xf>
    <xf numFmtId="3" fontId="41" fillId="0" borderId="137" xfId="304" applyNumberFormat="1" applyFont="1" applyBorder="1" applyAlignment="1">
      <alignment horizontal="right" vertical="center"/>
    </xf>
    <xf numFmtId="0" fontId="35" fillId="0" borderId="169" xfId="0" quotePrefix="1" applyFont="1" applyBorder="1" applyAlignment="1">
      <alignment horizontal="center" vertical="center"/>
    </xf>
    <xf numFmtId="0" fontId="31" fillId="2" borderId="169" xfId="0" applyFont="1" applyFill="1" applyBorder="1" applyAlignment="1">
      <alignment horizontal="center" vertical="center" wrapText="1"/>
    </xf>
    <xf numFmtId="165" fontId="35" fillId="0" borderId="122" xfId="2" applyNumberFormat="1" applyFont="1" applyBorder="1" applyAlignment="1">
      <alignment horizontal="center" vertical="center"/>
    </xf>
    <xf numFmtId="165" fontId="35" fillId="0" borderId="170" xfId="2" applyNumberFormat="1" applyFont="1" applyBorder="1" applyAlignment="1">
      <alignment horizontal="center" vertical="center"/>
    </xf>
    <xf numFmtId="165" fontId="35" fillId="0" borderId="171" xfId="2" applyNumberFormat="1" applyFont="1" applyBorder="1" applyAlignment="1">
      <alignment horizontal="center" vertical="center"/>
    </xf>
    <xf numFmtId="165" fontId="35" fillId="0" borderId="172" xfId="2" applyNumberFormat="1" applyFont="1" applyBorder="1" applyAlignment="1">
      <alignment horizontal="center" vertical="center"/>
    </xf>
    <xf numFmtId="165" fontId="37" fillId="2" borderId="169" xfId="2" applyNumberFormat="1" applyFont="1" applyFill="1" applyBorder="1" applyAlignment="1">
      <alignment horizontal="center" vertical="center" wrapText="1"/>
    </xf>
    <xf numFmtId="165" fontId="37" fillId="2" borderId="173" xfId="2" applyNumberFormat="1" applyFont="1" applyFill="1" applyBorder="1" applyAlignment="1">
      <alignment horizontal="center" vertical="center" wrapText="1"/>
    </xf>
    <xf numFmtId="3" fontId="31" fillId="2" borderId="137" xfId="0" applyNumberFormat="1" applyFont="1" applyFill="1" applyBorder="1" applyAlignment="1">
      <alignment horizontal="center" vertical="center" wrapText="1"/>
    </xf>
    <xf numFmtId="3" fontId="35" fillId="0" borderId="138" xfId="0" applyNumberFormat="1" applyFont="1" applyBorder="1" applyAlignment="1">
      <alignment horizontal="center" vertical="center"/>
    </xf>
    <xf numFmtId="3" fontId="35" fillId="0" borderId="140" xfId="0" applyNumberFormat="1" applyFont="1" applyBorder="1" applyAlignment="1">
      <alignment horizontal="center" vertical="center"/>
    </xf>
    <xf numFmtId="3" fontId="35" fillId="0" borderId="137" xfId="0" applyNumberFormat="1" applyFont="1" applyBorder="1" applyAlignment="1">
      <alignment horizontal="center" vertical="center"/>
    </xf>
    <xf numFmtId="3" fontId="35" fillId="0" borderId="174" xfId="0" applyNumberFormat="1" applyFont="1" applyBorder="1" applyAlignment="1">
      <alignment vertical="center"/>
    </xf>
    <xf numFmtId="165" fontId="37" fillId="2" borderId="6" xfId="2" applyNumberFormat="1" applyFont="1" applyFill="1" applyBorder="1" applyAlignment="1">
      <alignment horizontal="center" vertical="center" wrapText="1"/>
    </xf>
    <xf numFmtId="165" fontId="35" fillId="0" borderId="160" xfId="2" applyNumberFormat="1" applyFont="1" applyBorder="1" applyAlignment="1">
      <alignment horizontal="center" vertical="center"/>
    </xf>
    <xf numFmtId="0" fontId="35" fillId="0" borderId="35" xfId="0" quotePrefix="1" applyFont="1" applyBorder="1" applyAlignment="1">
      <alignment horizontal="center" vertical="center"/>
    </xf>
    <xf numFmtId="0" fontId="37" fillId="2" borderId="116" xfId="0" applyFont="1" applyFill="1" applyBorder="1" applyAlignment="1">
      <alignment horizontal="center" vertical="center" wrapText="1"/>
    </xf>
    <xf numFmtId="165" fontId="37" fillId="2" borderId="164" xfId="2" quotePrefix="1" applyNumberFormat="1" applyFont="1" applyFill="1" applyBorder="1" applyAlignment="1">
      <alignment horizontal="center" vertical="center" wrapText="1"/>
    </xf>
    <xf numFmtId="165" fontId="37" fillId="2" borderId="175" xfId="2" applyNumberFormat="1" applyFont="1" applyFill="1" applyBorder="1" applyAlignment="1">
      <alignment horizontal="center" vertical="center" wrapText="1"/>
    </xf>
    <xf numFmtId="0" fontId="37" fillId="2" borderId="175" xfId="0" quotePrefix="1" applyFont="1" applyFill="1" applyBorder="1" applyAlignment="1">
      <alignment horizontal="center" vertical="center" wrapText="1"/>
    </xf>
    <xf numFmtId="165" fontId="35" fillId="0" borderId="0" xfId="0" quotePrefix="1" applyNumberFormat="1" applyFont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 wrapText="1"/>
    </xf>
    <xf numFmtId="165" fontId="35" fillId="0" borderId="176" xfId="2" applyNumberFormat="1" applyFont="1" applyBorder="1" applyAlignment="1">
      <alignment horizontal="center" vertical="center"/>
    </xf>
    <xf numFmtId="165" fontId="35" fillId="0" borderId="177" xfId="2" applyNumberFormat="1" applyFont="1" applyBorder="1" applyAlignment="1">
      <alignment horizontal="center" vertical="center"/>
    </xf>
    <xf numFmtId="165" fontId="37" fillId="2" borderId="178" xfId="2" applyNumberFormat="1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shrinkToFit="1"/>
    </xf>
    <xf numFmtId="3" fontId="35" fillId="0" borderId="35" xfId="0" applyNumberFormat="1" applyFont="1" applyFill="1" applyBorder="1" applyAlignment="1">
      <alignment vertical="center"/>
    </xf>
    <xf numFmtId="3" fontId="35" fillId="0" borderId="50" xfId="0" applyNumberFormat="1" applyFont="1" applyFill="1" applyBorder="1" applyAlignment="1">
      <alignment vertical="center"/>
    </xf>
    <xf numFmtId="3" fontId="35" fillId="0" borderId="52" xfId="0" applyNumberFormat="1" applyFont="1" applyFill="1" applyBorder="1" applyAlignment="1">
      <alignment vertical="center"/>
    </xf>
    <xf numFmtId="4" fontId="35" fillId="0" borderId="35" xfId="0" applyNumberFormat="1" applyFont="1" applyBorder="1" applyAlignment="1">
      <alignment vertical="center"/>
    </xf>
    <xf numFmtId="3" fontId="35" fillId="0" borderId="54" xfId="0" applyNumberFormat="1" applyFont="1" applyFill="1" applyBorder="1" applyAlignment="1">
      <alignment vertical="center"/>
    </xf>
    <xf numFmtId="165" fontId="41" fillId="0" borderId="0" xfId="2" applyNumberFormat="1" applyFont="1" applyBorder="1" applyAlignment="1">
      <alignment horizontal="center" vertical="center"/>
    </xf>
    <xf numFmtId="165" fontId="41" fillId="0" borderId="22" xfId="2" applyNumberFormat="1" applyFont="1" applyBorder="1" applyAlignment="1">
      <alignment horizontal="center" vertical="center"/>
    </xf>
    <xf numFmtId="3" fontId="41" fillId="0" borderId="21" xfId="0" applyNumberFormat="1" applyFont="1" applyBorder="1" applyAlignment="1">
      <alignment horizontal="right" vertical="center"/>
    </xf>
    <xf numFmtId="3" fontId="41" fillId="0" borderId="19" xfId="0" applyNumberFormat="1" applyFont="1" applyBorder="1" applyAlignment="1">
      <alignment horizontal="right" vertical="center"/>
    </xf>
    <xf numFmtId="165" fontId="41" fillId="0" borderId="95" xfId="2" quotePrefix="1" applyNumberFormat="1" applyFont="1" applyBorder="1" applyAlignment="1">
      <alignment horizontal="center" vertical="center"/>
    </xf>
    <xf numFmtId="3" fontId="41" fillId="0" borderId="20" xfId="0" applyNumberFormat="1" applyFont="1" applyBorder="1" applyAlignment="1">
      <alignment horizontal="right" vertical="center"/>
    </xf>
    <xf numFmtId="165" fontId="41" fillId="0" borderId="67" xfId="2" applyNumberFormat="1" applyFont="1" applyFill="1" applyBorder="1" applyAlignment="1">
      <alignment horizontal="center" vertical="center" wrapText="1"/>
    </xf>
    <xf numFmtId="3" fontId="35" fillId="0" borderId="105" xfId="0" applyNumberFormat="1" applyFont="1" applyBorder="1" applyAlignment="1">
      <alignment vertical="center"/>
    </xf>
    <xf numFmtId="0" fontId="34" fillId="0" borderId="106" xfId="0" applyFont="1" applyBorder="1" applyAlignment="1">
      <alignment vertical="center"/>
    </xf>
    <xf numFmtId="3" fontId="35" fillId="0" borderId="104" xfId="0" applyNumberFormat="1" applyFont="1" applyFill="1" applyBorder="1" applyAlignment="1">
      <alignment vertical="center"/>
    </xf>
    <xf numFmtId="3" fontId="35" fillId="0" borderId="174" xfId="0" applyNumberFormat="1" applyFont="1" applyFill="1" applyBorder="1" applyAlignment="1">
      <alignment vertical="center"/>
    </xf>
    <xf numFmtId="165" fontId="35" fillId="0" borderId="128" xfId="2" quotePrefix="1" applyNumberFormat="1" applyFont="1" applyBorder="1" applyAlignment="1">
      <alignment horizontal="center" vertical="center"/>
    </xf>
    <xf numFmtId="164" fontId="35" fillId="0" borderId="106" xfId="0" quotePrefix="1" applyNumberFormat="1" applyFont="1" applyBorder="1" applyAlignment="1">
      <alignment horizontal="center" vertical="center"/>
    </xf>
    <xf numFmtId="165" fontId="35" fillId="0" borderId="103" xfId="2" quotePrefix="1" applyNumberFormat="1" applyFont="1" applyBorder="1" applyAlignment="1">
      <alignment horizontal="center" vertical="center"/>
    </xf>
    <xf numFmtId="0" fontId="34" fillId="0" borderId="103" xfId="0" applyFont="1" applyBorder="1" applyAlignment="1">
      <alignment vertical="center"/>
    </xf>
    <xf numFmtId="164" fontId="35" fillId="0" borderId="106" xfId="0" quotePrefix="1" applyNumberFormat="1" applyFont="1" applyFill="1" applyBorder="1" applyAlignment="1">
      <alignment horizontal="center" vertical="center"/>
    </xf>
    <xf numFmtId="165" fontId="35" fillId="0" borderId="179" xfId="2" applyNumberFormat="1" applyFont="1" applyBorder="1" applyAlignment="1">
      <alignment horizontal="center" vertical="center"/>
    </xf>
    <xf numFmtId="0" fontId="30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5" fillId="0" borderId="181" xfId="2" quotePrefix="1" applyNumberFormat="1" applyFont="1" applyBorder="1" applyAlignment="1">
      <alignment horizontal="center" vertical="center"/>
    </xf>
    <xf numFmtId="3" fontId="35" fillId="0" borderId="181" xfId="0" quotePrefix="1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vertical="center"/>
    </xf>
    <xf numFmtId="0" fontId="34" fillId="0" borderId="181" xfId="0" applyFont="1" applyBorder="1" applyAlignment="1">
      <alignment vertical="center"/>
    </xf>
    <xf numFmtId="3" fontId="35" fillId="0" borderId="180" xfId="0" applyNumberFormat="1" applyFont="1" applyBorder="1" applyAlignment="1">
      <alignment vertical="center"/>
    </xf>
    <xf numFmtId="165" fontId="35" fillId="0" borderId="182" xfId="2" applyNumberFormat="1" applyFont="1" applyBorder="1" applyAlignment="1">
      <alignment horizontal="center" vertical="center"/>
    </xf>
    <xf numFmtId="0" fontId="32" fillId="2" borderId="0" xfId="0" applyFont="1" applyFill="1" applyBorder="1"/>
    <xf numFmtId="3" fontId="35" fillId="0" borderId="181" xfId="0" quotePrefix="1" applyNumberFormat="1" applyFont="1" applyBorder="1" applyAlignment="1">
      <alignment horizontal="right" vertical="center"/>
    </xf>
    <xf numFmtId="165" fontId="37" fillId="2" borderId="28" xfId="2" quotePrefix="1" applyNumberFormat="1" applyFont="1" applyFill="1" applyBorder="1" applyAlignment="1">
      <alignment horizontal="center" vertical="center" wrapText="1"/>
    </xf>
    <xf numFmtId="3" fontId="35" fillId="0" borderId="19" xfId="0" applyNumberFormat="1" applyFont="1" applyFill="1" applyBorder="1" applyAlignment="1">
      <alignment horizontal="right" vertical="center"/>
    </xf>
    <xf numFmtId="165" fontId="35" fillId="0" borderId="143" xfId="2" quotePrefix="1" applyNumberFormat="1" applyFont="1" applyBorder="1" applyAlignment="1">
      <alignment horizontal="center" vertical="center"/>
    </xf>
    <xf numFmtId="165" fontId="35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5" fillId="0" borderId="0" xfId="0" applyNumberFormat="1" applyFont="1" applyAlignment="1">
      <alignment horizontal="center"/>
    </xf>
    <xf numFmtId="10" fontId="0" fillId="0" borderId="0" xfId="0" applyNumberFormat="1"/>
    <xf numFmtId="3" fontId="35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5" fillId="0" borderId="139" xfId="0" quotePrefix="1" applyNumberFormat="1" applyFont="1" applyFill="1" applyBorder="1" applyAlignment="1">
      <alignment horizontal="right" vertical="center"/>
    </xf>
    <xf numFmtId="165" fontId="35" fillId="0" borderId="187" xfId="2" applyNumberFormat="1" applyFont="1" applyBorder="1" applyAlignment="1">
      <alignment horizontal="center" vertical="center"/>
    </xf>
    <xf numFmtId="0" fontId="35" fillId="0" borderId="186" xfId="0" applyFont="1" applyBorder="1" applyAlignment="1">
      <alignment horizontal="center" vertical="center"/>
    </xf>
    <xf numFmtId="3" fontId="35" fillId="0" borderId="193" xfId="0" applyNumberFormat="1" applyFont="1" applyBorder="1" applyAlignment="1">
      <alignment vertical="center"/>
    </xf>
    <xf numFmtId="3" fontId="35" fillId="0" borderId="94" xfId="0" applyNumberFormat="1" applyFont="1" applyBorder="1" applyAlignment="1">
      <alignment vertical="center"/>
    </xf>
    <xf numFmtId="3" fontId="35" fillId="0" borderId="192" xfId="0" applyNumberFormat="1" applyFont="1" applyBorder="1" applyAlignment="1">
      <alignment vertical="center"/>
    </xf>
    <xf numFmtId="3" fontId="35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5" fillId="0" borderId="6" xfId="0" quotePrefix="1" applyNumberFormat="1" applyFont="1" applyFill="1" applyBorder="1" applyAlignment="1">
      <alignment horizontal="center" vertical="center"/>
    </xf>
    <xf numFmtId="3" fontId="37" fillId="2" borderId="194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horizontal="center"/>
    </xf>
    <xf numFmtId="3" fontId="97" fillId="0" borderId="196" xfId="0" applyNumberFormat="1" applyFont="1" applyFill="1" applyBorder="1" applyAlignment="1">
      <alignment vertical="center"/>
    </xf>
    <xf numFmtId="3" fontId="97" fillId="0" borderId="197" xfId="0" applyNumberFormat="1" applyFont="1" applyFill="1" applyBorder="1" applyAlignment="1">
      <alignment horizontal="right" vertical="center"/>
    </xf>
    <xf numFmtId="3" fontId="97" fillId="0" borderId="196" xfId="0" applyNumberFormat="1" applyFont="1" applyFill="1" applyBorder="1" applyAlignment="1">
      <alignment horizontal="right" vertical="center"/>
    </xf>
    <xf numFmtId="3" fontId="98" fillId="35" borderId="0" xfId="0" applyNumberFormat="1" applyFont="1" applyFill="1" applyBorder="1" applyAlignment="1">
      <alignment horizontal="right" vertical="center" wrapText="1"/>
    </xf>
    <xf numFmtId="3" fontId="97" fillId="0" borderId="195" xfId="0" applyNumberFormat="1" applyFont="1" applyFill="1" applyBorder="1" applyAlignment="1">
      <alignment vertical="center"/>
    </xf>
    <xf numFmtId="3" fontId="97" fillId="0" borderId="197" xfId="0" applyNumberFormat="1" applyFont="1" applyFill="1" applyBorder="1" applyAlignment="1">
      <alignment vertical="center"/>
    </xf>
    <xf numFmtId="3" fontId="98" fillId="35" borderId="198" xfId="0" applyNumberFormat="1" applyFont="1" applyFill="1" applyBorder="1" applyAlignment="1">
      <alignment horizontal="right" vertical="center" wrapText="1"/>
    </xf>
    <xf numFmtId="9" fontId="41" fillId="0" borderId="82" xfId="2" quotePrefix="1" applyNumberFormat="1" applyFont="1" applyBorder="1" applyAlignment="1">
      <alignment horizontal="center" vertical="center"/>
    </xf>
    <xf numFmtId="165" fontId="41" fillId="0" borderId="51" xfId="2" quotePrefix="1" applyNumberFormat="1" applyFont="1" applyFill="1" applyBorder="1" applyAlignment="1">
      <alignment horizontal="center" vertical="center"/>
    </xf>
    <xf numFmtId="165" fontId="41" fillId="0" borderId="89" xfId="2" quotePrefix="1" applyNumberFormat="1" applyFont="1" applyBorder="1" applyAlignment="1">
      <alignment horizontal="center" vertical="center"/>
    </xf>
    <xf numFmtId="165" fontId="41" fillId="0" borderId="91" xfId="2" quotePrefix="1" applyNumberFormat="1" applyFont="1" applyBorder="1" applyAlignment="1">
      <alignment horizontal="center" vertical="center"/>
    </xf>
    <xf numFmtId="3" fontId="37" fillId="2" borderId="96" xfId="0" applyNumberFormat="1" applyFont="1" applyFill="1" applyBorder="1" applyAlignment="1">
      <alignment horizontal="center" vertical="center" wrapText="1"/>
    </xf>
    <xf numFmtId="3" fontId="37" fillId="2" borderId="21" xfId="0" applyNumberFormat="1" applyFont="1" applyFill="1" applyBorder="1" applyAlignment="1">
      <alignment horizontal="center" vertical="center" wrapText="1"/>
    </xf>
    <xf numFmtId="3" fontId="35" fillId="0" borderId="139" xfId="0" applyNumberFormat="1" applyFont="1" applyFill="1" applyBorder="1" applyAlignment="1">
      <alignment horizontal="right" vertical="center"/>
    </xf>
    <xf numFmtId="2" fontId="41" fillId="0" borderId="0" xfId="304" applyNumberFormat="1" applyFont="1" applyAlignment="1">
      <alignment horizontal="right" vertical="center"/>
    </xf>
    <xf numFmtId="164" fontId="35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8" fillId="0" borderId="0" xfId="11" applyFont="1"/>
    <xf numFmtId="165" fontId="35" fillId="0" borderId="6" xfId="0" quotePrefix="1" applyNumberFormat="1" applyFont="1" applyBorder="1" applyAlignment="1">
      <alignment horizontal="center" vertical="center"/>
    </xf>
    <xf numFmtId="165" fontId="35" fillId="0" borderId="9" xfId="0" quotePrefix="1" applyNumberFormat="1" applyFont="1" applyBorder="1" applyAlignment="1">
      <alignment horizontal="center" vertical="center"/>
    </xf>
    <xf numFmtId="165" fontId="37" fillId="2" borderId="0" xfId="0" quotePrefix="1" applyNumberFormat="1" applyFont="1" applyFill="1" applyBorder="1" applyAlignment="1">
      <alignment horizontal="center" vertical="center" wrapText="1"/>
    </xf>
    <xf numFmtId="165" fontId="37" fillId="2" borderId="6" xfId="2" applyNumberFormat="1" applyFont="1" applyFill="1" applyBorder="1" applyAlignment="1">
      <alignment horizontal="center" vertical="center"/>
    </xf>
    <xf numFmtId="165" fontId="35" fillId="0" borderId="199" xfId="2" applyNumberFormat="1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5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7" fillId="2" borderId="48" xfId="0" applyNumberFormat="1" applyFont="1" applyFill="1" applyBorder="1" applyAlignment="1">
      <alignment horizontal="center" vertical="center" wrapText="1"/>
    </xf>
    <xf numFmtId="3" fontId="41" fillId="0" borderId="71" xfId="0" applyNumberFormat="1" applyFont="1" applyFill="1" applyBorder="1" applyAlignment="1">
      <alignment horizontal="right" vertical="center"/>
    </xf>
    <xf numFmtId="165" fontId="41" fillId="0" borderId="12" xfId="2" quotePrefix="1" applyNumberFormat="1" applyFont="1" applyFill="1" applyBorder="1" applyAlignment="1">
      <alignment horizontal="center" vertical="center"/>
    </xf>
    <xf numFmtId="165" fontId="41" fillId="0" borderId="73" xfId="2" quotePrefix="1" applyNumberFormat="1" applyFont="1" applyFill="1" applyBorder="1" applyAlignment="1">
      <alignment horizontal="center" vertical="center"/>
    </xf>
    <xf numFmtId="165" fontId="41" fillId="0" borderId="73" xfId="2" quotePrefix="1" applyNumberFormat="1" applyFont="1" applyBorder="1" applyAlignment="1">
      <alignment horizontal="center" vertical="center"/>
    </xf>
    <xf numFmtId="3" fontId="41" fillId="0" borderId="72" xfId="0" applyNumberFormat="1" applyFont="1" applyFill="1" applyBorder="1" applyAlignment="1">
      <alignment horizontal="right" vertical="center"/>
    </xf>
    <xf numFmtId="3" fontId="41" fillId="0" borderId="14" xfId="0" applyNumberFormat="1" applyFont="1" applyFill="1" applyBorder="1" applyAlignment="1">
      <alignment horizontal="right" vertical="center"/>
    </xf>
    <xf numFmtId="165" fontId="41" fillId="0" borderId="74" xfId="2" quotePrefix="1" applyNumberFormat="1" applyFont="1" applyBorder="1" applyAlignment="1">
      <alignment horizontal="center" vertical="center"/>
    </xf>
    <xf numFmtId="165" fontId="41" fillId="0" borderId="14" xfId="2" quotePrefix="1" applyNumberFormat="1" applyFont="1" applyFill="1" applyBorder="1" applyAlignment="1">
      <alignment horizontal="center" vertical="center"/>
    </xf>
    <xf numFmtId="165" fontId="41" fillId="0" borderId="74" xfId="2" quotePrefix="1" applyNumberFormat="1" applyFont="1" applyFill="1" applyBorder="1" applyAlignment="1">
      <alignment horizontal="center" vertical="center"/>
    </xf>
    <xf numFmtId="3" fontId="37" fillId="2" borderId="6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horizontal="right" vertical="center"/>
    </xf>
    <xf numFmtId="9" fontId="35" fillId="0" borderId="9" xfId="0" quotePrefix="1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129" xfId="0" quotePrefix="1" applyFont="1" applyFill="1" applyBorder="1" applyAlignment="1">
      <alignment horizontal="center"/>
    </xf>
    <xf numFmtId="0" fontId="36" fillId="0" borderId="39" xfId="0" applyFont="1" applyFill="1" applyBorder="1" applyAlignment="1">
      <alignment horizontal="center"/>
    </xf>
    <xf numFmtId="17" fontId="40" fillId="0" borderId="33" xfId="0" quotePrefix="1" applyNumberFormat="1" applyFont="1" applyFill="1" applyBorder="1" applyAlignment="1">
      <alignment horizontal="center"/>
    </xf>
    <xf numFmtId="17" fontId="40" fillId="0" borderId="49" xfId="0" quotePrefix="1" applyNumberFormat="1" applyFont="1" applyFill="1" applyBorder="1" applyAlignment="1">
      <alignment horizontal="center"/>
    </xf>
    <xf numFmtId="0" fontId="40" fillId="0" borderId="49" xfId="0" applyFont="1" applyFill="1" applyBorder="1" applyAlignment="1">
      <alignment horizontal="center"/>
    </xf>
    <xf numFmtId="0" fontId="40" fillId="0" borderId="34" xfId="0" applyFont="1" applyFill="1" applyBorder="1" applyAlignment="1">
      <alignment horizontal="center"/>
    </xf>
    <xf numFmtId="0" fontId="36" fillId="0" borderId="47" xfId="0" quotePrefix="1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17" fontId="36" fillId="0" borderId="47" xfId="0" quotePrefix="1" applyNumberFormat="1" applyFont="1" applyBorder="1" applyAlignment="1">
      <alignment horizontal="center"/>
    </xf>
    <xf numFmtId="17" fontId="40" fillId="0" borderId="33" xfId="0" quotePrefix="1" applyNumberFormat="1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33" xfId="0" quotePrefix="1" applyFont="1" applyBorder="1" applyAlignment="1">
      <alignment horizontal="center"/>
    </xf>
    <xf numFmtId="0" fontId="36" fillId="0" borderId="29" xfId="0" quotePrefix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40" fillId="0" borderId="33" xfId="0" quotePrefix="1" applyNumberFormat="1" applyFont="1" applyBorder="1" applyAlignment="1">
      <alignment horizontal="center"/>
    </xf>
    <xf numFmtId="0" fontId="40" fillId="0" borderId="49" xfId="0" applyNumberFormat="1" applyFont="1" applyBorder="1" applyAlignment="1">
      <alignment horizontal="center"/>
    </xf>
    <xf numFmtId="0" fontId="40" fillId="0" borderId="34" xfId="0" applyNumberFormat="1" applyFont="1" applyBorder="1" applyAlignment="1">
      <alignment horizontal="center"/>
    </xf>
    <xf numFmtId="17" fontId="36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6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50" fillId="0" borderId="0" xfId="1" applyFont="1" applyAlignment="1">
      <alignment wrapText="1"/>
    </xf>
    <xf numFmtId="0" fontId="35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40" fillId="0" borderId="188" xfId="0" quotePrefix="1" applyNumberFormat="1" applyFont="1" applyBorder="1" applyAlignment="1">
      <alignment horizontal="center"/>
    </xf>
    <xf numFmtId="17" fontId="40" fillId="0" borderId="189" xfId="0" quotePrefix="1" applyNumberFormat="1" applyFont="1" applyBorder="1" applyAlignment="1">
      <alignment horizontal="center"/>
    </xf>
    <xf numFmtId="17" fontId="40" fillId="0" borderId="49" xfId="0" quotePrefix="1" applyNumberFormat="1" applyFont="1" applyBorder="1" applyAlignment="1">
      <alignment horizontal="center"/>
    </xf>
    <xf numFmtId="17" fontId="40" fillId="0" borderId="190" xfId="0" quotePrefix="1" applyNumberFormat="1" applyFont="1" applyBorder="1" applyAlignment="1">
      <alignment horizontal="center"/>
    </xf>
    <xf numFmtId="17" fontId="36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30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3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3" fillId="0" borderId="0" xfId="1" applyFont="1" applyAlignment="1"/>
    <xf numFmtId="0" fontId="0" fillId="0" borderId="0" xfId="0" applyAlignment="1"/>
    <xf numFmtId="0" fontId="36" fillId="0" borderId="49" xfId="0" quotePrefix="1" applyFont="1" applyBorder="1" applyAlignment="1">
      <alignment horizontal="center"/>
    </xf>
    <xf numFmtId="0" fontId="36" fillId="0" borderId="166" xfId="0" quotePrefix="1" applyFont="1" applyBorder="1" applyAlignment="1">
      <alignment horizontal="center"/>
    </xf>
  </cellXfs>
  <cellStyles count="54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AGOST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0.54932260692095858</c:v>
                </c:pt>
                <c:pt idx="1">
                  <c:v>0.53740961695096146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0.42932519508354772</c:v>
                </c:pt>
                <c:pt idx="1">
                  <c:v>0.33297981594981124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0.88595480745385169</c:v>
                </c:pt>
                <c:pt idx="1">
                  <c:v>0.35505903315389226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0.55500000000000005</c:v>
                </c:pt>
                <c:pt idx="1">
                  <c:v>0.49525589775092588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48816256"/>
        <c:axId val="448817792"/>
      </c:barChart>
      <c:catAx>
        <c:axId val="4488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448817792"/>
        <c:crosses val="autoZero"/>
        <c:auto val="1"/>
        <c:lblAlgn val="ctr"/>
        <c:lblOffset val="100"/>
        <c:noMultiLvlLbl val="0"/>
      </c:catAx>
      <c:valAx>
        <c:axId val="44881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816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0.53740961695096146</c:v>
                </c:pt>
                <c:pt idx="1">
                  <c:v>0.33297981594981124</c:v>
                </c:pt>
                <c:pt idx="2">
                  <c:v>0.35505903315389226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999936"/>
        <c:axId val="441002624"/>
      </c:barChart>
      <c:catAx>
        <c:axId val="44099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1002624"/>
        <c:crosses val="autoZero"/>
        <c:auto val="1"/>
        <c:lblAlgn val="ctr"/>
        <c:lblOffset val="100"/>
        <c:noMultiLvlLbl val="0"/>
      </c:catAx>
      <c:valAx>
        <c:axId val="44100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9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0.44433293896413217</c:v>
                </c:pt>
                <c:pt idx="1">
                  <c:v>0.81771145140112012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239936"/>
        <c:axId val="497241472"/>
      </c:barChart>
      <c:catAx>
        <c:axId val="49723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7241472"/>
        <c:crosses val="autoZero"/>
        <c:auto val="1"/>
        <c:lblAlgn val="ctr"/>
        <c:lblOffset val="100"/>
        <c:noMultiLvlLbl val="0"/>
      </c:catAx>
      <c:valAx>
        <c:axId val="49724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23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5.1510982198941679E-2</c:v>
                </c:pt>
                <c:pt idx="1">
                  <c:v>0.26250244246037235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274880"/>
        <c:axId val="497276416"/>
      </c:barChart>
      <c:catAx>
        <c:axId val="49727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7276416"/>
        <c:crosses val="autoZero"/>
        <c:auto val="1"/>
        <c:lblAlgn val="ctr"/>
        <c:lblOffset val="100"/>
        <c:noMultiLvlLbl val="0"/>
      </c:catAx>
      <c:valAx>
        <c:axId val="49727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2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4.4532128908740969E-2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487360"/>
        <c:axId val="487488896"/>
      </c:barChart>
      <c:catAx>
        <c:axId val="48748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488896"/>
        <c:crosses val="autoZero"/>
        <c:auto val="1"/>
        <c:lblAlgn val="ctr"/>
        <c:lblOffset val="100"/>
        <c:noMultiLvlLbl val="0"/>
      </c:catAx>
      <c:valAx>
        <c:axId val="48748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4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2920668435998572E-3"/>
                  <c:y val="0.2954118510247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-0.42484169938380378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504128"/>
        <c:axId val="487519360"/>
      </c:barChart>
      <c:catAx>
        <c:axId val="4875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519360"/>
        <c:crosses val="autoZero"/>
        <c:auto val="1"/>
        <c:lblAlgn val="ctr"/>
        <c:lblOffset val="100"/>
        <c:noMultiLvlLbl val="0"/>
      </c:catAx>
      <c:valAx>
        <c:axId val="48751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5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0.44763146512901858</c:v>
                </c:pt>
                <c:pt idx="1">
                  <c:v>0.61747161727709421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448256"/>
        <c:axId val="498449792"/>
      </c:barChart>
      <c:catAx>
        <c:axId val="49844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449792"/>
        <c:crosses val="autoZero"/>
        <c:auto val="1"/>
        <c:lblAlgn val="ctr"/>
        <c:lblOffset val="100"/>
        <c:noMultiLvlLbl val="0"/>
      </c:catAx>
      <c:valAx>
        <c:axId val="49844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4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918082865340148E-3"/>
                  <c:y val="0.22419149747339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5.558469807362032E-2</c:v>
                </c:pt>
                <c:pt idx="1">
                  <c:v>-1.7123460354161013E-2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473216"/>
        <c:axId val="498480256"/>
      </c:barChart>
      <c:catAx>
        <c:axId val="49847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480256"/>
        <c:crosses val="autoZero"/>
        <c:auto val="1"/>
        <c:lblAlgn val="ctr"/>
        <c:lblOffset val="100"/>
        <c:noMultiLvlLbl val="0"/>
      </c:catAx>
      <c:valAx>
        <c:axId val="49848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47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0.42783566668796952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517504"/>
        <c:axId val="498519040"/>
      </c:barChart>
      <c:catAx>
        <c:axId val="49851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519040"/>
        <c:crosses val="autoZero"/>
        <c:auto val="1"/>
        <c:lblAlgn val="ctr"/>
        <c:lblOffset val="100"/>
        <c:noMultiLvlLbl val="0"/>
      </c:catAx>
      <c:valAx>
        <c:axId val="498519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5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9153038562487379E-3"/>
                  <c:y val="-1.039325780479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1.4881725591058061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554752"/>
        <c:axId val="498561792"/>
      </c:barChart>
      <c:catAx>
        <c:axId val="49855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561792"/>
        <c:crosses val="autoZero"/>
        <c:auto val="1"/>
        <c:lblAlgn val="ctr"/>
        <c:lblOffset val="100"/>
        <c:noMultiLvlLbl val="0"/>
      </c:catAx>
      <c:valAx>
        <c:axId val="49856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5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0.42245769904596475</c:v>
                </c:pt>
                <c:pt idx="1">
                  <c:v>0.64951622948781851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636288"/>
        <c:axId val="498637824"/>
      </c:barChart>
      <c:catAx>
        <c:axId val="498636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637824"/>
        <c:crosses val="autoZero"/>
        <c:auto val="1"/>
        <c:lblAlgn val="ctr"/>
        <c:lblOffset val="100"/>
        <c:noMultiLvlLbl val="0"/>
      </c:catAx>
      <c:valAx>
        <c:axId val="49863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63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0.15630253111593428</c:v>
                </c:pt>
                <c:pt idx="1">
                  <c:v>0.48392870260918541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653056"/>
        <c:axId val="501093120"/>
      </c:barChart>
      <c:catAx>
        <c:axId val="49865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093120"/>
        <c:crosses val="autoZero"/>
        <c:auto val="1"/>
        <c:lblAlgn val="ctr"/>
        <c:lblOffset val="100"/>
        <c:noMultiLvlLbl val="0"/>
      </c:catAx>
      <c:valAx>
        <c:axId val="50109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65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3.929097404491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4759405074364E-3"/>
                  <c:y val="-5.6164333624963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-2.062120432025627E-2</c:v>
                </c:pt>
                <c:pt idx="1">
                  <c:v>-0.16200176837478986</c:v>
                </c:pt>
                <c:pt idx="2">
                  <c:v>-0.66139145403615363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384384"/>
        <c:axId val="466399616"/>
      </c:barChart>
      <c:catAx>
        <c:axId val="46638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6399616"/>
        <c:crosses val="autoZero"/>
        <c:auto val="1"/>
        <c:lblAlgn val="ctr"/>
        <c:lblOffset val="100"/>
        <c:noMultiLvlLbl val="0"/>
      </c:catAx>
      <c:valAx>
        <c:axId val="46639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38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0.11093156136486709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134464"/>
        <c:axId val="501136000"/>
      </c:barChart>
      <c:catAx>
        <c:axId val="50113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1136000"/>
        <c:crosses val="autoZero"/>
        <c:auto val="1"/>
        <c:lblAlgn val="ctr"/>
        <c:lblOffset val="100"/>
        <c:noMultiLvlLbl val="0"/>
      </c:catAx>
      <c:valAx>
        <c:axId val="50113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13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1.5577768427627205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147136"/>
        <c:axId val="500986240"/>
      </c:barChart>
      <c:catAx>
        <c:axId val="50114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0986240"/>
        <c:crosses val="autoZero"/>
        <c:auto val="1"/>
        <c:lblAlgn val="ctr"/>
        <c:lblOffset val="100"/>
        <c:noMultiLvlLbl val="0"/>
      </c:catAx>
      <c:valAx>
        <c:axId val="50098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1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0.39782649254236502</c:v>
                </c:pt>
                <c:pt idx="1">
                  <c:v>0.90861223844332994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068928"/>
        <c:axId val="501070464"/>
      </c:barChart>
      <c:catAx>
        <c:axId val="50106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1070464"/>
        <c:crosses val="autoZero"/>
        <c:auto val="1"/>
        <c:lblAlgn val="ctr"/>
        <c:lblOffset val="100"/>
        <c:noMultiLvlLbl val="0"/>
      </c:catAx>
      <c:valAx>
        <c:axId val="50107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06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434346544669E-3"/>
                  <c:y val="0.21122240072635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-2.4138901754849451E-2</c:v>
                </c:pt>
                <c:pt idx="1">
                  <c:v>0.45330236233153176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087232"/>
        <c:axId val="494076672"/>
      </c:barChart>
      <c:catAx>
        <c:axId val="50108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4076672"/>
        <c:crosses val="autoZero"/>
        <c:auto val="1"/>
        <c:lblAlgn val="ctr"/>
        <c:lblOffset val="100"/>
        <c:noMultiLvlLbl val="0"/>
      </c:catAx>
      <c:valAx>
        <c:axId val="49407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08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0.26123015383981046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998912"/>
        <c:axId val="501000448"/>
      </c:barChart>
      <c:catAx>
        <c:axId val="5009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1000448"/>
        <c:crosses val="autoZero"/>
        <c:auto val="1"/>
        <c:lblAlgn val="ctr"/>
        <c:lblOffset val="100"/>
        <c:noMultiLvlLbl val="0"/>
      </c:catAx>
      <c:valAx>
        <c:axId val="50100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99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-0.57842108442503504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9651712"/>
        <c:axId val="499658752"/>
      </c:barChart>
      <c:catAx>
        <c:axId val="49965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9658752"/>
        <c:crosses val="autoZero"/>
        <c:auto val="1"/>
        <c:lblAlgn val="ctr"/>
        <c:lblOffset val="100"/>
        <c:noMultiLvlLbl val="0"/>
      </c:catAx>
      <c:valAx>
        <c:axId val="49965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965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0.44338927751240564</c:v>
                </c:pt>
                <c:pt idx="1">
                  <c:v>0.76269951340213593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637888"/>
        <c:axId val="501639424"/>
      </c:barChart>
      <c:catAx>
        <c:axId val="50163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1639424"/>
        <c:crosses val="autoZero"/>
        <c:auto val="1"/>
        <c:lblAlgn val="ctr"/>
        <c:lblOffset val="100"/>
        <c:noMultiLvlLbl val="0"/>
      </c:catAx>
      <c:valAx>
        <c:axId val="50163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6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7.4884717810308032E-2</c:v>
                </c:pt>
                <c:pt idx="1">
                  <c:v>-0.10224358626790464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683328"/>
        <c:axId val="501694464"/>
      </c:barChart>
      <c:catAx>
        <c:axId val="50168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694464"/>
        <c:crosses val="autoZero"/>
        <c:auto val="1"/>
        <c:lblAlgn val="ctr"/>
        <c:lblOffset val="100"/>
        <c:noMultiLvlLbl val="0"/>
      </c:catAx>
      <c:valAx>
        <c:axId val="50169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68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0.29489030688333562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727616"/>
        <c:axId val="501729152"/>
      </c:barChart>
      <c:catAx>
        <c:axId val="50172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1729152"/>
        <c:crosses val="autoZero"/>
        <c:auto val="1"/>
        <c:lblAlgn val="ctr"/>
        <c:lblOffset val="100"/>
        <c:noMultiLvlLbl val="0"/>
      </c:catAx>
      <c:valAx>
        <c:axId val="50172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72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624217363890967E-2"/>
                  <c:y val="0.29367918252272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-0.18438664659118464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740288"/>
        <c:axId val="501742976"/>
      </c:barChart>
      <c:catAx>
        <c:axId val="501740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742976"/>
        <c:crosses val="autoZero"/>
        <c:auto val="1"/>
        <c:lblAlgn val="ctr"/>
        <c:lblOffset val="100"/>
        <c:noMultiLvlLbl val="0"/>
      </c:catAx>
      <c:valAx>
        <c:axId val="50174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174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0.65302348371710228</c:v>
                </c:pt>
                <c:pt idx="1">
                  <c:v>0.42543206138262624</c:v>
                </c:pt>
                <c:pt idx="2">
                  <c:v>0.48723320452488689</c:v>
                </c:pt>
                <c:pt idx="3">
                  <c:v>0.56926694453177662</c:v>
                </c:pt>
                <c:pt idx="4">
                  <c:v>0</c:v>
                </c:pt>
                <c:pt idx="5">
                  <c:v>0.34830582605630295</c:v>
                </c:pt>
                <c:pt idx="6">
                  <c:v>0.14285051313171018</c:v>
                </c:pt>
                <c:pt idx="7">
                  <c:v>0.49307169233560377</c:v>
                </c:pt>
                <c:pt idx="8">
                  <c:v>0.32485230362106082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703104"/>
        <c:axId val="466704640"/>
      </c:barChart>
      <c:catAx>
        <c:axId val="46670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6704640"/>
        <c:crosses val="autoZero"/>
        <c:auto val="1"/>
        <c:lblAlgn val="ctr"/>
        <c:lblOffset val="100"/>
        <c:noMultiLvlLbl val="0"/>
      </c:catAx>
      <c:valAx>
        <c:axId val="46670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70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855286869432119E-2"/>
                  <c:y val="0.21823039754885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718468955516263E-2"/>
                  <c:y val="0.18517913476583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0757762711003E-2"/>
                  <c:y val="0.11747312706243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81780791133E-2"/>
                  <c:y val="0.18476601213230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0775444264943458E-3"/>
                  <c:y val="0.65524879929427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692608092808E-3"/>
                  <c:y val="0.65642608989229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-0.11885440862246432</c:v>
                </c:pt>
                <c:pt idx="1">
                  <c:v>5.9687499233177066E-2</c:v>
                </c:pt>
                <c:pt idx="2">
                  <c:v>-9.5729519138087138E-2</c:v>
                </c:pt>
                <c:pt idx="3">
                  <c:v>-9.6956032433567207E-3</c:v>
                </c:pt>
                <c:pt idx="4">
                  <c:v>0</c:v>
                </c:pt>
                <c:pt idx="5">
                  <c:v>-0.10241332223611899</c:v>
                </c:pt>
                <c:pt idx="6">
                  <c:v>-0.72141908484424577</c:v>
                </c:pt>
                <c:pt idx="7">
                  <c:v>0.12581602302680928</c:v>
                </c:pt>
                <c:pt idx="8">
                  <c:v>-0.7252201020300989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728064"/>
        <c:axId val="466729984"/>
      </c:barChart>
      <c:catAx>
        <c:axId val="46672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6729984"/>
        <c:crosses val="autoZero"/>
        <c:auto val="1"/>
        <c:lblAlgn val="ctr"/>
        <c:lblOffset val="100"/>
        <c:noMultiLvlLbl val="0"/>
      </c:catAx>
      <c:valAx>
        <c:axId val="4667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728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(DDetallCorrent!$J$11,DDetallCorrent!$J$61,DDetallCorrent!$J$65,DDetallCorrent!$J$140)</c:f>
              <c:numCache>
                <c:formatCode>0.0%</c:formatCode>
                <c:ptCount val="4"/>
                <c:pt idx="0">
                  <c:v>0.65302348364527862</c:v>
                </c:pt>
                <c:pt idx="1">
                  <c:v>0.4254320614391251</c:v>
                </c:pt>
                <c:pt idx="2">
                  <c:v>0.48723320452488689</c:v>
                </c:pt>
                <c:pt idx="3">
                  <c:v>0.56573571061950567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956096"/>
        <c:axId val="467957632"/>
      </c:barChart>
      <c:catAx>
        <c:axId val="46795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67957632"/>
        <c:crosses val="autoZero"/>
        <c:auto val="1"/>
        <c:lblAlgn val="ctr"/>
        <c:lblOffset val="100"/>
        <c:noMultiLvlLbl val="0"/>
      </c:catAx>
      <c:valAx>
        <c:axId val="46795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95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5641282379861E-3"/>
                  <c:y val="0.5457407519206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34811740594141E-2"/>
                  <c:y val="0.50329260862813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50534277534173E-2"/>
                  <c:y val="0.12277914675050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(DDetallCorrent!$P$11,DDetallCorrent!$P$61,DDetallCorrent!$P$65,DDetallCorrent!$P$140)</c:f>
              <c:numCache>
                <c:formatCode>0.0%</c:formatCode>
                <c:ptCount val="4"/>
                <c:pt idx="0">
                  <c:v>-0.11885440876636277</c:v>
                </c:pt>
                <c:pt idx="1">
                  <c:v>5.9687499422142576E-2</c:v>
                </c:pt>
                <c:pt idx="2">
                  <c:v>-9.5729519138087138E-2</c:v>
                </c:pt>
                <c:pt idx="3">
                  <c:v>-9.6956031804851239E-3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874560"/>
        <c:axId val="467877248"/>
      </c:barChart>
      <c:catAx>
        <c:axId val="467874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7877248"/>
        <c:crosses val="autoZero"/>
        <c:auto val="1"/>
        <c:lblAlgn val="ctr"/>
        <c:lblOffset val="100"/>
        <c:noMultiLvlLbl val="0"/>
      </c:catAx>
      <c:valAx>
        <c:axId val="46787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8745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0.33481639069497698</c:v>
                </c:pt>
                <c:pt idx="1">
                  <c:v>0.44609470803978601</c:v>
                </c:pt>
                <c:pt idx="2">
                  <c:v>0.55024093955804343</c:v>
                </c:pt>
                <c:pt idx="3">
                  <c:v>0.61989065251910336</c:v>
                </c:pt>
                <c:pt idx="4">
                  <c:v>0.48844986631069581</c:v>
                </c:pt>
                <c:pt idx="5">
                  <c:v>0.54984612594165927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001536"/>
        <c:axId val="468003072"/>
      </c:barChart>
      <c:catAx>
        <c:axId val="46800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8003072"/>
        <c:crosses val="autoZero"/>
        <c:auto val="1"/>
        <c:lblAlgn val="ctr"/>
        <c:lblOffset val="100"/>
        <c:noMultiLvlLbl val="0"/>
      </c:catAx>
      <c:valAx>
        <c:axId val="468003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00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752563743750997E-3"/>
                  <c:y val="0.70631021764376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20213107084268E-3"/>
                  <c:y val="-0.22146858507128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0.4983455271262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553698918057866E-3"/>
                  <c:y val="-0.36963841717882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148778399567443E-3"/>
                  <c:y val="-0.3356511155740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25872061765903E-4"/>
                  <c:y val="3.28586774657058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-0.68068569360590392</c:v>
                </c:pt>
                <c:pt idx="1">
                  <c:v>-0.10663721366994861</c:v>
                </c:pt>
                <c:pt idx="2">
                  <c:v>4.1301679361452459E-2</c:v>
                </c:pt>
                <c:pt idx="3">
                  <c:v>-4.8029338319436343E-3</c:v>
                </c:pt>
                <c:pt idx="4">
                  <c:v>-1.7859428006551714E-2</c:v>
                </c:pt>
                <c:pt idx="5">
                  <c:v>3.6254810986428021E-2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022400"/>
        <c:axId val="468025344"/>
      </c:barChart>
      <c:catAx>
        <c:axId val="46802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025344"/>
        <c:crosses val="autoZero"/>
        <c:auto val="1"/>
        <c:lblAlgn val="ctr"/>
        <c:lblOffset val="100"/>
        <c:noMultiLvlLbl val="0"/>
      </c:catAx>
      <c:valAx>
        <c:axId val="46802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0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0.4892344800498753</c:v>
                </c:pt>
                <c:pt idx="1">
                  <c:v>0.48706630329346451</c:v>
                </c:pt>
                <c:pt idx="2">
                  <c:v>0.55305242821635114</c:v>
                </c:pt>
                <c:pt idx="3">
                  <c:v>0.61750146110638338</c:v>
                </c:pt>
                <c:pt idx="4">
                  <c:v>0.55466655901507245</c:v>
                </c:pt>
                <c:pt idx="5">
                  <c:v>0.55598814401261709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267392"/>
        <c:axId val="468268928"/>
      </c:barChart>
      <c:catAx>
        <c:axId val="46826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8268928"/>
        <c:crosses val="autoZero"/>
        <c:auto val="1"/>
        <c:lblAlgn val="ctr"/>
        <c:lblOffset val="100"/>
        <c:noMultiLvlLbl val="0"/>
      </c:catAx>
      <c:valAx>
        <c:axId val="468268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2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815505650729646E-3"/>
                  <c:y val="1.00748510264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04137390765714E-3"/>
                  <c:y val="-5.6473448910583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180972131973837E-3"/>
                  <c:y val="8.67231956108037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83211776351343E-3"/>
                  <c:y val="-0.43456476461755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3683874924848E-3"/>
                  <c:y val="2.90116230899274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506942715386623E-2"/>
                  <c:y val="-0.42609763021530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-5.8147497573161844E-2</c:v>
                </c:pt>
                <c:pt idx="1">
                  <c:v>-4.3537486697500016E-2</c:v>
                </c:pt>
                <c:pt idx="2">
                  <c:v>4.0871029703360318E-2</c:v>
                </c:pt>
                <c:pt idx="3">
                  <c:v>-5.0111826276653115E-3</c:v>
                </c:pt>
                <c:pt idx="4">
                  <c:v>-7.3521006185933158E-2</c:v>
                </c:pt>
                <c:pt idx="5">
                  <c:v>-2.2245956592960026E-3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300544"/>
        <c:axId val="468303232"/>
      </c:barChart>
      <c:catAx>
        <c:axId val="46830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303232"/>
        <c:crosses val="autoZero"/>
        <c:auto val="1"/>
        <c:lblAlgn val="ctr"/>
        <c:lblOffset val="100"/>
        <c:noMultiLvlLbl val="0"/>
      </c:catAx>
      <c:valAx>
        <c:axId val="468303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3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AGOST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0.68951501593802578</c:v>
                </c:pt>
                <c:pt idx="1">
                  <c:v>0.63763618107016784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1.0679577008102634</c:v>
                </c:pt>
                <c:pt idx="1">
                  <c:v>0.23828956779048011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5.5556808278162924E-3</c:v>
                </c:pt>
                <c:pt idx="1">
                  <c:v>1.0608718779615703E-2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0.58414656961658917</c:v>
                </c:pt>
                <c:pt idx="1">
                  <c:v>0.58349653063426654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888000"/>
        <c:axId val="447918464"/>
      </c:barChart>
      <c:catAx>
        <c:axId val="447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47918464"/>
        <c:crosses val="autoZero"/>
        <c:auto val="1"/>
        <c:lblAlgn val="ctr"/>
        <c:lblOffset val="100"/>
        <c:noMultiLvlLbl val="0"/>
      </c:catAx>
      <c:valAx>
        <c:axId val="44791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888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0.48686201392442857</c:v>
                </c:pt>
                <c:pt idx="1">
                  <c:v>0.55281902777154068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325120"/>
        <c:axId val="468326656"/>
      </c:barChart>
      <c:catAx>
        <c:axId val="46832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8326656"/>
        <c:crosses val="autoZero"/>
        <c:auto val="1"/>
        <c:lblAlgn val="ctr"/>
        <c:lblOffset val="100"/>
        <c:noMultiLvlLbl val="0"/>
      </c:catAx>
      <c:valAx>
        <c:axId val="4683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32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4009911958020881E-4"/>
                  <c:y val="3.634027005051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-0.1242817177530956</c:v>
                </c:pt>
                <c:pt idx="1">
                  <c:v>3.178955744290124E-2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341888"/>
        <c:axId val="468377600"/>
      </c:barChart>
      <c:catAx>
        <c:axId val="468341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377600"/>
        <c:crosses val="autoZero"/>
        <c:auto val="1"/>
        <c:lblAlgn val="ctr"/>
        <c:lblOffset val="100"/>
        <c:noMultiLvlLbl val="0"/>
      </c:catAx>
      <c:valAx>
        <c:axId val="46837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3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0.53086758743694606</c:v>
                </c:pt>
                <c:pt idx="1">
                  <c:v>0.57335647100670184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524864"/>
        <c:axId val="469526400"/>
      </c:barChart>
      <c:catAx>
        <c:axId val="46952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9526400"/>
        <c:crosses val="autoZero"/>
        <c:auto val="1"/>
        <c:lblAlgn val="ctr"/>
        <c:lblOffset val="100"/>
        <c:noMultiLvlLbl val="0"/>
      </c:catAx>
      <c:valAx>
        <c:axId val="4695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52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8107274886892921E-3"/>
                  <c:y val="5.4885788155839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-3.0571085685857868E-2</c:v>
                </c:pt>
                <c:pt idx="1">
                  <c:v>3.3336515816030365E-2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549824"/>
        <c:axId val="469552512"/>
      </c:barChart>
      <c:catAx>
        <c:axId val="46954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552512"/>
        <c:crosses val="autoZero"/>
        <c:auto val="1"/>
        <c:lblAlgn val="ctr"/>
        <c:lblOffset val="100"/>
        <c:noMultiLvlLbl val="0"/>
      </c:catAx>
      <c:valAx>
        <c:axId val="46955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5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0.41820092437430745</c:v>
                </c:pt>
                <c:pt idx="1">
                  <c:v>0.55113563356065565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022080"/>
        <c:axId val="453023616"/>
      </c:barChart>
      <c:catAx>
        <c:axId val="45302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3023616"/>
        <c:crosses val="autoZero"/>
        <c:auto val="1"/>
        <c:lblAlgn val="ctr"/>
        <c:lblOffset val="100"/>
        <c:noMultiLvlLbl val="0"/>
      </c:catAx>
      <c:valAx>
        <c:axId val="45302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0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117801451294E-3"/>
                  <c:y val="-1.4710966007297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6.1922342420867693E-2</c:v>
                </c:pt>
                <c:pt idx="1">
                  <c:v>-1.8759494194242277E-2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955328"/>
        <c:axId val="469958016"/>
      </c:barChart>
      <c:catAx>
        <c:axId val="46995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958016"/>
        <c:crosses val="autoZero"/>
        <c:auto val="1"/>
        <c:lblAlgn val="ctr"/>
        <c:lblOffset val="100"/>
        <c:noMultiLvlLbl val="0"/>
      </c:catAx>
      <c:valAx>
        <c:axId val="46995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9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0.35727842423651657</c:v>
                </c:pt>
                <c:pt idx="1">
                  <c:v>0.14380816606143434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634496"/>
        <c:axId val="470636032"/>
      </c:barChart>
      <c:catAx>
        <c:axId val="47063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0636032"/>
        <c:crosses val="autoZero"/>
        <c:auto val="1"/>
        <c:lblAlgn val="ctr"/>
        <c:lblOffset val="100"/>
        <c:noMultiLvlLbl val="0"/>
      </c:catAx>
      <c:valAx>
        <c:axId val="47063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63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-0.10269558505774434</c:v>
                </c:pt>
                <c:pt idx="1">
                  <c:v>-0.72141908484424577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0659456"/>
        <c:axId val="470662144"/>
      </c:barChart>
      <c:catAx>
        <c:axId val="47065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0662144"/>
        <c:crosses val="autoZero"/>
        <c:auto val="1"/>
        <c:lblAlgn val="ctr"/>
        <c:lblOffset val="100"/>
        <c:noMultiLvlLbl val="0"/>
      </c:catAx>
      <c:valAx>
        <c:axId val="47066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065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0.32884255172585214</c:v>
                </c:pt>
                <c:pt idx="1">
                  <c:v>0.644453628827935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118208"/>
        <c:axId val="471119744"/>
      </c:barChart>
      <c:catAx>
        <c:axId val="47111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119744"/>
        <c:crosses val="autoZero"/>
        <c:auto val="1"/>
        <c:lblAlgn val="ctr"/>
        <c:lblOffset val="100"/>
        <c:noMultiLvlLbl val="0"/>
      </c:catAx>
      <c:valAx>
        <c:axId val="47111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1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979630379063806E-2"/>
                  <c:y val="0.2794969046284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-0.33407665818234911</c:v>
                </c:pt>
                <c:pt idx="1">
                  <c:v>0.46031013830359724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139072"/>
        <c:axId val="471141760"/>
      </c:barChart>
      <c:catAx>
        <c:axId val="47113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1141760"/>
        <c:crosses val="autoZero"/>
        <c:auto val="1"/>
        <c:lblAlgn val="ctr"/>
        <c:lblOffset val="100"/>
        <c:noMultiLvlLbl val="0"/>
      </c:catAx>
      <c:valAx>
        <c:axId val="47114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13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0.63376100293141269</c:v>
                </c:pt>
                <c:pt idx="1">
                  <c:v>0.78924417146762282</c:v>
                </c:pt>
                <c:pt idx="2">
                  <c:v>0.52349642933398599</c:v>
                </c:pt>
                <c:pt idx="3">
                  <c:v>0.67071050940680688</c:v>
                </c:pt>
                <c:pt idx="4">
                  <c:v>0.41944876002176873</c:v>
                </c:pt>
                <c:pt idx="5">
                  <c:v>0.3122767320839715</c:v>
                </c:pt>
                <c:pt idx="6">
                  <c:v>0.21974220822930787</c:v>
                </c:pt>
                <c:pt idx="7">
                  <c:v>1.5688675097214558E-2</c:v>
                </c:pt>
                <c:pt idx="8">
                  <c:v>1.0475456188873447E-2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259392"/>
        <c:axId val="449286912"/>
      </c:barChart>
      <c:catAx>
        <c:axId val="4492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49286912"/>
        <c:crosses val="autoZero"/>
        <c:auto val="1"/>
        <c:lblAlgn val="ctr"/>
        <c:lblOffset val="100"/>
        <c:noMultiLvlLbl val="0"/>
      </c:catAx>
      <c:valAx>
        <c:axId val="44928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925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0.18478199420638658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195648"/>
        <c:axId val="471197184"/>
      </c:barChart>
      <c:catAx>
        <c:axId val="47119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197184"/>
        <c:crosses val="autoZero"/>
        <c:auto val="1"/>
        <c:lblAlgn val="ctr"/>
        <c:lblOffset val="100"/>
        <c:noMultiLvlLbl val="0"/>
      </c:catAx>
      <c:valAx>
        <c:axId val="47119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19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0.34364762921389613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220608"/>
        <c:axId val="471223296"/>
      </c:barChart>
      <c:catAx>
        <c:axId val="47122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1223296"/>
        <c:crosses val="autoZero"/>
        <c:auto val="1"/>
        <c:lblAlgn val="ctr"/>
        <c:lblOffset val="100"/>
        <c:noMultiLvlLbl val="0"/>
      </c:catAx>
      <c:valAx>
        <c:axId val="47122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22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0.40993147128180779</c:v>
                </c:pt>
                <c:pt idx="1">
                  <c:v>0.61906301911016148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310720"/>
        <c:axId val="471312256"/>
      </c:barChart>
      <c:catAx>
        <c:axId val="471310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312256"/>
        <c:crosses val="autoZero"/>
        <c:auto val="1"/>
        <c:lblAlgn val="ctr"/>
        <c:lblOffset val="100"/>
        <c:noMultiLvlLbl val="0"/>
      </c:catAx>
      <c:valAx>
        <c:axId val="47131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31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-1.668390987766899E-2</c:v>
                </c:pt>
                <c:pt idx="1">
                  <c:v>-3.1648467971004624E-2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485504"/>
        <c:axId val="474488192"/>
      </c:barChart>
      <c:catAx>
        <c:axId val="47448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488192"/>
        <c:crosses val="autoZero"/>
        <c:auto val="1"/>
        <c:lblAlgn val="ctr"/>
        <c:lblOffset val="100"/>
        <c:noMultiLvlLbl val="0"/>
      </c:catAx>
      <c:valAx>
        <c:axId val="474488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48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1.489926505399982E-2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525696"/>
        <c:axId val="474527232"/>
      </c:barChart>
      <c:catAx>
        <c:axId val="474525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4527232"/>
        <c:crosses val="autoZero"/>
        <c:auto val="1"/>
        <c:lblAlgn val="ctr"/>
        <c:lblOffset val="100"/>
        <c:noMultiLvlLbl val="0"/>
      </c:catAx>
      <c:valAx>
        <c:axId val="47452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52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5562385642E-2"/>
                  <c:y val="0.23945834204352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-0.51866282905397965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417280"/>
        <c:axId val="478419968"/>
      </c:barChart>
      <c:catAx>
        <c:axId val="47841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8419968"/>
        <c:crosses val="autoZero"/>
        <c:auto val="1"/>
        <c:lblAlgn val="ctr"/>
        <c:lblOffset val="100"/>
        <c:noMultiLvlLbl val="0"/>
      </c:catAx>
      <c:valAx>
        <c:axId val="47841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41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0.43212404733701343</c:v>
                </c:pt>
                <c:pt idx="1">
                  <c:v>0.43610607020281494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020160"/>
        <c:axId val="477021696"/>
      </c:barChart>
      <c:catAx>
        <c:axId val="47702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021696"/>
        <c:crosses val="autoZero"/>
        <c:auto val="1"/>
        <c:lblAlgn val="ctr"/>
        <c:lblOffset val="100"/>
        <c:noMultiLvlLbl val="0"/>
      </c:catAx>
      <c:valAx>
        <c:axId val="47702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0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723584"/>
        <c:axId val="468725120"/>
      </c:barChart>
      <c:catAx>
        <c:axId val="46872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725120"/>
        <c:crosses val="autoZero"/>
        <c:auto val="1"/>
        <c:lblAlgn val="ctr"/>
        <c:lblOffset val="100"/>
        <c:noMultiLvlLbl val="0"/>
      </c:catAx>
      <c:valAx>
        <c:axId val="46872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72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0.91763248752605786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971008"/>
        <c:axId val="476972544"/>
      </c:barChart>
      <c:catAx>
        <c:axId val="47697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76972544"/>
        <c:crosses val="autoZero"/>
        <c:auto val="1"/>
        <c:lblAlgn val="ctr"/>
        <c:lblOffset val="100"/>
        <c:noMultiLvlLbl val="0"/>
      </c:catAx>
      <c:valAx>
        <c:axId val="47697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9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190016"/>
        <c:axId val="477191552"/>
      </c:barChart>
      <c:catAx>
        <c:axId val="47719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7191552"/>
        <c:crosses val="autoZero"/>
        <c:auto val="1"/>
        <c:lblAlgn val="ctr"/>
        <c:lblOffset val="100"/>
        <c:noMultiLvlLbl val="0"/>
      </c:catAx>
      <c:valAx>
        <c:axId val="477191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190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885389326334E-3"/>
                  <c:y val="0.17675632545931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002187226596668E-3"/>
                  <c:y val="0.13661858267716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222659667541557E-2"/>
                  <c:y val="0.22140976377952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217847769028868E-3"/>
                  <c:y val="0.41600335958005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805336832895887E-2"/>
                  <c:y val="0.19200041994750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2.3610069957977764E-2</c:v>
                </c:pt>
                <c:pt idx="1">
                  <c:v>3.484095319467273E-2</c:v>
                </c:pt>
                <c:pt idx="2">
                  <c:v>-0.11509665742467301</c:v>
                </c:pt>
                <c:pt idx="3">
                  <c:v>-1.8452707812995572E-2</c:v>
                </c:pt>
                <c:pt idx="4">
                  <c:v>-0.29940766935556851</c:v>
                </c:pt>
                <c:pt idx="5">
                  <c:v>0.82110212585372389</c:v>
                </c:pt>
                <c:pt idx="6">
                  <c:v>-0.82122091391478214</c:v>
                </c:pt>
                <c:pt idx="7">
                  <c:v>0.71161607161258011</c:v>
                </c:pt>
                <c:pt idx="8">
                  <c:v>-0.10289067492504478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297792"/>
        <c:axId val="454174976"/>
      </c:barChart>
      <c:catAx>
        <c:axId val="4492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4174976"/>
        <c:crosses val="autoZero"/>
        <c:auto val="1"/>
        <c:lblAlgn val="ctr"/>
        <c:lblOffset val="100"/>
        <c:noMultiLvlLbl val="0"/>
      </c:catAx>
      <c:valAx>
        <c:axId val="45417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929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0.33244891211466787</c:v>
                </c:pt>
                <c:pt idx="1">
                  <c:v>0.959561443811904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051968"/>
        <c:axId val="480053504"/>
      </c:barChart>
      <c:catAx>
        <c:axId val="4800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0053504"/>
        <c:crosses val="autoZero"/>
        <c:auto val="1"/>
        <c:lblAlgn val="ctr"/>
        <c:lblOffset val="100"/>
        <c:noMultiLvlLbl val="0"/>
      </c:catAx>
      <c:valAx>
        <c:axId val="48005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0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905991149769977E-2"/>
                  <c:y val="0.14907760634932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-8.1337464382129632E-3</c:v>
                </c:pt>
                <c:pt idx="1">
                  <c:v>0.22004690658677095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081024"/>
        <c:axId val="480083968"/>
      </c:barChart>
      <c:catAx>
        <c:axId val="48008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0083968"/>
        <c:crosses val="autoZero"/>
        <c:auto val="1"/>
        <c:lblAlgn val="ctr"/>
        <c:lblOffset val="100"/>
        <c:noMultiLvlLbl val="0"/>
      </c:catAx>
      <c:valAx>
        <c:axId val="48008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0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0.1333483275500604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579968"/>
        <c:axId val="480581504"/>
      </c:barChart>
      <c:catAx>
        <c:axId val="480579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0581504"/>
        <c:crosses val="autoZero"/>
        <c:auto val="1"/>
        <c:lblAlgn val="ctr"/>
        <c:lblOffset val="100"/>
        <c:noMultiLvlLbl val="0"/>
      </c:catAx>
      <c:valAx>
        <c:axId val="48058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5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5624296963E-2"/>
                  <c:y val="0.23697236374864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-0.66117942410985686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0629504"/>
        <c:axId val="480632192"/>
      </c:barChart>
      <c:catAx>
        <c:axId val="48062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0632192"/>
        <c:crosses val="autoZero"/>
        <c:auto val="1"/>
        <c:lblAlgn val="ctr"/>
        <c:lblOffset val="100"/>
        <c:noMultiLvlLbl val="0"/>
      </c:catAx>
      <c:valAx>
        <c:axId val="48063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062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0.31663807164169455</c:v>
                </c:pt>
                <c:pt idx="1">
                  <c:v>0.61272211426344891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921472"/>
        <c:axId val="478923008"/>
      </c:barChart>
      <c:catAx>
        <c:axId val="47892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8923008"/>
        <c:crosses val="autoZero"/>
        <c:auto val="1"/>
        <c:lblAlgn val="ctr"/>
        <c:lblOffset val="100"/>
        <c:noMultiLvlLbl val="0"/>
      </c:catAx>
      <c:valAx>
        <c:axId val="47892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9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0.1730325370046808</c:v>
                </c:pt>
                <c:pt idx="1">
                  <c:v>1.1692898563959719E-2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8950528"/>
        <c:axId val="479002624"/>
      </c:barChart>
      <c:catAx>
        <c:axId val="47895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9002624"/>
        <c:crosses val="autoZero"/>
        <c:auto val="1"/>
        <c:lblAlgn val="ctr"/>
        <c:lblOffset val="100"/>
        <c:noMultiLvlLbl val="0"/>
      </c:catAx>
      <c:valAx>
        <c:axId val="47900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95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5.7803348270479412E-3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027584"/>
        <c:axId val="479029120"/>
      </c:barChart>
      <c:catAx>
        <c:axId val="479027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9029120"/>
        <c:crosses val="autoZero"/>
        <c:auto val="1"/>
        <c:lblAlgn val="ctr"/>
        <c:lblOffset val="100"/>
        <c:noMultiLvlLbl val="0"/>
      </c:catAx>
      <c:valAx>
        <c:axId val="47902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0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08963585434174E-2"/>
                  <c:y val="0.23238989012529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-0.97487804693062896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056640"/>
        <c:axId val="479059328"/>
      </c:barChart>
      <c:catAx>
        <c:axId val="479056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9059328"/>
        <c:crosses val="autoZero"/>
        <c:auto val="1"/>
        <c:lblAlgn val="ctr"/>
        <c:lblOffset val="100"/>
        <c:noMultiLvlLbl val="0"/>
      </c:catAx>
      <c:valAx>
        <c:axId val="47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05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0.45716210329451268</c:v>
                </c:pt>
                <c:pt idx="1">
                  <c:v>0.55033841545420226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047680"/>
        <c:axId val="481049216"/>
      </c:barChart>
      <c:catAx>
        <c:axId val="48104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049216"/>
        <c:crosses val="autoZero"/>
        <c:auto val="1"/>
        <c:lblAlgn val="ctr"/>
        <c:lblOffset val="100"/>
        <c:noMultiLvlLbl val="0"/>
      </c:catAx>
      <c:valAx>
        <c:axId val="48104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0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37893327115431E-2"/>
                  <c:y val="0.46714577038838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4.6248606708698681E-2</c:v>
                </c:pt>
                <c:pt idx="1">
                  <c:v>-0.1316619668714607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080832"/>
        <c:axId val="481083776"/>
      </c:barChart>
      <c:catAx>
        <c:axId val="48108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1083776"/>
        <c:crosses val="autoZero"/>
        <c:auto val="1"/>
        <c:lblAlgn val="ctr"/>
        <c:lblOffset val="100"/>
        <c:noMultiLvlLbl val="0"/>
      </c:catAx>
      <c:valAx>
        <c:axId val="48108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0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0.63763618107016784</c:v>
                </c:pt>
                <c:pt idx="1">
                  <c:v>0.23828956779048011</c:v>
                </c:pt>
                <c:pt idx="2">
                  <c:v>1.0608718779615703E-2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191744"/>
        <c:axId val="454218112"/>
      </c:barChart>
      <c:catAx>
        <c:axId val="45419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4218112"/>
        <c:crosses val="autoZero"/>
        <c:auto val="1"/>
        <c:lblAlgn val="ctr"/>
        <c:lblOffset val="100"/>
        <c:noMultiLvlLbl val="0"/>
      </c:catAx>
      <c:valAx>
        <c:axId val="45421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419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8.790120810189099E-2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613056"/>
        <c:axId val="473614592"/>
      </c:barChart>
      <c:catAx>
        <c:axId val="473613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3614592"/>
        <c:crosses val="autoZero"/>
        <c:auto val="1"/>
        <c:lblAlgn val="ctr"/>
        <c:lblOffset val="100"/>
        <c:noMultiLvlLbl val="0"/>
      </c:catAx>
      <c:valAx>
        <c:axId val="47361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6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548137397194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33.008727249392379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9095424"/>
        <c:axId val="479101312"/>
      </c:barChart>
      <c:catAx>
        <c:axId val="479095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79101312"/>
        <c:crosses val="autoZero"/>
        <c:auto val="1"/>
        <c:lblAlgn val="ctr"/>
        <c:lblOffset val="100"/>
        <c:noMultiLvlLbl val="0"/>
      </c:catAx>
      <c:valAx>
        <c:axId val="47910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9095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0.39947511726230234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240192"/>
        <c:axId val="481241728"/>
      </c:barChart>
      <c:catAx>
        <c:axId val="48124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241728"/>
        <c:crosses val="autoZero"/>
        <c:auto val="1"/>
        <c:lblAlgn val="ctr"/>
        <c:lblOffset val="100"/>
        <c:noMultiLvlLbl val="0"/>
      </c:catAx>
      <c:valAx>
        <c:axId val="481241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24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0.20615187129427714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256960"/>
        <c:axId val="481280384"/>
      </c:barChart>
      <c:catAx>
        <c:axId val="48125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1280384"/>
        <c:crosses val="autoZero"/>
        <c:auto val="1"/>
        <c:lblAlgn val="ctr"/>
        <c:lblOffset val="100"/>
        <c:noMultiLvlLbl val="0"/>
      </c:catAx>
      <c:valAx>
        <c:axId val="48128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25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472128"/>
        <c:axId val="483473664"/>
      </c:barChart>
      <c:catAx>
        <c:axId val="48347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3473664"/>
        <c:crosses val="autoZero"/>
        <c:auto val="1"/>
        <c:lblAlgn val="ctr"/>
        <c:lblOffset val="100"/>
        <c:noMultiLvlLbl val="0"/>
      </c:catAx>
      <c:valAx>
        <c:axId val="48347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47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498624"/>
        <c:axId val="483512704"/>
      </c:barChart>
      <c:catAx>
        <c:axId val="48349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3512704"/>
        <c:crosses val="autoZero"/>
        <c:auto val="1"/>
        <c:lblAlgn val="ctr"/>
        <c:lblOffset val="100"/>
        <c:noMultiLvlLbl val="0"/>
      </c:catAx>
      <c:valAx>
        <c:axId val="483512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4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0.34572051414820498</c:v>
                </c:pt>
                <c:pt idx="1">
                  <c:v>0.50642690367446963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3519872"/>
        <c:axId val="484145408"/>
      </c:barChart>
      <c:catAx>
        <c:axId val="48351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145408"/>
        <c:crosses val="autoZero"/>
        <c:auto val="1"/>
        <c:lblAlgn val="ctr"/>
        <c:lblOffset val="100"/>
        <c:noMultiLvlLbl val="0"/>
      </c:catAx>
      <c:valAx>
        <c:axId val="484145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351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1229586935639E-2"/>
                  <c:y val="0.20102522192963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0.18429791814103824</c:v>
                </c:pt>
                <c:pt idx="1">
                  <c:v>-1.865650918728845E-2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68832"/>
        <c:axId val="484171776"/>
      </c:barChart>
      <c:catAx>
        <c:axId val="48416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171776"/>
        <c:crosses val="autoZero"/>
        <c:auto val="1"/>
        <c:lblAlgn val="ctr"/>
        <c:lblOffset val="100"/>
        <c:noMultiLvlLbl val="0"/>
      </c:catAx>
      <c:valAx>
        <c:axId val="48417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1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0.21561122933134913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148736"/>
        <c:axId val="482150272"/>
      </c:barChart>
      <c:catAx>
        <c:axId val="48214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2150272"/>
        <c:crosses val="autoZero"/>
        <c:auto val="1"/>
        <c:lblAlgn val="ctr"/>
        <c:lblOffset val="100"/>
        <c:noMultiLvlLbl val="0"/>
      </c:catAx>
      <c:valAx>
        <c:axId val="48215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14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0.512756141320305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185984"/>
        <c:axId val="482188672"/>
      </c:barChart>
      <c:catAx>
        <c:axId val="48218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2188672"/>
        <c:crosses val="autoZero"/>
        <c:auto val="1"/>
        <c:lblAlgn val="ctr"/>
        <c:lblOffset val="100"/>
        <c:noMultiLvlLbl val="0"/>
      </c:catAx>
      <c:valAx>
        <c:axId val="482188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21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layout>
        <c:manualLayout>
          <c:xMode val="edge"/>
          <c:yMode val="edge"/>
          <c:x val="9.7749103942652349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9.575704156383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-1.4474841491752377E-2</c:v>
                </c:pt>
                <c:pt idx="1">
                  <c:v>-0.76572464566933141</c:v>
                </c:pt>
                <c:pt idx="2">
                  <c:v>-8.6456681915383693E-2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4223744"/>
        <c:axId val="454238976"/>
      </c:barChart>
      <c:catAx>
        <c:axId val="45422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4238976"/>
        <c:crosses val="autoZero"/>
        <c:auto val="1"/>
        <c:lblAlgn val="ctr"/>
        <c:lblOffset val="100"/>
        <c:noMultiLvlLbl val="0"/>
      </c:catAx>
      <c:valAx>
        <c:axId val="454238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542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0.49160269908065279</c:v>
                </c:pt>
                <c:pt idx="1">
                  <c:v>0.42434653105313841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327232"/>
        <c:axId val="485328768"/>
      </c:barChart>
      <c:catAx>
        <c:axId val="48532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328768"/>
        <c:crosses val="autoZero"/>
        <c:auto val="1"/>
        <c:lblAlgn val="ctr"/>
        <c:lblOffset val="100"/>
        <c:noMultiLvlLbl val="0"/>
      </c:catAx>
      <c:valAx>
        <c:axId val="48532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3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-7.2212970850263014E-2</c:v>
                </c:pt>
                <c:pt idx="1">
                  <c:v>-0.14030776189846506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339904"/>
        <c:axId val="485342592"/>
      </c:barChart>
      <c:catAx>
        <c:axId val="48533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342592"/>
        <c:crosses val="autoZero"/>
        <c:auto val="1"/>
        <c:lblAlgn val="ctr"/>
        <c:lblOffset val="100"/>
        <c:noMultiLvlLbl val="0"/>
      </c:catAx>
      <c:valAx>
        <c:axId val="48534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33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0.95755747926261958</c:v>
                </c:pt>
                <c:pt idx="1">
                  <c:v>0.38784670457256271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404672"/>
        <c:axId val="485406208"/>
      </c:barChart>
      <c:catAx>
        <c:axId val="48540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406208"/>
        <c:crosses val="autoZero"/>
        <c:auto val="1"/>
        <c:lblAlgn val="ctr"/>
        <c:lblOffset val="100"/>
        <c:noMultiLvlLbl val="0"/>
      </c:catAx>
      <c:valAx>
        <c:axId val="4854062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8540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-0.45800312630219542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186176"/>
        <c:axId val="481188864"/>
      </c:barChart>
      <c:catAx>
        <c:axId val="48118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1188864"/>
        <c:crosses val="autoZero"/>
        <c:auto val="1"/>
        <c:lblAlgn val="ctr"/>
        <c:lblOffset val="100"/>
        <c:noMultiLvlLbl val="0"/>
      </c:catAx>
      <c:valAx>
        <c:axId val="48118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186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0.14024290754980381</c:v>
                </c:pt>
                <c:pt idx="1">
                  <c:v>0.55053611841489014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076864"/>
        <c:axId val="477099136"/>
      </c:barChart>
      <c:catAx>
        <c:axId val="47707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099136"/>
        <c:crosses val="autoZero"/>
        <c:auto val="1"/>
        <c:lblAlgn val="ctr"/>
        <c:lblOffset val="100"/>
        <c:noMultiLvlLbl val="0"/>
      </c:catAx>
      <c:valAx>
        <c:axId val="47709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07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3934349978404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0.12982008055838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9.262009484839357</c:v>
                </c:pt>
                <c:pt idx="1">
                  <c:v>-0.17325929241374749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18528"/>
        <c:axId val="484121216"/>
      </c:barChart>
      <c:catAx>
        <c:axId val="48411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121216"/>
        <c:crosses val="autoZero"/>
        <c:auto val="1"/>
        <c:lblAlgn val="ctr"/>
        <c:lblOffset val="100"/>
        <c:noMultiLvlLbl val="0"/>
      </c:catAx>
      <c:valAx>
        <c:axId val="48412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387840"/>
        <c:axId val="484397824"/>
      </c:barChart>
      <c:catAx>
        <c:axId val="484387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397824"/>
        <c:crosses val="autoZero"/>
        <c:auto val="1"/>
        <c:lblAlgn val="ctr"/>
        <c:lblOffset val="100"/>
        <c:noMultiLvlLbl val="0"/>
      </c:catAx>
      <c:valAx>
        <c:axId val="484397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38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0.24525731751885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412800"/>
        <c:axId val="487135488"/>
      </c:barChart>
      <c:catAx>
        <c:axId val="48441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135488"/>
        <c:crosses val="autoZero"/>
        <c:auto val="1"/>
        <c:lblAlgn val="ctr"/>
        <c:lblOffset val="100"/>
        <c:noMultiLvlLbl val="0"/>
      </c:catAx>
      <c:valAx>
        <c:axId val="48713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4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0.38475012692793237</c:v>
                </c:pt>
                <c:pt idx="1">
                  <c:v>0.58937777637323752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453184"/>
        <c:axId val="485454976"/>
      </c:barChart>
      <c:catAx>
        <c:axId val="48545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454976"/>
        <c:crosses val="autoZero"/>
        <c:auto val="1"/>
        <c:lblAlgn val="ctr"/>
        <c:lblOffset val="100"/>
        <c:noMultiLvlLbl val="0"/>
      </c:catAx>
      <c:valAx>
        <c:axId val="48545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45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1036623215394167E-3"/>
                  <c:y val="0.23961866227678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0.22079491026222153</c:v>
                </c:pt>
                <c:pt idx="1">
                  <c:v>-9.7248059647639828E-2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474304"/>
        <c:axId val="485476992"/>
      </c:barChart>
      <c:catAx>
        <c:axId val="48547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476992"/>
        <c:crosses val="autoZero"/>
        <c:auto val="1"/>
        <c:lblAlgn val="ctr"/>
        <c:lblOffset val="100"/>
        <c:noMultiLvlLbl val="0"/>
      </c:catAx>
      <c:valAx>
        <c:axId val="48547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4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0.63063491931308446</c:v>
                </c:pt>
                <c:pt idx="1">
                  <c:v>0.68784734500960565</c:v>
                </c:pt>
                <c:pt idx="2">
                  <c:v>0.52349642933398588</c:v>
                </c:pt>
                <c:pt idx="3">
                  <c:v>0.55025453560582593</c:v>
                </c:pt>
                <c:pt idx="4">
                  <c:v>0.41944876002176879</c:v>
                </c:pt>
                <c:pt idx="5">
                  <c:v>0.63763618117138543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2890624"/>
        <c:axId val="452893696"/>
      </c:barChart>
      <c:catAx>
        <c:axId val="45289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52893696"/>
        <c:crosses val="autoZero"/>
        <c:auto val="1"/>
        <c:lblAlgn val="ctr"/>
        <c:lblOffset val="100"/>
        <c:noMultiLvlLbl val="0"/>
      </c:catAx>
      <c:valAx>
        <c:axId val="45289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28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0.35545707537139004</c:v>
                </c:pt>
                <c:pt idx="1">
                  <c:v>2.4141466994845845E-2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555200"/>
        <c:axId val="485561088"/>
      </c:barChart>
      <c:catAx>
        <c:axId val="48555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5561088"/>
        <c:crosses val="autoZero"/>
        <c:auto val="1"/>
        <c:lblAlgn val="ctr"/>
        <c:lblOffset val="100"/>
        <c:noMultiLvlLbl val="0"/>
      </c:catAx>
      <c:valAx>
        <c:axId val="48556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5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-1.2722674841597392E-2</c:v>
                </c:pt>
                <c:pt idx="1">
                  <c:v>0.83409466048133685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571968"/>
        <c:axId val="485599488"/>
      </c:barChart>
      <c:catAx>
        <c:axId val="48557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599488"/>
        <c:crosses val="autoZero"/>
        <c:auto val="1"/>
        <c:lblAlgn val="ctr"/>
        <c:lblOffset val="100"/>
        <c:noMultiLvlLbl val="0"/>
      </c:catAx>
      <c:valAx>
        <c:axId val="48559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57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0.38278330098894758</c:v>
                </c:pt>
                <c:pt idx="1">
                  <c:v>0.39177530473364358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099392"/>
        <c:axId val="487126912"/>
      </c:barChart>
      <c:catAx>
        <c:axId val="48709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126912"/>
        <c:crosses val="autoZero"/>
        <c:auto val="1"/>
        <c:lblAlgn val="ctr"/>
        <c:lblOffset val="100"/>
        <c:noMultiLvlLbl val="0"/>
      </c:catAx>
      <c:valAx>
        <c:axId val="48712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0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12460676457995E-2"/>
                  <c:y val="0.27160582199952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1.1239557738784374</c:v>
                </c:pt>
                <c:pt idx="1">
                  <c:v>-0.84934006018739761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432960"/>
        <c:axId val="487435648"/>
      </c:barChart>
      <c:catAx>
        <c:axId val="48743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435648"/>
        <c:crosses val="autoZero"/>
        <c:auto val="1"/>
        <c:lblAlgn val="ctr"/>
        <c:lblOffset val="100"/>
        <c:noMultiLvlLbl val="0"/>
      </c:catAx>
      <c:valAx>
        <c:axId val="487435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43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0.61102104491333009</c:v>
                </c:pt>
                <c:pt idx="1">
                  <c:v>0.28654027419411393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107968"/>
        <c:axId val="481109504"/>
      </c:barChart>
      <c:catAx>
        <c:axId val="48110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1109504"/>
        <c:crosses val="autoZero"/>
        <c:auto val="1"/>
        <c:lblAlgn val="ctr"/>
        <c:lblOffset val="100"/>
        <c:noMultiLvlLbl val="0"/>
      </c:catAx>
      <c:valAx>
        <c:axId val="481109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10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1213110556302418E-7"/>
                  <c:y val="0.24919675988777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-0.95369136666666665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084416"/>
        <c:axId val="487087104"/>
      </c:barChart>
      <c:catAx>
        <c:axId val="48708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087104"/>
        <c:crosses val="autoZero"/>
        <c:auto val="1"/>
        <c:lblAlgn val="ctr"/>
        <c:lblOffset val="100"/>
        <c:noMultiLvlLbl val="0"/>
      </c:catAx>
      <c:valAx>
        <c:axId val="48708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08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0.44436471445106734</c:v>
                </c:pt>
                <c:pt idx="1">
                  <c:v>0.73665719657073181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369984"/>
        <c:axId val="489371520"/>
      </c:barChart>
      <c:catAx>
        <c:axId val="48936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371520"/>
        <c:crosses val="autoZero"/>
        <c:auto val="1"/>
        <c:lblAlgn val="ctr"/>
        <c:lblOffset val="100"/>
        <c:noMultiLvlLbl val="0"/>
      </c:catAx>
      <c:valAx>
        <c:axId val="48937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36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5.4220662168292577E-2</c:v>
                </c:pt>
                <c:pt idx="1">
                  <c:v>5.779357512216321E-2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386752"/>
        <c:axId val="489389440"/>
      </c:barChart>
      <c:catAx>
        <c:axId val="48938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389440"/>
        <c:crosses val="autoZero"/>
        <c:auto val="1"/>
        <c:lblAlgn val="ctr"/>
        <c:lblOffset val="100"/>
        <c:noMultiLvlLbl val="0"/>
      </c:catAx>
      <c:valAx>
        <c:axId val="48938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3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0.13816938881714363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7488"/>
        <c:axId val="2369024"/>
      </c:barChart>
      <c:catAx>
        <c:axId val="2367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69024"/>
        <c:crosses val="autoZero"/>
        <c:auto val="1"/>
        <c:lblAlgn val="ctr"/>
        <c:lblOffset val="100"/>
        <c:noMultiLvlLbl val="0"/>
      </c:catAx>
      <c:valAx>
        <c:axId val="236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27922056938505E-3"/>
                  <c:y val="0.2308786873338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-8.4982356809688575E-2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1141120"/>
        <c:axId val="481143808"/>
      </c:barChart>
      <c:catAx>
        <c:axId val="48114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1143808"/>
        <c:crosses val="autoZero"/>
        <c:auto val="1"/>
        <c:lblAlgn val="ctr"/>
        <c:lblOffset val="100"/>
        <c:noMultiLvlLbl val="0"/>
      </c:catAx>
      <c:valAx>
        <c:axId val="48114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114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9.1803029817838517E-3"/>
                  <c:y val="0.14280223997271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20016651782061E-3"/>
                  <c:y val="0.2998910334764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563793285441669E-2"/>
                  <c:y val="0.612691662639642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459672206586469E-4"/>
                  <c:y val="0.13959274946227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2.4076696225182603E-2</c:v>
                </c:pt>
                <c:pt idx="1">
                  <c:v>-1.6299988890105754E-2</c:v>
                </c:pt>
                <c:pt idx="2">
                  <c:v>-0.11509665742467279</c:v>
                </c:pt>
                <c:pt idx="3">
                  <c:v>1.503817844105404E-2</c:v>
                </c:pt>
                <c:pt idx="4">
                  <c:v>-0.29940766935556851</c:v>
                </c:pt>
                <c:pt idx="5">
                  <c:v>-1.4474841460962451E-2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2908544"/>
        <c:axId val="452924160"/>
      </c:barChart>
      <c:catAx>
        <c:axId val="45290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2924160"/>
        <c:crosses val="autoZero"/>
        <c:auto val="1"/>
        <c:lblAlgn val="ctr"/>
        <c:lblOffset val="100"/>
        <c:noMultiLvlLbl val="0"/>
      </c:catAx>
      <c:valAx>
        <c:axId val="45292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29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0.47723121267999047</c:v>
                </c:pt>
                <c:pt idx="1">
                  <c:v>0.78552477726630465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110976"/>
        <c:axId val="490112512"/>
      </c:barChart>
      <c:catAx>
        <c:axId val="49011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112512"/>
        <c:crosses val="autoZero"/>
        <c:auto val="1"/>
        <c:lblAlgn val="ctr"/>
        <c:lblOffset val="100"/>
        <c:noMultiLvlLbl val="0"/>
      </c:catAx>
      <c:valAx>
        <c:axId val="49011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11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1463462318606821E-2"/>
                  <c:y val="0.50640168719464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7.6791257054269924E-2</c:v>
                </c:pt>
                <c:pt idx="1">
                  <c:v>-0.1825823224771107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000192"/>
        <c:axId val="491002880"/>
      </c:barChart>
      <c:catAx>
        <c:axId val="49100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002880"/>
        <c:crosses val="autoZero"/>
        <c:auto val="1"/>
        <c:lblAlgn val="ctr"/>
        <c:lblOffset val="100"/>
        <c:noMultiLvlLbl val="0"/>
      </c:catAx>
      <c:valAx>
        <c:axId val="49100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00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8.0672224221577146E-2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019648"/>
        <c:axId val="491033728"/>
      </c:barChart>
      <c:catAx>
        <c:axId val="49101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033728"/>
        <c:crosses val="autoZero"/>
        <c:auto val="1"/>
        <c:lblAlgn val="ctr"/>
        <c:lblOffset val="100"/>
        <c:noMultiLvlLbl val="0"/>
      </c:catAx>
      <c:valAx>
        <c:axId val="491033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0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0.68221575243584343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069440"/>
        <c:axId val="491072128"/>
      </c:barChart>
      <c:catAx>
        <c:axId val="49106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072128"/>
        <c:crosses val="autoZero"/>
        <c:auto val="1"/>
        <c:lblAlgn val="ctr"/>
        <c:lblOffset val="100"/>
        <c:noMultiLvlLbl val="0"/>
      </c:catAx>
      <c:valAx>
        <c:axId val="49107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0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0.4648681118150978</c:v>
                </c:pt>
                <c:pt idx="1">
                  <c:v>0.71747757820572589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8768"/>
        <c:axId val="489641088"/>
      </c:barChart>
      <c:catAx>
        <c:axId val="2448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641088"/>
        <c:crosses val="autoZero"/>
        <c:auto val="1"/>
        <c:lblAlgn val="ctr"/>
        <c:lblOffset val="100"/>
        <c:noMultiLvlLbl val="0"/>
      </c:catAx>
      <c:valAx>
        <c:axId val="48964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4829298572315334E-2"/>
                  <c:y val="-5.682513867126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0.11283467940039094</c:v>
                </c:pt>
                <c:pt idx="1">
                  <c:v>4.6265511159688355E-2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660416"/>
        <c:axId val="489663104"/>
      </c:barChart>
      <c:catAx>
        <c:axId val="48966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663104"/>
        <c:crosses val="autoZero"/>
        <c:auto val="1"/>
        <c:lblAlgn val="ctr"/>
        <c:lblOffset val="100"/>
        <c:noMultiLvlLbl val="0"/>
      </c:catAx>
      <c:valAx>
        <c:axId val="48966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6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0.2506746267458661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109376"/>
        <c:axId val="491115264"/>
      </c:barChart>
      <c:catAx>
        <c:axId val="49110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115264"/>
        <c:crosses val="autoZero"/>
        <c:auto val="1"/>
        <c:lblAlgn val="ctr"/>
        <c:lblOffset val="100"/>
        <c:noMultiLvlLbl val="0"/>
      </c:catAx>
      <c:valAx>
        <c:axId val="49111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1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6.3743152043524658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688448"/>
        <c:axId val="489720064"/>
      </c:barChart>
      <c:catAx>
        <c:axId val="48968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720064"/>
        <c:crosses val="autoZero"/>
        <c:auto val="1"/>
        <c:lblAlgn val="ctr"/>
        <c:lblOffset val="100"/>
        <c:noMultiLvlLbl val="0"/>
      </c:catAx>
      <c:valAx>
        <c:axId val="48972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68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0.4545497179504045</c:v>
                </c:pt>
                <c:pt idx="1">
                  <c:v>0.6680935976828245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318208"/>
        <c:axId val="484336384"/>
      </c:barChart>
      <c:catAx>
        <c:axId val="48431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4336384"/>
        <c:crosses val="autoZero"/>
        <c:auto val="1"/>
        <c:lblAlgn val="ctr"/>
        <c:lblOffset val="100"/>
        <c:noMultiLvlLbl val="0"/>
      </c:catAx>
      <c:valAx>
        <c:axId val="48433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3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6.8392890603341527E-5</c:v>
                </c:pt>
                <c:pt idx="1">
                  <c:v>0.12845791664930362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4347264"/>
        <c:axId val="484358400"/>
      </c:barChart>
      <c:catAx>
        <c:axId val="48434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4358400"/>
        <c:crosses val="autoZero"/>
        <c:auto val="1"/>
        <c:lblAlgn val="ctr"/>
        <c:lblOffset val="100"/>
        <c:noMultiLvlLbl val="0"/>
      </c:catAx>
      <c:valAx>
        <c:axId val="484358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434726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0.31227595555105742</c:v>
                </c:pt>
                <c:pt idx="1">
                  <c:v>0.2197422082293079</c:v>
                </c:pt>
                <c:pt idx="2">
                  <c:v>0.23828944902111576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1049472"/>
        <c:axId val="441052544"/>
      </c:barChart>
      <c:catAx>
        <c:axId val="44104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1052544"/>
        <c:crosses val="autoZero"/>
        <c:auto val="1"/>
        <c:lblAlgn val="ctr"/>
        <c:lblOffset val="100"/>
        <c:noMultiLvlLbl val="0"/>
      </c:catAx>
      <c:valAx>
        <c:axId val="44105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104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7.3706585494944146E-2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590528"/>
        <c:axId val="487625088"/>
      </c:barChart>
      <c:catAx>
        <c:axId val="48759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625088"/>
        <c:crosses val="autoZero"/>
        <c:auto val="1"/>
        <c:lblAlgn val="ctr"/>
        <c:lblOffset val="100"/>
        <c:noMultiLvlLbl val="0"/>
      </c:catAx>
      <c:valAx>
        <c:axId val="48762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5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843976206884754E-2"/>
                  <c:y val="0.26204151131475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-0.76014081009511913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631872"/>
        <c:axId val="489817984"/>
      </c:barChart>
      <c:catAx>
        <c:axId val="48763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817984"/>
        <c:crosses val="autoZero"/>
        <c:auto val="1"/>
        <c:lblAlgn val="ctr"/>
        <c:lblOffset val="100"/>
        <c:noMultiLvlLbl val="0"/>
      </c:catAx>
      <c:valAx>
        <c:axId val="48981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6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0.42458868493063767</c:v>
                </c:pt>
                <c:pt idx="1">
                  <c:v>0.64091617720478089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196224"/>
        <c:axId val="496202112"/>
      </c:barChart>
      <c:catAx>
        <c:axId val="49619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6202112"/>
        <c:crosses val="autoZero"/>
        <c:auto val="1"/>
        <c:lblAlgn val="ctr"/>
        <c:lblOffset val="100"/>
        <c:noMultiLvlLbl val="0"/>
      </c:catAx>
      <c:valAx>
        <c:axId val="49620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19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461336563698767E-4"/>
                  <c:y val="-4.437622512375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-8.039811628902771E-3</c:v>
                </c:pt>
                <c:pt idx="1">
                  <c:v>-9.5269544703022291E-2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208896"/>
        <c:axId val="496220032"/>
      </c:barChart>
      <c:catAx>
        <c:axId val="49620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220032"/>
        <c:crosses val="autoZero"/>
        <c:auto val="1"/>
        <c:lblAlgn val="ctr"/>
        <c:lblOffset val="100"/>
        <c:noMultiLvlLbl val="0"/>
      </c:catAx>
      <c:valAx>
        <c:axId val="49622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2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3.2890216304189993E-2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265472"/>
        <c:axId val="496271360"/>
      </c:barChart>
      <c:catAx>
        <c:axId val="49626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6271360"/>
        <c:crosses val="autoZero"/>
        <c:auto val="1"/>
        <c:lblAlgn val="ctr"/>
        <c:lblOffset val="100"/>
        <c:noMultiLvlLbl val="0"/>
      </c:catAx>
      <c:valAx>
        <c:axId val="49627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26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-0.85161116120708757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278144"/>
        <c:axId val="496297472"/>
      </c:barChart>
      <c:catAx>
        <c:axId val="49627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297472"/>
        <c:crosses val="autoZero"/>
        <c:auto val="1"/>
        <c:lblAlgn val="ctr"/>
        <c:lblOffset val="100"/>
        <c:noMultiLvlLbl val="0"/>
      </c:catAx>
      <c:valAx>
        <c:axId val="49629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2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0.40553581123129223</c:v>
                </c:pt>
                <c:pt idx="1">
                  <c:v>0.88118189247023071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155456"/>
        <c:axId val="495161344"/>
      </c:barChart>
      <c:catAx>
        <c:axId val="49515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161344"/>
        <c:crosses val="autoZero"/>
        <c:auto val="1"/>
        <c:lblAlgn val="ctr"/>
        <c:lblOffset val="100"/>
        <c:noMultiLvlLbl val="0"/>
      </c:catAx>
      <c:valAx>
        <c:axId val="49516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1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-3.4054639591724167E-2</c:v>
                </c:pt>
                <c:pt idx="1">
                  <c:v>7.1845168182531616E-3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176320"/>
        <c:axId val="495183360"/>
      </c:barChart>
      <c:catAx>
        <c:axId val="49517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183360"/>
        <c:crosses val="autoZero"/>
        <c:auto val="1"/>
        <c:lblAlgn val="ctr"/>
        <c:lblOffset val="100"/>
        <c:noMultiLvlLbl val="0"/>
      </c:catAx>
      <c:valAx>
        <c:axId val="49518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1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5.3212502966960708E-2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16512"/>
        <c:axId val="495218048"/>
      </c:barChart>
      <c:catAx>
        <c:axId val="49521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5218048"/>
        <c:crosses val="autoZero"/>
        <c:auto val="1"/>
        <c:lblAlgn val="ctr"/>
        <c:lblOffset val="100"/>
        <c:noMultiLvlLbl val="0"/>
      </c:catAx>
      <c:valAx>
        <c:axId val="49521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1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-0.16194912016058938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41472"/>
        <c:axId val="498140288"/>
      </c:barChart>
      <c:catAx>
        <c:axId val="49524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140288"/>
        <c:crosses val="autoZero"/>
        <c:auto val="1"/>
        <c:lblAlgn val="ctr"/>
        <c:lblOffset val="100"/>
        <c:noMultiLvlLbl val="0"/>
      </c:catAx>
      <c:valAx>
        <c:axId val="49814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4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I7" sqref="I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397</v>
      </c>
    </row>
    <row r="2" spans="1:13" x14ac:dyDescent="0.25">
      <c r="A2" s="8" t="s">
        <v>398</v>
      </c>
      <c r="H2" s="737" t="s">
        <v>786</v>
      </c>
      <c r="I2" s="738"/>
      <c r="J2" s="739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5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1600387282.6799998</v>
      </c>
      <c r="I5" s="105">
        <f>'ICap '!L10</f>
        <v>1623892874.6399999</v>
      </c>
      <c r="J5" s="57">
        <f>+H5/I5-1</f>
        <v>-1.4474841491752377E-2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1166142554.6400001</v>
      </c>
      <c r="I6" s="105">
        <f>DCap!Q10</f>
        <v>1190696143.0900002</v>
      </c>
      <c r="J6" s="57">
        <f>+H6/I6-1</f>
        <v>-2.062120432025627E-2</v>
      </c>
    </row>
    <row r="7" spans="1:13" x14ac:dyDescent="0.25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434244728.03999972</v>
      </c>
      <c r="I7" s="108">
        <f>+I5-I6</f>
        <v>433196731.54999971</v>
      </c>
      <c r="J7" s="43">
        <f>+H7/I7-1</f>
        <v>2.4192160597569234E-3</v>
      </c>
      <c r="M7" s="340"/>
    </row>
    <row r="8" spans="1:13" x14ac:dyDescent="0.25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4780853.22</v>
      </c>
      <c r="I8" s="105">
        <f>'ICap '!L13</f>
        <v>20406983.199999999</v>
      </c>
      <c r="J8" s="57">
        <f>+H8/I8-1</f>
        <v>-0.76572464566933141</v>
      </c>
      <c r="M8" s="340"/>
    </row>
    <row r="9" spans="1:13" x14ac:dyDescent="0.25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142906666.13</v>
      </c>
      <c r="I9" s="105">
        <f>DCap!Q13</f>
        <v>170533374.34</v>
      </c>
      <c r="J9" s="57">
        <f t="shared" ref="J9:J13" si="2">+H9/I9-1</f>
        <v>-0.16200176837478986</v>
      </c>
      <c r="M9" s="340"/>
    </row>
    <row r="10" spans="1:13" x14ac:dyDescent="0.25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296118915.12999976</v>
      </c>
      <c r="I10" s="108">
        <f>+I7+I8-I9</f>
        <v>283070340.40999973</v>
      </c>
      <c r="J10" s="43">
        <f t="shared" si="2"/>
        <v>4.609658045099474E-2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2240909.6</v>
      </c>
      <c r="I11" s="105">
        <f>+'ICap '!L16</f>
        <v>2452986.69</v>
      </c>
      <c r="J11" s="57">
        <f t="shared" si="2"/>
        <v>-8.6456681915383693E-2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55275617.659999996</v>
      </c>
      <c r="I12" s="105">
        <f>DCap!Q16</f>
        <v>163243421.69999999</v>
      </c>
      <c r="J12" s="252">
        <f t="shared" si="2"/>
        <v>-0.66139145403615363</v>
      </c>
    </row>
    <row r="13" spans="1:13" ht="13.8" thickBot="1" x14ac:dyDescent="0.3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243084207.06999978</v>
      </c>
      <c r="I13" s="111">
        <f>+I10+I11-I12</f>
        <v>122279905.39999974</v>
      </c>
      <c r="J13" s="246">
        <f t="shared" si="2"/>
        <v>0.98793257383400213</v>
      </c>
    </row>
    <row r="14" spans="1:13" ht="13.8" thickBot="1" x14ac:dyDescent="0.3"/>
    <row r="15" spans="1:13" x14ac:dyDescent="0.25">
      <c r="H15" s="740" t="s">
        <v>787</v>
      </c>
      <c r="I15" s="741"/>
    </row>
    <row r="16" spans="1:13" x14ac:dyDescent="0.25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5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0.2713372773825195</v>
      </c>
      <c r="I17" s="116">
        <f t="shared" si="7"/>
        <v>0.2667643526953925</v>
      </c>
      <c r="K17" s="100" t="s">
        <v>148</v>
      </c>
    </row>
    <row r="18" spans="1:11" ht="24" thickBot="1" x14ac:dyDescent="0.3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0.18447844092293122</v>
      </c>
      <c r="I18" s="120">
        <f t="shared" ref="I18" si="9">+I10/(I5+I8)</f>
        <v>0.17215250555446082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82"/>
      <c r="O136" s="682">
        <v>0.58699999999999997</v>
      </c>
    </row>
    <row r="137" spans="12:15" x14ac:dyDescent="0.25">
      <c r="L137" s="682"/>
      <c r="N137">
        <f>+N11+N61+N65+N136</f>
        <v>0</v>
      </c>
      <c r="O137" s="682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8"/>
  <sheetViews>
    <sheetView topLeftCell="C132" zoomScaleNormal="100" workbookViewId="0">
      <selection activeCell="D141" sqref="D141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2.88671875" customWidth="1"/>
    <col min="6" max="6" width="6.33203125" style="97" bestFit="1" customWidth="1"/>
    <col min="7" max="7" width="14.66406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8.88671875" style="97" bestFit="1" customWidth="1"/>
    <col min="13" max="13" width="8.88671875" style="97" customWidth="1"/>
    <col min="14" max="14" width="11.109375" customWidth="1"/>
    <col min="15" max="15" width="8.88671875" style="97" bestFit="1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0" t="s">
        <v>783</v>
      </c>
      <c r="L2" s="761"/>
      <c r="M2" s="761"/>
      <c r="N2" s="761"/>
      <c r="O2" s="761"/>
      <c r="P2" s="762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1" t="s">
        <v>39</v>
      </c>
      <c r="O3" s="88" t="s">
        <v>40</v>
      </c>
      <c r="P3" s="149" t="s">
        <v>362</v>
      </c>
    </row>
    <row r="4" spans="1:19" ht="26.4" x14ac:dyDescent="0.25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1" t="s">
        <v>764</v>
      </c>
      <c r="N4" s="558" t="s">
        <v>17</v>
      </c>
      <c r="O4" s="89" t="s">
        <v>18</v>
      </c>
      <c r="P4" s="581" t="s">
        <v>764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17774222.57</v>
      </c>
      <c r="E5" s="82">
        <v>11706106.91</v>
      </c>
      <c r="F5" s="308">
        <f t="shared" ref="F5:F12" si="0">+E5/D5</f>
        <v>0.65860022084780279</v>
      </c>
      <c r="G5" s="82">
        <v>11706106.91</v>
      </c>
      <c r="H5" s="48">
        <f>+G5/D5</f>
        <v>0.65860022084780279</v>
      </c>
      <c r="I5" s="82">
        <v>11706106.91</v>
      </c>
      <c r="J5" s="153">
        <f>I5/D5</f>
        <v>0.65860022084780279</v>
      </c>
      <c r="K5" s="572">
        <v>11767807.08</v>
      </c>
      <c r="L5" s="48">
        <v>0.6786498220835655</v>
      </c>
      <c r="M5" s="210">
        <f>+G5/K5-1</f>
        <v>-5.2431323508747019E-3</v>
      </c>
      <c r="N5" s="572">
        <v>11767807.08</v>
      </c>
      <c r="O5" s="48">
        <v>0.6786498220835655</v>
      </c>
      <c r="P5" s="210">
        <f>+I5/N5-1</f>
        <v>-5.2431323508747019E-3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6121179.0199999996</v>
      </c>
      <c r="E6" s="237">
        <v>3796240.81</v>
      </c>
      <c r="F6" s="280">
        <f t="shared" si="0"/>
        <v>0.62018130781608805</v>
      </c>
      <c r="G6" s="237">
        <v>3796240.81</v>
      </c>
      <c r="H6" s="280">
        <f t="shared" ref="H6:H65" si="1">+G6/D6</f>
        <v>0.62018130781608805</v>
      </c>
      <c r="I6" s="237">
        <v>3796240.81</v>
      </c>
      <c r="J6" s="178">
        <f t="shared" ref="J6:J65" si="2">I6/D6</f>
        <v>0.62018130781608805</v>
      </c>
      <c r="K6" s="573">
        <v>5282769.6500000004</v>
      </c>
      <c r="L6" s="280">
        <v>0.75759470250624761</v>
      </c>
      <c r="M6" s="210">
        <f t="shared" ref="M6:M65" si="3">+G6/K6-1</f>
        <v>-0.28139194749860053</v>
      </c>
      <c r="N6" s="573">
        <v>5282769.6500000004</v>
      </c>
      <c r="O6" s="280">
        <v>0.75759470250624761</v>
      </c>
      <c r="P6" s="211">
        <f>+I6/N6-1</f>
        <v>-0.28139194749860053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221779216.09999999</v>
      </c>
      <c r="E7" s="237">
        <v>144776845</v>
      </c>
      <c r="F7" s="280">
        <f t="shared" si="0"/>
        <v>0.65279717164623885</v>
      </c>
      <c r="G7" s="237">
        <v>144776845</v>
      </c>
      <c r="H7" s="280">
        <f t="shared" si="1"/>
        <v>0.65279717164623885</v>
      </c>
      <c r="I7" s="237">
        <v>144776845</v>
      </c>
      <c r="J7" s="178">
        <f t="shared" si="2"/>
        <v>0.65279717164623885</v>
      </c>
      <c r="K7" s="573">
        <v>173835150.94999999</v>
      </c>
      <c r="L7" s="280">
        <v>0.69243147397143334</v>
      </c>
      <c r="M7" s="210">
        <f t="shared" si="3"/>
        <v>-0.16716012723087281</v>
      </c>
      <c r="N7" s="573">
        <v>173835150.94999999</v>
      </c>
      <c r="O7" s="280">
        <v>0.69243147397143334</v>
      </c>
      <c r="P7" s="211">
        <f>+I7/N7-1</f>
        <v>-0.16716012723087281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8886196.8900000006</v>
      </c>
      <c r="E8" s="237">
        <v>5566719.0800000001</v>
      </c>
      <c r="F8" s="280">
        <f>+E8/D8</f>
        <v>0.62644561547634126</v>
      </c>
      <c r="G8" s="237">
        <v>5566719.0800000001</v>
      </c>
      <c r="H8" s="280">
        <f>+G8/D8</f>
        <v>0.62644561547634126</v>
      </c>
      <c r="I8" s="237">
        <v>5566719.0800000001</v>
      </c>
      <c r="J8" s="178">
        <f>I8/D8</f>
        <v>0.62644561547634126</v>
      </c>
      <c r="K8" s="573">
        <v>7180592.1399999997</v>
      </c>
      <c r="L8" s="280">
        <v>0.70493392794692056</v>
      </c>
      <c r="M8" s="210">
        <f t="shared" si="3"/>
        <v>-0.2247548709819911</v>
      </c>
      <c r="N8" s="573">
        <v>7180592.1399999997</v>
      </c>
      <c r="O8" s="280">
        <v>0.70493392794692056</v>
      </c>
      <c r="P8" s="443">
        <f>+I8/N8-1</f>
        <v>-0.2247548709819911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43918938.740000002</v>
      </c>
      <c r="E9" s="237">
        <v>25752174.77</v>
      </c>
      <c r="F9" s="280">
        <f>+E9/D9</f>
        <v>0.58635694551848816</v>
      </c>
      <c r="G9" s="237">
        <v>25752174.77</v>
      </c>
      <c r="H9" s="280">
        <f>+G9/D9</f>
        <v>0.58635694551848816</v>
      </c>
      <c r="I9" s="237">
        <v>25752174.77</v>
      </c>
      <c r="J9" s="178">
        <f>I9/D9</f>
        <v>0.58635694551848816</v>
      </c>
      <c r="K9" s="574">
        <v>26600166.219999999</v>
      </c>
      <c r="L9" s="390">
        <v>0.35076898111335225</v>
      </c>
      <c r="M9" s="210">
        <f t="shared" si="3"/>
        <v>-3.1879178610636494E-2</v>
      </c>
      <c r="N9" s="574">
        <v>26600166.219999999</v>
      </c>
      <c r="O9" s="390">
        <v>0.35076898111335225</v>
      </c>
      <c r="P9" s="245">
        <f t="shared" ref="P9:P59" si="4">+I9/N9-1</f>
        <v>-3.1879178610636494E-2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238</v>
      </c>
      <c r="C10" s="395">
        <v>74901709.219999999</v>
      </c>
      <c r="D10" s="191">
        <v>76598709.819999993</v>
      </c>
      <c r="E10" s="137">
        <v>54248506.340000004</v>
      </c>
      <c r="F10" s="390">
        <f>+E10/D10</f>
        <v>0.70821697215891843</v>
      </c>
      <c r="G10" s="137">
        <v>53854038.25</v>
      </c>
      <c r="H10" s="390">
        <f>+G10/D10</f>
        <v>0.7030671714517398</v>
      </c>
      <c r="I10" s="137">
        <v>53336958.07</v>
      </c>
      <c r="J10" s="392">
        <f>I10/D10</f>
        <v>0.69631666375761425</v>
      </c>
      <c r="K10" s="574">
        <v>54366739.170000002</v>
      </c>
      <c r="L10" s="390">
        <v>0.6842540355538459</v>
      </c>
      <c r="M10" s="622">
        <f t="shared" si="3"/>
        <v>-9.4304151366670919E-3</v>
      </c>
      <c r="N10" s="574">
        <v>53306923.890000001</v>
      </c>
      <c r="O10" s="390">
        <v>0.67091531240523017</v>
      </c>
      <c r="P10" s="516">
        <f t="shared" si="4"/>
        <v>5.6341986759500529E-4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375078463.13999999</v>
      </c>
      <c r="E11" s="84">
        <f>SUM(E5:E10)</f>
        <v>245846592.91000003</v>
      </c>
      <c r="F11" s="90">
        <f>+E11/D11</f>
        <v>0.65545377053077158</v>
      </c>
      <c r="G11" s="84">
        <f>SUM(G5:G10)</f>
        <v>245452124.82000002</v>
      </c>
      <c r="H11" s="90">
        <f t="shared" si="1"/>
        <v>0.65440207567552</v>
      </c>
      <c r="I11" s="84">
        <f>SUM(I5:I10)</f>
        <v>244935044.64000002</v>
      </c>
      <c r="J11" s="170">
        <f t="shared" si="2"/>
        <v>0.65302348364527862</v>
      </c>
      <c r="K11" s="562">
        <f>SUM(K5:K10)</f>
        <v>279033225.20999998</v>
      </c>
      <c r="L11" s="90">
        <v>0.63300000000000001</v>
      </c>
      <c r="M11" s="213">
        <f t="shared" si="3"/>
        <v>-0.12034803512996295</v>
      </c>
      <c r="N11" s="562">
        <f>SUM(N5:N10)</f>
        <v>277973409.92999995</v>
      </c>
      <c r="O11" s="90">
        <v>0.63100000000000001</v>
      </c>
      <c r="P11" s="213">
        <f t="shared" si="4"/>
        <v>-0.11885440876636277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19763002.960000001</v>
      </c>
      <c r="E12" s="82">
        <v>17350165.010000002</v>
      </c>
      <c r="F12" s="48">
        <f t="shared" si="0"/>
        <v>0.8779113703072583</v>
      </c>
      <c r="G12" s="82">
        <v>17101396.440000001</v>
      </c>
      <c r="H12" s="48">
        <f t="shared" si="1"/>
        <v>0.86532378073377569</v>
      </c>
      <c r="I12" s="82">
        <v>10915144.970000001</v>
      </c>
      <c r="J12" s="153">
        <f t="shared" si="2"/>
        <v>0.55230194480525441</v>
      </c>
      <c r="K12" s="559">
        <v>18706118.100000001</v>
      </c>
      <c r="L12" s="48">
        <v>0.85354139098207049</v>
      </c>
      <c r="M12" s="210">
        <f t="shared" si="3"/>
        <v>-8.5785925835676236E-2</v>
      </c>
      <c r="N12" s="559">
        <v>12563763.76</v>
      </c>
      <c r="O12" s="48">
        <v>0.57327192837943897</v>
      </c>
      <c r="P12" s="210">
        <f t="shared" si="4"/>
        <v>-0.13122013605897342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23435881.789999999</v>
      </c>
      <c r="E13" s="237">
        <v>21234179.07</v>
      </c>
      <c r="F13" s="412">
        <f t="shared" ref="F13:F59" si="5">+E13/D13</f>
        <v>0.90605419758775807</v>
      </c>
      <c r="G13" s="237">
        <v>19323430.82</v>
      </c>
      <c r="H13" s="412">
        <f t="shared" si="1"/>
        <v>0.82452330973290855</v>
      </c>
      <c r="I13" s="71">
        <v>7876431.7300000004</v>
      </c>
      <c r="J13" s="427">
        <f t="shared" si="2"/>
        <v>0.33608429162502618</v>
      </c>
      <c r="K13" s="559">
        <v>16264386.58</v>
      </c>
      <c r="L13" s="412">
        <v>0.82162928480020525</v>
      </c>
      <c r="M13" s="210">
        <f t="shared" si="3"/>
        <v>0.18808236172654968</v>
      </c>
      <c r="N13" s="559">
        <v>8001138.7400000002</v>
      </c>
      <c r="O13" s="412">
        <v>0.40419414948100768</v>
      </c>
      <c r="P13" s="443">
        <f t="shared" si="4"/>
        <v>-1.5586157677350831E-2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2007841.79</v>
      </c>
      <c r="E14" s="73">
        <v>1509410.81</v>
      </c>
      <c r="F14" s="413">
        <f t="shared" si="5"/>
        <v>0.75175784143829383</v>
      </c>
      <c r="G14" s="73">
        <v>1003637.33</v>
      </c>
      <c r="H14" s="413">
        <f t="shared" si="1"/>
        <v>0.49985877124312666</v>
      </c>
      <c r="I14" s="73">
        <v>767949.26</v>
      </c>
      <c r="J14" s="428">
        <f t="shared" si="2"/>
        <v>0.38247498574078387</v>
      </c>
      <c r="K14" s="575">
        <v>937117.14</v>
      </c>
      <c r="L14" s="416">
        <v>0.55319126579682387</v>
      </c>
      <c r="M14" s="640">
        <f t="shared" si="3"/>
        <v>7.0983858005200906E-2</v>
      </c>
      <c r="N14" s="575">
        <v>736033.82</v>
      </c>
      <c r="O14" s="416">
        <v>0.43448941778513578</v>
      </c>
      <c r="P14" s="582">
        <f t="shared" si="4"/>
        <v>4.3361377062809403E-2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13341329.800000001</v>
      </c>
      <c r="E15" s="82">
        <v>10574551.57</v>
      </c>
      <c r="F15" s="414">
        <f t="shared" si="5"/>
        <v>0.79261600818832911</v>
      </c>
      <c r="G15" s="82">
        <v>8528748.0299999993</v>
      </c>
      <c r="H15" s="414">
        <f t="shared" si="1"/>
        <v>0.63927270803244807</v>
      </c>
      <c r="I15" s="82">
        <v>4552192.96</v>
      </c>
      <c r="J15" s="429">
        <f t="shared" si="2"/>
        <v>0.34120983651869546</v>
      </c>
      <c r="K15" s="576">
        <v>10699474.529999999</v>
      </c>
      <c r="L15" s="415">
        <v>0.98518314084852754</v>
      </c>
      <c r="M15" s="210">
        <f t="shared" si="3"/>
        <v>-0.20288159889661428</v>
      </c>
      <c r="N15" s="576">
        <v>3101331.85</v>
      </c>
      <c r="O15" s="415">
        <v>0.28556354279172014</v>
      </c>
      <c r="P15" s="582">
        <f t="shared" si="4"/>
        <v>0.46781872439739081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1129590</v>
      </c>
      <c r="E16" s="237">
        <v>1104019.3899999999</v>
      </c>
      <c r="F16" s="130">
        <f>+E16/D16</f>
        <v>0.97736292814206915</v>
      </c>
      <c r="G16" s="237">
        <v>1072893.3</v>
      </c>
      <c r="H16" s="130">
        <f>+G16/D16</f>
        <v>0.94980771784452767</v>
      </c>
      <c r="I16" s="71">
        <v>580240.47</v>
      </c>
      <c r="J16" s="194">
        <f>I16/D16</f>
        <v>0.51367351871032851</v>
      </c>
      <c r="K16" s="394">
        <v>1043645.87</v>
      </c>
      <c r="L16" s="130">
        <v>0.89116716762018611</v>
      </c>
      <c r="M16" s="210">
        <f t="shared" si="3"/>
        <v>2.8024285670770643E-2</v>
      </c>
      <c r="N16" s="394">
        <v>448750.15</v>
      </c>
      <c r="O16" s="130">
        <v>0.38318687558705494</v>
      </c>
      <c r="P16" s="582">
        <f t="shared" si="4"/>
        <v>0.29301454272494376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17307593.73</v>
      </c>
      <c r="E17" s="237">
        <v>17307593.73</v>
      </c>
      <c r="F17" s="130">
        <f>+E17/D17</f>
        <v>1</v>
      </c>
      <c r="G17" s="237">
        <v>14024324.970000001</v>
      </c>
      <c r="H17" s="130">
        <f>+G17/D17</f>
        <v>0.81029894673868108</v>
      </c>
      <c r="I17" s="71">
        <v>6690364.8200000003</v>
      </c>
      <c r="J17" s="194">
        <f>I17/D17</f>
        <v>0.38655661349407006</v>
      </c>
      <c r="K17" s="394">
        <v>16853412.039999999</v>
      </c>
      <c r="L17" s="130">
        <v>0.81628595909895219</v>
      </c>
      <c r="M17" s="210">
        <f t="shared" si="3"/>
        <v>-0.16786435074900108</v>
      </c>
      <c r="N17" s="394">
        <v>6337814.1900000004</v>
      </c>
      <c r="O17" s="130">
        <v>0.30696862584243201</v>
      </c>
      <c r="P17" s="582">
        <f t="shared" si="4"/>
        <v>5.5626532970352027E-2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355118.72</v>
      </c>
      <c r="J18" s="194">
        <f>I18/D18</f>
        <v>0.59918182162998823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250877.1</v>
      </c>
      <c r="O18" s="130">
        <v>0.45006642090569776</v>
      </c>
      <c r="P18" s="582">
        <f t="shared" si="4"/>
        <v>0.41550870924448646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410426.02</v>
      </c>
      <c r="J19" s="194">
        <f t="shared" si="2"/>
        <v>0.36873589196220191</v>
      </c>
      <c r="K19" s="394">
        <v>1119563.03</v>
      </c>
      <c r="L19" s="130">
        <v>0.99589920779366148</v>
      </c>
      <c r="M19" s="210">
        <f t="shared" si="3"/>
        <v>-9.9241665741677254E-3</v>
      </c>
      <c r="N19" s="394">
        <v>226221.27</v>
      </c>
      <c r="O19" s="130">
        <v>0.20123349694663994</v>
      </c>
      <c r="P19" s="582">
        <f t="shared" si="4"/>
        <v>0.81426803942883019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4547509.04</v>
      </c>
      <c r="E20" s="237">
        <v>3565505.54</v>
      </c>
      <c r="F20" s="413">
        <f t="shared" si="5"/>
        <v>0.78405683389251712</v>
      </c>
      <c r="G20" s="237">
        <v>2489791.34</v>
      </c>
      <c r="H20" s="413">
        <f t="shared" si="1"/>
        <v>0.54750662793624705</v>
      </c>
      <c r="I20" s="73">
        <v>1563641.18</v>
      </c>
      <c r="J20" s="430">
        <f t="shared" si="2"/>
        <v>0.34384564521943201</v>
      </c>
      <c r="K20" s="577">
        <v>3937617.4</v>
      </c>
      <c r="L20" s="413">
        <v>0.7419830951988784</v>
      </c>
      <c r="M20" s="640">
        <f t="shared" si="3"/>
        <v>-0.36769089348294737</v>
      </c>
      <c r="N20" s="577">
        <v>1494069.75</v>
      </c>
      <c r="O20" s="413">
        <v>0.28153433534401145</v>
      </c>
      <c r="P20" s="583">
        <f t="shared" si="4"/>
        <v>4.656504825159602E-2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4061494</v>
      </c>
      <c r="E21" s="69">
        <v>3992390.3</v>
      </c>
      <c r="F21" s="415">
        <f t="shared" si="5"/>
        <v>0.9829856451837673</v>
      </c>
      <c r="G21" s="69">
        <v>3962943.95</v>
      </c>
      <c r="H21" s="415">
        <f t="shared" si="1"/>
        <v>0.97573551752138499</v>
      </c>
      <c r="I21" s="69">
        <v>1468234.18</v>
      </c>
      <c r="J21" s="431">
        <f t="shared" si="2"/>
        <v>0.36150100923453288</v>
      </c>
      <c r="K21" s="576">
        <v>3655677.93</v>
      </c>
      <c r="L21" s="415">
        <v>0.99223262302941817</v>
      </c>
      <c r="M21" s="210">
        <f t="shared" si="3"/>
        <v>8.4051720606579838E-2</v>
      </c>
      <c r="N21" s="576">
        <v>2015487.88</v>
      </c>
      <c r="O21" s="415">
        <v>0.54704841732499154</v>
      </c>
      <c r="P21" s="443">
        <f t="shared" si="4"/>
        <v>-0.27152418301815839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1227570.26</v>
      </c>
      <c r="E22" s="73">
        <v>836187.17</v>
      </c>
      <c r="F22" s="416">
        <f t="shared" si="5"/>
        <v>0.68117255463650617</v>
      </c>
      <c r="G22" s="237">
        <v>763611.87</v>
      </c>
      <c r="H22" s="414">
        <f t="shared" si="1"/>
        <v>0.62205145797520378</v>
      </c>
      <c r="I22" s="62">
        <v>410314.28</v>
      </c>
      <c r="J22" s="430">
        <f t="shared" si="2"/>
        <v>0.33424912069798762</v>
      </c>
      <c r="K22" s="577">
        <v>711713.5</v>
      </c>
      <c r="L22" s="413">
        <v>0.76068653730609315</v>
      </c>
      <c r="M22" s="640">
        <f t="shared" si="3"/>
        <v>7.2920311333141807E-2</v>
      </c>
      <c r="N22" s="577">
        <v>353819.31</v>
      </c>
      <c r="O22" s="413">
        <v>0.37816563231683975</v>
      </c>
      <c r="P22" s="584">
        <f t="shared" si="4"/>
        <v>0.15967181101562833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755190.53</v>
      </c>
      <c r="E23" s="82">
        <v>640310.87</v>
      </c>
      <c r="F23" s="415">
        <f t="shared" si="5"/>
        <v>0.84787989859989366</v>
      </c>
      <c r="G23" s="69">
        <v>588546.36</v>
      </c>
      <c r="H23" s="415">
        <f t="shared" si="1"/>
        <v>0.77933493154369926</v>
      </c>
      <c r="I23" s="69">
        <v>326794.15999999997</v>
      </c>
      <c r="J23" s="429">
        <f t="shared" si="2"/>
        <v>0.43273074412095708</v>
      </c>
      <c r="K23" s="576">
        <v>662643.78</v>
      </c>
      <c r="L23" s="415">
        <v>0.8562973198682563</v>
      </c>
      <c r="M23" s="210">
        <f t="shared" si="3"/>
        <v>-0.11182089417635521</v>
      </c>
      <c r="N23" s="576">
        <v>274821.39</v>
      </c>
      <c r="O23" s="415">
        <v>0.35513623880913636</v>
      </c>
      <c r="P23" s="584">
        <f t="shared" si="4"/>
        <v>0.18911471919998646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4">
        <v>2494907.58</v>
      </c>
      <c r="E24" s="237">
        <v>2347658.2400000002</v>
      </c>
      <c r="F24" s="130">
        <f t="shared" si="5"/>
        <v>0.94098004223467069</v>
      </c>
      <c r="G24" s="82">
        <v>2347658.2400000002</v>
      </c>
      <c r="H24" s="130">
        <f t="shared" si="1"/>
        <v>0.94098004223467069</v>
      </c>
      <c r="I24" s="82">
        <v>1701298.35</v>
      </c>
      <c r="J24" s="194">
        <f t="shared" si="2"/>
        <v>0.68190836551949552</v>
      </c>
      <c r="K24" s="394">
        <v>1698527.79</v>
      </c>
      <c r="L24" s="130">
        <v>0.68856265628946012</v>
      </c>
      <c r="M24" s="210">
        <f t="shared" si="3"/>
        <v>0.38217240472703717</v>
      </c>
      <c r="N24" s="394">
        <v>424129.15</v>
      </c>
      <c r="O24" s="130">
        <v>0.17193683603716067</v>
      </c>
      <c r="P24" s="584">
        <f t="shared" si="4"/>
        <v>3.0112742781296689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634347.34</v>
      </c>
      <c r="E25" s="73">
        <v>397586.17</v>
      </c>
      <c r="F25" s="413">
        <f t="shared" si="5"/>
        <v>0.62676414785628332</v>
      </c>
      <c r="G25" s="62">
        <v>370741.59</v>
      </c>
      <c r="H25" s="413">
        <f t="shared" si="1"/>
        <v>0.58444572337924527</v>
      </c>
      <c r="I25" s="62">
        <v>370741.59</v>
      </c>
      <c r="J25" s="430">
        <f t="shared" si="2"/>
        <v>0.58444572337924527</v>
      </c>
      <c r="K25" s="577">
        <v>290495.76</v>
      </c>
      <c r="L25" s="413">
        <v>0.36810318210774978</v>
      </c>
      <c r="M25" s="640">
        <f t="shared" si="3"/>
        <v>0.27623752580760574</v>
      </c>
      <c r="N25" s="577">
        <v>290495.76</v>
      </c>
      <c r="O25" s="413">
        <v>0.36810318210774978</v>
      </c>
      <c r="P25" s="584">
        <f t="shared" ref="P25" si="6">+I25/N25-1</f>
        <v>0.27623752580760574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1040894.25</v>
      </c>
      <c r="E26" s="82">
        <v>702669.01</v>
      </c>
      <c r="F26" s="415">
        <f>+E26/D26</f>
        <v>0.67506282218390579</v>
      </c>
      <c r="G26" s="82">
        <v>186704.69</v>
      </c>
      <c r="H26" s="415">
        <f>+G26/D26</f>
        <v>0.17936950847792654</v>
      </c>
      <c r="I26" s="82">
        <v>179049.02</v>
      </c>
      <c r="J26" s="429">
        <f>I26/D26</f>
        <v>0.17201461147470071</v>
      </c>
      <c r="K26" s="576">
        <v>174049.2</v>
      </c>
      <c r="L26" s="415">
        <v>0.16904440704806045</v>
      </c>
      <c r="M26" s="210">
        <f t="shared" si="3"/>
        <v>7.2712141164682054E-2</v>
      </c>
      <c r="N26" s="576">
        <v>174049.2</v>
      </c>
      <c r="O26" s="415">
        <v>0.16904440704806045</v>
      </c>
      <c r="P26" s="585">
        <f t="shared" si="4"/>
        <v>2.8726475042688993E-2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10016665.640000001</v>
      </c>
      <c r="E27" s="82">
        <v>9989758.2100000009</v>
      </c>
      <c r="F27" s="130">
        <f>+E27/D27</f>
        <v>0.99731373383448585</v>
      </c>
      <c r="G27" s="82">
        <v>7068368.3099999996</v>
      </c>
      <c r="H27" s="130">
        <f>+G27/D27</f>
        <v>0.70566080211099058</v>
      </c>
      <c r="I27" s="82">
        <v>3445075.25</v>
      </c>
      <c r="J27" s="194">
        <f>I27/D27</f>
        <v>0.34393433641656423</v>
      </c>
      <c r="K27" s="394">
        <v>4446178.7699999996</v>
      </c>
      <c r="L27" s="130">
        <v>0.34654681824000477</v>
      </c>
      <c r="M27" s="210">
        <f t="shared" si="3"/>
        <v>0.58976250745761183</v>
      </c>
      <c r="N27" s="394">
        <v>1954092.46</v>
      </c>
      <c r="O27" s="130">
        <v>0.15230708426053319</v>
      </c>
      <c r="P27" s="585">
        <f t="shared" si="4"/>
        <v>0.7630052418297546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4">
        <v>1176873.23</v>
      </c>
      <c r="E28" s="237">
        <v>870878.7</v>
      </c>
      <c r="F28" s="130">
        <f t="shared" si="5"/>
        <v>0.73999363550821862</v>
      </c>
      <c r="G28" s="82">
        <v>413655.07</v>
      </c>
      <c r="H28" s="130">
        <f t="shared" si="1"/>
        <v>0.3514865148219915</v>
      </c>
      <c r="I28" s="82">
        <v>383820.07</v>
      </c>
      <c r="J28" s="194">
        <f t="shared" si="2"/>
        <v>0.32613544111288861</v>
      </c>
      <c r="K28" s="394">
        <v>532846.96</v>
      </c>
      <c r="L28" s="130">
        <v>0.46344367043358015</v>
      </c>
      <c r="M28" s="210">
        <f t="shared" si="3"/>
        <v>-0.22368878673906667</v>
      </c>
      <c r="N28" s="394">
        <v>517898.09</v>
      </c>
      <c r="O28" s="130">
        <v>0.45044188999434409</v>
      </c>
      <c r="P28" s="443">
        <f t="shared" si="4"/>
        <v>-0.25888880957255511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4">
        <v>33386094.850000001</v>
      </c>
      <c r="E29" s="237">
        <v>27302055.670000002</v>
      </c>
      <c r="F29" s="130">
        <f t="shared" si="5"/>
        <v>0.81776727085527945</v>
      </c>
      <c r="G29" s="82">
        <v>20874993.899999999</v>
      </c>
      <c r="H29" s="130">
        <f t="shared" si="1"/>
        <v>0.62526012682193044</v>
      </c>
      <c r="I29" s="82">
        <v>11495674.720000001</v>
      </c>
      <c r="J29" s="194">
        <f t="shared" si="2"/>
        <v>0.3443252279623833</v>
      </c>
      <c r="K29" s="394">
        <v>15685016.52</v>
      </c>
      <c r="L29" s="130">
        <v>0.5571856168298277</v>
      </c>
      <c r="M29" s="210">
        <f t="shared" si="3"/>
        <v>0.33088759411775226</v>
      </c>
      <c r="N29" s="394">
        <v>9197017.6400000006</v>
      </c>
      <c r="O29" s="130">
        <v>0.32670963018776644</v>
      </c>
      <c r="P29" s="443">
        <f t="shared" si="4"/>
        <v>0.24993505177184816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18173038.170000002</v>
      </c>
      <c r="E30" s="73">
        <v>12614638.08</v>
      </c>
      <c r="F30" s="413">
        <f t="shared" si="5"/>
        <v>0.69414029519974307</v>
      </c>
      <c r="G30" s="62">
        <v>9795953.4399999995</v>
      </c>
      <c r="H30" s="413">
        <f t="shared" si="1"/>
        <v>0.53903774087544321</v>
      </c>
      <c r="I30" s="62">
        <v>4028174.6</v>
      </c>
      <c r="J30" s="430">
        <f t="shared" si="2"/>
        <v>0.22165664113608141</v>
      </c>
      <c r="K30" s="577">
        <v>5409930.0099999998</v>
      </c>
      <c r="L30" s="413">
        <v>0.36384364745092174</v>
      </c>
      <c r="M30" s="640">
        <f t="shared" si="3"/>
        <v>0.81073570672682327</v>
      </c>
      <c r="N30" s="577">
        <v>2707201.65</v>
      </c>
      <c r="O30" s="413">
        <v>0.18207224879072947</v>
      </c>
      <c r="P30" s="584">
        <f t="shared" si="4"/>
        <v>0.48794774855430534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14920290.9</v>
      </c>
      <c r="E31" s="71">
        <v>13767570.07</v>
      </c>
      <c r="F31" s="414">
        <f t="shared" si="5"/>
        <v>0.92274139708629943</v>
      </c>
      <c r="G31" s="71">
        <v>13725763.029999999</v>
      </c>
      <c r="H31" s="130">
        <f t="shared" si="1"/>
        <v>0.91993937128933589</v>
      </c>
      <c r="I31" s="71">
        <v>6108199.25</v>
      </c>
      <c r="J31" s="429">
        <f t="shared" si="2"/>
        <v>0.409388750590647</v>
      </c>
      <c r="K31" s="576">
        <v>12197875.07</v>
      </c>
      <c r="L31" s="415">
        <v>0.97423604631379346</v>
      </c>
      <c r="M31" s="210">
        <f t="shared" si="3"/>
        <v>0.12525853488676519</v>
      </c>
      <c r="N31" s="576">
        <v>6200521.8899999997</v>
      </c>
      <c r="O31" s="415">
        <v>0.49523149700497215</v>
      </c>
      <c r="P31" s="584">
        <f t="shared" si="4"/>
        <v>-1.4889495051843116E-2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10410121.939999999</v>
      </c>
      <c r="E32" s="71">
        <v>7834994.9199999999</v>
      </c>
      <c r="F32" s="130">
        <f t="shared" si="5"/>
        <v>0.75263238655204456</v>
      </c>
      <c r="G32" s="71">
        <v>6135744.6399999997</v>
      </c>
      <c r="H32" s="130">
        <f t="shared" si="1"/>
        <v>0.58940180291490418</v>
      </c>
      <c r="I32" s="71">
        <v>3164910.34</v>
      </c>
      <c r="J32" s="194">
        <f t="shared" si="2"/>
        <v>0.30402240802186031</v>
      </c>
      <c r="K32" s="394">
        <v>3875120.31</v>
      </c>
      <c r="L32" s="130">
        <v>0.61817619633934984</v>
      </c>
      <c r="M32" s="210">
        <f t="shared" si="3"/>
        <v>0.58336881158665221</v>
      </c>
      <c r="N32" s="394">
        <v>1898808.9</v>
      </c>
      <c r="O32" s="130">
        <v>0.30290632792696565</v>
      </c>
      <c r="P32" s="443">
        <f t="shared" si="4"/>
        <v>0.6667871843238149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3554561.99</v>
      </c>
      <c r="E33" s="71">
        <v>2152241.23</v>
      </c>
      <c r="F33" s="130">
        <f t="shared" si="5"/>
        <v>0.60548704342612969</v>
      </c>
      <c r="G33" s="677">
        <v>1946720.73</v>
      </c>
      <c r="H33" s="130">
        <f t="shared" si="1"/>
        <v>0.54766824589828011</v>
      </c>
      <c r="I33" s="71">
        <v>830475.82</v>
      </c>
      <c r="J33" s="194">
        <f t="shared" si="2"/>
        <v>0.23363661186283036</v>
      </c>
      <c r="K33" s="394">
        <v>1332945.3500000001</v>
      </c>
      <c r="L33" s="130">
        <v>0.60811656575205586</v>
      </c>
      <c r="M33" s="210">
        <f t="shared" si="3"/>
        <v>0.46046552471187208</v>
      </c>
      <c r="N33" s="394">
        <v>583816.95999999996</v>
      </c>
      <c r="O33" s="130">
        <v>0.2663490778095331</v>
      </c>
      <c r="P33" s="443">
        <f t="shared" si="4"/>
        <v>0.42249348151859101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1689964.77</v>
      </c>
      <c r="F34" s="130">
        <f t="shared" si="5"/>
        <v>0.57974777701543745</v>
      </c>
      <c r="G34" s="71">
        <v>1689964.77</v>
      </c>
      <c r="H34" s="130">
        <f t="shared" si="1"/>
        <v>0.57974777701543745</v>
      </c>
      <c r="I34" s="71">
        <v>1121562.01</v>
      </c>
      <c r="J34" s="194">
        <f t="shared" si="2"/>
        <v>0.38475540651801027</v>
      </c>
      <c r="K34" s="394">
        <v>842567</v>
      </c>
      <c r="L34" s="130">
        <v>0.22558688085676037</v>
      </c>
      <c r="M34" s="210">
        <f t="shared" si="3"/>
        <v>1.0057333956824799</v>
      </c>
      <c r="N34" s="394">
        <v>762266.15</v>
      </c>
      <c r="O34" s="130">
        <v>0.20408732262382864</v>
      </c>
      <c r="P34" s="443">
        <f t="shared" si="4"/>
        <v>0.47135224357004435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17282697.780000001</v>
      </c>
      <c r="E35" s="71">
        <v>15864403.960000001</v>
      </c>
      <c r="F35" s="130">
        <f t="shared" si="5"/>
        <v>0.91793562335845003</v>
      </c>
      <c r="G35" s="71">
        <v>15742810.52</v>
      </c>
      <c r="H35" s="130">
        <f t="shared" si="1"/>
        <v>0.91090006435326321</v>
      </c>
      <c r="I35" s="71">
        <v>6219739.4699999997</v>
      </c>
      <c r="J35" s="194">
        <f t="shared" si="2"/>
        <v>0.35988244133954872</v>
      </c>
      <c r="K35" s="394">
        <v>15436487.59</v>
      </c>
      <c r="L35" s="130">
        <v>0.92608992818040692</v>
      </c>
      <c r="M35" s="210">
        <f t="shared" si="3"/>
        <v>1.9844082289707021E-2</v>
      </c>
      <c r="N35" s="394">
        <v>7762286.7999999998</v>
      </c>
      <c r="O35" s="130">
        <v>0.46568726099223462</v>
      </c>
      <c r="P35" s="443">
        <f t="shared" si="4"/>
        <v>-0.19872331050689862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13083012.58</v>
      </c>
      <c r="E36" s="71">
        <v>13083012.58</v>
      </c>
      <c r="F36" s="130">
        <f t="shared" si="5"/>
        <v>1</v>
      </c>
      <c r="G36" s="71">
        <v>13083012.58</v>
      </c>
      <c r="H36" s="130">
        <f t="shared" si="1"/>
        <v>1</v>
      </c>
      <c r="I36" s="71">
        <v>6383398.3799999999</v>
      </c>
      <c r="J36" s="194">
        <f t="shared" si="2"/>
        <v>0.48791502270343301</v>
      </c>
      <c r="K36" s="394">
        <v>12939002.66</v>
      </c>
      <c r="L36" s="130">
        <v>1</v>
      </c>
      <c r="M36" s="210">
        <f t="shared" si="3"/>
        <v>1.1129908833328983E-2</v>
      </c>
      <c r="N36" s="394">
        <v>6699280.0199999996</v>
      </c>
      <c r="O36" s="130">
        <v>0.51775860907041493</v>
      </c>
      <c r="P36" s="443">
        <f t="shared" si="4"/>
        <v>-4.7151580327582709E-2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2256669.19</v>
      </c>
      <c r="J37" s="194">
        <f t="shared" si="2"/>
        <v>0.42972043425873585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4202781.07</v>
      </c>
      <c r="J38" s="194">
        <f t="shared" si="2"/>
        <v>0.27649875460526319</v>
      </c>
      <c r="K38" s="394">
        <v>12894141.789999999</v>
      </c>
      <c r="L38" s="130">
        <v>0.94537779145201695</v>
      </c>
      <c r="M38" s="210">
        <f t="shared" si="3"/>
        <v>0.1788299095476289</v>
      </c>
      <c r="N38" s="394">
        <v>6108564.3099999996</v>
      </c>
      <c r="O38" s="130">
        <v>0.44787013594104536</v>
      </c>
      <c r="P38" s="443">
        <f t="shared" si="4"/>
        <v>-0.31198545898586105</v>
      </c>
      <c r="Q38" s="59">
        <v>22716</v>
      </c>
    </row>
    <row r="39" spans="1:17" ht="15" customHeight="1" x14ac:dyDescent="0.25">
      <c r="A39" s="70"/>
      <c r="B39" s="70" t="s">
        <v>454</v>
      </c>
      <c r="C39" s="184">
        <v>315810.43</v>
      </c>
      <c r="D39" s="188">
        <v>348842.02</v>
      </c>
      <c r="E39" s="71">
        <v>340870.01</v>
      </c>
      <c r="F39" s="130">
        <f t="shared" si="5"/>
        <v>0.97714721982174046</v>
      </c>
      <c r="G39" s="71">
        <v>340870.01</v>
      </c>
      <c r="H39" s="130">
        <f t="shared" si="1"/>
        <v>0.97714721982174046</v>
      </c>
      <c r="I39" s="71">
        <v>105788.76</v>
      </c>
      <c r="J39" s="194">
        <f t="shared" si="2"/>
        <v>0.30325692988476555</v>
      </c>
      <c r="K39" s="394">
        <v>288225.24</v>
      </c>
      <c r="L39" s="130">
        <v>0.77427477330671901</v>
      </c>
      <c r="M39" s="210">
        <f t="shared" si="3"/>
        <v>0.18265149159039651</v>
      </c>
      <c r="N39" s="394">
        <v>133462.48000000001</v>
      </c>
      <c r="O39" s="130">
        <v>0.35852734981486195</v>
      </c>
      <c r="P39" s="443">
        <f t="shared" si="4"/>
        <v>-0.20735205879585039</v>
      </c>
      <c r="Q39" s="59" t="s">
        <v>455</v>
      </c>
    </row>
    <row r="40" spans="1:17" ht="15" customHeight="1" x14ac:dyDescent="0.25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162845.20000000001</v>
      </c>
      <c r="J40" s="194">
        <f t="shared" si="2"/>
        <v>0.25560138256406589</v>
      </c>
      <c r="K40" s="394">
        <v>155408.82999999999</v>
      </c>
      <c r="L40" s="130">
        <v>0.23616792956395374</v>
      </c>
      <c r="M40" s="210">
        <f t="shared" si="3"/>
        <v>2.2012182962834226</v>
      </c>
      <c r="N40" s="394">
        <v>90075.08</v>
      </c>
      <c r="O40" s="130">
        <v>0.13688311757386953</v>
      </c>
      <c r="P40" s="443">
        <f t="shared" si="4"/>
        <v>0.80788293499156483</v>
      </c>
      <c r="Q40" s="59" t="s">
        <v>457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69681200.379999995</v>
      </c>
      <c r="E41" s="71">
        <v>58578164.439999998</v>
      </c>
      <c r="F41" s="130">
        <f t="shared" ref="F41:F55" si="7">+E41/D41</f>
        <v>0.84065951964876295</v>
      </c>
      <c r="G41" s="71">
        <v>55586218.270000003</v>
      </c>
      <c r="H41" s="130">
        <f t="shared" ref="H41:H55" si="8">+G41/D41</f>
        <v>0.79772188146681877</v>
      </c>
      <c r="I41" s="71">
        <v>27614247.800000001</v>
      </c>
      <c r="J41" s="194">
        <f t="shared" ref="J41:J55" si="9">I41/D41</f>
        <v>0.39629408864095694</v>
      </c>
      <c r="K41" s="394">
        <v>52614771.990000002</v>
      </c>
      <c r="L41" s="130">
        <v>0.84650925561890455</v>
      </c>
      <c r="M41" s="210">
        <f t="shared" si="3"/>
        <v>5.6475513769493446E-2</v>
      </c>
      <c r="N41" s="394">
        <v>27572334.789999999</v>
      </c>
      <c r="O41" s="130">
        <v>0.44360615310077145</v>
      </c>
      <c r="P41" s="443">
        <f t="shared" si="4"/>
        <v>1.520111021399817E-3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1670000</v>
      </c>
      <c r="E42" s="71">
        <v>1670000</v>
      </c>
      <c r="F42" s="130">
        <f t="shared" si="7"/>
        <v>1</v>
      </c>
      <c r="G42" s="71">
        <v>1670000</v>
      </c>
      <c r="H42" s="130">
        <f t="shared" si="8"/>
        <v>1</v>
      </c>
      <c r="I42" s="71">
        <v>842324.95</v>
      </c>
      <c r="J42" s="194">
        <f t="shared" si="9"/>
        <v>0.50438619760479042</v>
      </c>
      <c r="K42" s="394">
        <v>1748200.23</v>
      </c>
      <c r="L42" s="130">
        <v>1</v>
      </c>
      <c r="M42" s="210">
        <f t="shared" si="3"/>
        <v>-4.4731849737830065E-2</v>
      </c>
      <c r="N42" s="394">
        <v>758127.3</v>
      </c>
      <c r="O42" s="130">
        <v>0.43366159493069056</v>
      </c>
      <c r="P42" s="443">
        <f t="shared" si="4"/>
        <v>0.11106004229105038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765</v>
      </c>
      <c r="D44" s="754" t="s">
        <v>782</v>
      </c>
      <c r="E44" s="752"/>
      <c r="F44" s="752"/>
      <c r="G44" s="752"/>
      <c r="H44" s="752"/>
      <c r="I44" s="752"/>
      <c r="J44" s="753"/>
      <c r="K44" s="760" t="s">
        <v>783</v>
      </c>
      <c r="L44" s="761"/>
      <c r="M44" s="761"/>
      <c r="N44" s="761"/>
      <c r="O44" s="761"/>
      <c r="P44" s="762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1" t="s">
        <v>39</v>
      </c>
      <c r="O45" s="88" t="s">
        <v>40</v>
      </c>
      <c r="P45" s="149" t="s">
        <v>362</v>
      </c>
    </row>
    <row r="46" spans="1:17" ht="26.4" x14ac:dyDescent="0.25">
      <c r="A46" s="674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1" t="s">
        <v>764</v>
      </c>
      <c r="N46" s="558" t="s">
        <v>17</v>
      </c>
      <c r="O46" s="89" t="s">
        <v>18</v>
      </c>
      <c r="P46" s="581" t="s">
        <v>764</v>
      </c>
      <c r="Q46" s="58" t="s">
        <v>163</v>
      </c>
    </row>
    <row r="47" spans="1:17" ht="15" customHeight="1" x14ac:dyDescent="0.25">
      <c r="A47" s="81"/>
      <c r="B47" s="692" t="s">
        <v>277</v>
      </c>
      <c r="C47" s="186">
        <v>2113545.42</v>
      </c>
      <c r="D47" s="190">
        <v>1288895.3999999999</v>
      </c>
      <c r="E47" s="82">
        <v>1288895.3999999999</v>
      </c>
      <c r="F47" s="414">
        <f t="shared" si="7"/>
        <v>1</v>
      </c>
      <c r="G47" s="82">
        <v>1288895.3999999999</v>
      </c>
      <c r="H47" s="414">
        <f t="shared" si="8"/>
        <v>1</v>
      </c>
      <c r="I47" s="82">
        <v>623191.64</v>
      </c>
      <c r="J47" s="431">
        <f t="shared" si="9"/>
        <v>0.48350831262180005</v>
      </c>
      <c r="K47" s="578">
        <v>1288895.3999999999</v>
      </c>
      <c r="L47" s="414">
        <v>0.78901807314511962</v>
      </c>
      <c r="M47" s="210">
        <f t="shared" si="3"/>
        <v>0</v>
      </c>
      <c r="N47" s="578">
        <v>548054.79</v>
      </c>
      <c r="O47" s="414">
        <v>0.33550056457937022</v>
      </c>
      <c r="P47" s="585">
        <f t="shared" si="4"/>
        <v>0.13709733291447002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1277874.26</v>
      </c>
      <c r="J48" s="194">
        <f t="shared" si="9"/>
        <v>0.47282496882553982</v>
      </c>
      <c r="K48" s="394">
        <v>2695096.99</v>
      </c>
      <c r="L48" s="130">
        <v>0.96422306619134535</v>
      </c>
      <c r="M48" s="210">
        <f t="shared" si="3"/>
        <v>5.3678216604735596E-4</v>
      </c>
      <c r="N48" s="394">
        <v>977590.89</v>
      </c>
      <c r="O48" s="130">
        <v>0.34975204563473838</v>
      </c>
      <c r="P48" s="585">
        <f t="shared" si="4"/>
        <v>0.30716670242293276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9088585.0399999991</v>
      </c>
      <c r="E49" s="71">
        <v>9077446.7400000002</v>
      </c>
      <c r="F49" s="130">
        <f t="shared" si="7"/>
        <v>0.99877447369959371</v>
      </c>
      <c r="G49" s="71">
        <v>8763239.7200000007</v>
      </c>
      <c r="H49" s="130">
        <f t="shared" si="8"/>
        <v>0.96420286341954076</v>
      </c>
      <c r="I49" s="71">
        <v>2964227.37</v>
      </c>
      <c r="J49" s="194">
        <f t="shared" si="9"/>
        <v>0.32614838910062072</v>
      </c>
      <c r="K49" s="394">
        <v>8399842.1999999993</v>
      </c>
      <c r="L49" s="130">
        <v>0.91867614744699744</v>
      </c>
      <c r="M49" s="210">
        <f t="shared" si="3"/>
        <v>4.3262422239313203E-2</v>
      </c>
      <c r="N49" s="394">
        <v>2900927.02</v>
      </c>
      <c r="O49" s="130">
        <v>0.317269348078765</v>
      </c>
      <c r="P49" s="585">
        <f t="shared" si="4"/>
        <v>2.1820731636330581E-2</v>
      </c>
      <c r="Q49" s="59">
        <v>22724</v>
      </c>
    </row>
    <row r="50" spans="1:17" ht="15" customHeight="1" x14ac:dyDescent="0.25">
      <c r="A50" s="70"/>
      <c r="B50" s="70" t="s">
        <v>459</v>
      </c>
      <c r="C50" s="184">
        <v>205380.83</v>
      </c>
      <c r="D50" s="188">
        <v>225664.88</v>
      </c>
      <c r="E50" s="71">
        <v>221611.55</v>
      </c>
      <c r="F50" s="130">
        <f t="shared" si="7"/>
        <v>0.98203827728975812</v>
      </c>
      <c r="G50" s="71">
        <v>147374.69</v>
      </c>
      <c r="H50" s="130">
        <f t="shared" si="8"/>
        <v>0.65306878943679669</v>
      </c>
      <c r="I50" s="71">
        <v>97374.09</v>
      </c>
      <c r="J50" s="194">
        <f t="shared" si="9"/>
        <v>0.43149864524776738</v>
      </c>
      <c r="K50" s="394">
        <v>41238.660000000003</v>
      </c>
      <c r="L50" s="130">
        <v>0.30836629273421595</v>
      </c>
      <c r="M50" s="210">
        <f t="shared" si="3"/>
        <v>2.5737022007989587</v>
      </c>
      <c r="N50" s="394">
        <v>41238.660000000003</v>
      </c>
      <c r="O50" s="130">
        <v>0.30836629273421595</v>
      </c>
      <c r="P50" s="585">
        <f t="shared" si="4"/>
        <v>1.3612331244516671</v>
      </c>
      <c r="Q50" s="59" t="s">
        <v>458</v>
      </c>
    </row>
    <row r="51" spans="1:17" ht="15" customHeight="1" x14ac:dyDescent="0.25">
      <c r="A51" s="70"/>
      <c r="B51" s="70" t="s">
        <v>460</v>
      </c>
      <c r="C51" s="184">
        <v>0</v>
      </c>
      <c r="D51" s="188"/>
      <c r="E51" s="71"/>
      <c r="F51" s="130" t="s">
        <v>129</v>
      </c>
      <c r="G51" s="71"/>
      <c r="H51" s="130" t="s">
        <v>129</v>
      </c>
      <c r="I51" s="71">
        <v>0</v>
      </c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85" t="s">
        <v>129</v>
      </c>
      <c r="Q51" s="59" t="s">
        <v>461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263540530.5</v>
      </c>
      <c r="E52" s="71">
        <v>256561922.80000001</v>
      </c>
      <c r="F52" s="130">
        <f t="shared" si="7"/>
        <v>0.97351979338145866</v>
      </c>
      <c r="G52" s="71">
        <v>256561922.80000001</v>
      </c>
      <c r="H52" s="130">
        <f t="shared" si="8"/>
        <v>0.97351979338145866</v>
      </c>
      <c r="I52" s="71">
        <v>127613710.3</v>
      </c>
      <c r="J52" s="194">
        <f t="shared" si="9"/>
        <v>0.48422802389403247</v>
      </c>
      <c r="K52" s="394">
        <v>256436783.59999999</v>
      </c>
      <c r="L52" s="130">
        <v>1</v>
      </c>
      <c r="M52" s="210">
        <f t="shared" si="3"/>
        <v>4.8799239423935603E-4</v>
      </c>
      <c r="N52" s="394">
        <v>121079144.05</v>
      </c>
      <c r="O52" s="130">
        <v>0.47215981401039536</v>
      </c>
      <c r="P52" s="585">
        <f t="shared" si="4"/>
        <v>5.3969379295426334E-2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2270394.19</v>
      </c>
      <c r="E53" s="71">
        <v>2270394.19</v>
      </c>
      <c r="F53" s="130">
        <f t="shared" si="7"/>
        <v>1</v>
      </c>
      <c r="G53" s="71">
        <v>2270394.19</v>
      </c>
      <c r="H53" s="130">
        <f t="shared" si="8"/>
        <v>1</v>
      </c>
      <c r="I53" s="71">
        <v>704525.9</v>
      </c>
      <c r="J53" s="194">
        <f t="shared" si="9"/>
        <v>0.31030994666172929</v>
      </c>
      <c r="K53" s="394">
        <v>1607783.47</v>
      </c>
      <c r="L53" s="130">
        <v>0.88057525761171418</v>
      </c>
      <c r="M53" s="210">
        <f t="shared" si="3"/>
        <v>0.41212683944312478</v>
      </c>
      <c r="N53" s="394">
        <v>350461.23</v>
      </c>
      <c r="O53" s="130">
        <v>0.19194592658062856</v>
      </c>
      <c r="P53" s="585">
        <f t="shared" si="4"/>
        <v>1.0102819932464429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51444070.530000001</v>
      </c>
      <c r="E54" s="71">
        <v>46844148.799999997</v>
      </c>
      <c r="F54" s="130">
        <f t="shared" si="7"/>
        <v>0.91058402489131329</v>
      </c>
      <c r="G54" s="71">
        <v>46539141.810000002</v>
      </c>
      <c r="H54" s="130">
        <f t="shared" si="8"/>
        <v>0.90465512022149075</v>
      </c>
      <c r="I54" s="71">
        <v>24139196.789999999</v>
      </c>
      <c r="J54" s="194">
        <f t="shared" si="9"/>
        <v>0.46923185784692217</v>
      </c>
      <c r="K54" s="394">
        <v>42649106.93</v>
      </c>
      <c r="L54" s="130">
        <v>0.88748410503233033</v>
      </c>
      <c r="M54" s="210">
        <f t="shared" si="3"/>
        <v>9.12102306476128E-2</v>
      </c>
      <c r="N54" s="394">
        <v>23333279.91</v>
      </c>
      <c r="O54" s="130">
        <v>0.48554158642484863</v>
      </c>
      <c r="P54" s="585">
        <f t="shared" si="4"/>
        <v>3.4539373937506612E-2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1976813.3</v>
      </c>
      <c r="J55" s="194">
        <f t="shared" si="9"/>
        <v>0.46238771738447509</v>
      </c>
      <c r="K55" s="394">
        <v>3541070.64</v>
      </c>
      <c r="L55" s="130">
        <v>0.72175355637377892</v>
      </c>
      <c r="M55" s="210">
        <f t="shared" si="3"/>
        <v>0.20468783418565173</v>
      </c>
      <c r="N55" s="394">
        <v>2417455.86</v>
      </c>
      <c r="O55" s="130">
        <v>0.49273441332185119</v>
      </c>
      <c r="P55" s="585">
        <f t="shared" si="4"/>
        <v>-0.18227532807982683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9800520.1699999999</v>
      </c>
      <c r="E56" s="73">
        <v>9406071.1199999992</v>
      </c>
      <c r="F56" s="413">
        <f t="shared" si="5"/>
        <v>0.95975223323273862</v>
      </c>
      <c r="G56" s="73">
        <v>4950351.47</v>
      </c>
      <c r="H56" s="413">
        <f t="shared" si="1"/>
        <v>0.50511109452673064</v>
      </c>
      <c r="I56" s="73">
        <v>3416267.84</v>
      </c>
      <c r="J56" s="430">
        <f t="shared" si="2"/>
        <v>0.3485802570416015</v>
      </c>
      <c r="K56" s="577">
        <v>4431972.3299999796</v>
      </c>
      <c r="L56" s="130">
        <v>0.87790653030471011</v>
      </c>
      <c r="M56" s="639">
        <f t="shared" si="3"/>
        <v>0.11696353257693337</v>
      </c>
      <c r="N56" s="577">
        <v>2138029.5100000198</v>
      </c>
      <c r="O56" s="130">
        <v>0.42351123361214793</v>
      </c>
      <c r="P56" s="585">
        <f t="shared" si="4"/>
        <v>0.59785813246327368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1705191.65</v>
      </c>
      <c r="E57" s="71">
        <v>1195946.83</v>
      </c>
      <c r="F57" s="414">
        <f t="shared" si="5"/>
        <v>0.70135625517518818</v>
      </c>
      <c r="G57" s="472">
        <v>670788.48</v>
      </c>
      <c r="H57" s="414">
        <f t="shared" si="1"/>
        <v>0.39338011067553608</v>
      </c>
      <c r="I57" s="71">
        <v>604781.98</v>
      </c>
      <c r="J57" s="431">
        <f t="shared" si="2"/>
        <v>0.35467097202827613</v>
      </c>
      <c r="K57" s="578">
        <v>731727.81</v>
      </c>
      <c r="L57" s="415">
        <v>0.45941183230635019</v>
      </c>
      <c r="M57" s="210">
        <f t="shared" si="3"/>
        <v>-8.328141853731108E-2</v>
      </c>
      <c r="N57" s="578">
        <v>731727.81</v>
      </c>
      <c r="O57" s="415">
        <v>0.45941183230635019</v>
      </c>
      <c r="P57" s="585">
        <f t="shared" si="4"/>
        <v>-0.17348777546120608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1046526.1</v>
      </c>
      <c r="E58" s="71">
        <v>600947.02</v>
      </c>
      <c r="F58" s="130">
        <f t="shared" si="5"/>
        <v>0.57423032258822793</v>
      </c>
      <c r="G58" s="473">
        <v>499862.36</v>
      </c>
      <c r="H58" s="130">
        <f t="shared" si="1"/>
        <v>0.47763964988546392</v>
      </c>
      <c r="I58" s="71">
        <v>318660.93</v>
      </c>
      <c r="J58" s="194">
        <f t="shared" si="2"/>
        <v>0.30449401118615199</v>
      </c>
      <c r="K58" s="394">
        <v>373822.68</v>
      </c>
      <c r="L58" s="130">
        <v>0.31921692794327688</v>
      </c>
      <c r="M58" s="210">
        <f t="shared" si="3"/>
        <v>0.33716434754574021</v>
      </c>
      <c r="N58" s="394">
        <v>317922.58</v>
      </c>
      <c r="O58" s="130">
        <v>0.27148237584568352</v>
      </c>
      <c r="P58" s="585">
        <f t="shared" si="4"/>
        <v>2.3224207604253255E-3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526451.72</v>
      </c>
      <c r="E59" s="73">
        <v>240000</v>
      </c>
      <c r="F59" s="413">
        <f t="shared" si="5"/>
        <v>0.45588226020042261</v>
      </c>
      <c r="G59" s="474">
        <v>121200.75</v>
      </c>
      <c r="H59" s="413">
        <f>+G59/D59</f>
        <v>0.23022196603327652</v>
      </c>
      <c r="I59" s="73">
        <v>121200.75</v>
      </c>
      <c r="J59" s="430">
        <f t="shared" si="2"/>
        <v>0.23022196603327652</v>
      </c>
      <c r="K59" s="577">
        <v>123855.93</v>
      </c>
      <c r="L59" s="130">
        <v>0.41441780348669793</v>
      </c>
      <c r="M59" s="640">
        <f t="shared" si="3"/>
        <v>-2.1437649372137435E-2</v>
      </c>
      <c r="N59" s="577">
        <v>123855.93</v>
      </c>
      <c r="O59" s="130">
        <v>0.41441780348669793</v>
      </c>
      <c r="P59" s="585">
        <f t="shared" si="4"/>
        <v>-2.1437649372137435E-2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56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4">
        <v>0</v>
      </c>
      <c r="L60" s="580">
        <v>0</v>
      </c>
      <c r="M60" s="245" t="s">
        <v>129</v>
      </c>
      <c r="N60" s="574">
        <v>0</v>
      </c>
      <c r="O60" s="580">
        <v>0</v>
      </c>
      <c r="P60" s="245" t="s">
        <v>129</v>
      </c>
      <c r="Q60" s="59" t="s">
        <v>539</v>
      </c>
    </row>
    <row r="61" spans="1:17" ht="15" customHeight="1" x14ac:dyDescent="0.25">
      <c r="A61" s="522"/>
      <c r="B61" s="83" t="s">
        <v>240</v>
      </c>
      <c r="C61" s="162">
        <f>SUM(C12:C42,C47:C60)</f>
        <v>665063202.92999983</v>
      </c>
      <c r="D61" s="152">
        <f>SUM(D12:D42,D47:D60)</f>
        <v>659074571.84000015</v>
      </c>
      <c r="E61" s="84">
        <f>SUM(E12:E42,E47:E60)</f>
        <v>604718575.63000011</v>
      </c>
      <c r="F61" s="90">
        <f>+E61/D61</f>
        <v>0.9175267890274551</v>
      </c>
      <c r="G61" s="84">
        <f>SUM(G12:G42,G47:G60)</f>
        <v>571264209.0200001</v>
      </c>
      <c r="H61" s="90">
        <f t="shared" si="1"/>
        <v>0.8667671814816772</v>
      </c>
      <c r="I61" s="84">
        <f>SUM(I12:I42,I47:I60)</f>
        <v>280391453.74000001</v>
      </c>
      <c r="J61" s="170">
        <f t="shared" si="2"/>
        <v>0.4254320614391251</v>
      </c>
      <c r="K61" s="152">
        <f>SUM(K12:K42,K47:K60)</f>
        <v>543513616.3499999</v>
      </c>
      <c r="L61" s="90">
        <v>0.86399999999999999</v>
      </c>
      <c r="M61" s="623">
        <f t="shared" si="3"/>
        <v>5.1057768996407127E-2</v>
      </c>
      <c r="N61" s="562">
        <f>SUM(N12:N42,N47:N60)</f>
        <v>264598246.08000004</v>
      </c>
      <c r="O61" s="90">
        <v>0.42099999999999999</v>
      </c>
      <c r="P61" s="213">
        <f>+I61/N61-1</f>
        <v>5.9687499422142576E-2</v>
      </c>
    </row>
    <row r="62" spans="1:17" ht="15" customHeight="1" x14ac:dyDescent="0.25">
      <c r="A62" s="81"/>
      <c r="B62" s="81" t="s">
        <v>346</v>
      </c>
      <c r="C62" s="186">
        <v>21570000</v>
      </c>
      <c r="D62" s="190">
        <v>21570000</v>
      </c>
      <c r="E62" s="82">
        <v>10712169.57</v>
      </c>
      <c r="F62" s="414">
        <f>+E62/D62</f>
        <v>0.49662353129346315</v>
      </c>
      <c r="G62" s="82">
        <v>10712169.57</v>
      </c>
      <c r="H62" s="414">
        <f t="shared" si="1"/>
        <v>0.49662353129346315</v>
      </c>
      <c r="I62" s="82">
        <v>10712169.57</v>
      </c>
      <c r="J62" s="431">
        <f t="shared" si="2"/>
        <v>0.49662353129346315</v>
      </c>
      <c r="K62" s="578">
        <v>11883535.800000001</v>
      </c>
      <c r="L62" s="414">
        <v>0.50228283362546067</v>
      </c>
      <c r="M62" s="585">
        <f t="shared" si="3"/>
        <v>-9.8570513836462759E-2</v>
      </c>
      <c r="N62" s="578">
        <v>11883535.800000001</v>
      </c>
      <c r="O62" s="414">
        <v>0.50228283362546067</v>
      </c>
      <c r="P62" s="585">
        <f>+I62/N62-1</f>
        <v>-9.8570513836462759E-2</v>
      </c>
      <c r="Q62" s="59" t="s">
        <v>348</v>
      </c>
    </row>
    <row r="63" spans="1:17" ht="15" customHeight="1" x14ac:dyDescent="0.25">
      <c r="A63" s="70"/>
      <c r="B63" s="70" t="s">
        <v>347</v>
      </c>
      <c r="C63" s="184">
        <v>280000</v>
      </c>
      <c r="D63" s="188">
        <v>280000</v>
      </c>
      <c r="E63" s="71">
        <v>49143.48</v>
      </c>
      <c r="F63" s="130">
        <f>+E63/D63</f>
        <v>0.17551242857142857</v>
      </c>
      <c r="G63" s="71">
        <v>49143.48</v>
      </c>
      <c r="H63" s="130">
        <f t="shared" si="1"/>
        <v>0.17551242857142857</v>
      </c>
      <c r="I63" s="71">
        <v>49143.48</v>
      </c>
      <c r="J63" s="194">
        <f t="shared" si="2"/>
        <v>0.17551242857142857</v>
      </c>
      <c r="K63" s="394">
        <v>4506.7</v>
      </c>
      <c r="L63" s="130">
        <v>4.7825498216320199E-3</v>
      </c>
      <c r="M63" s="585">
        <f t="shared" si="3"/>
        <v>9.9045376883307092</v>
      </c>
      <c r="N63" s="394">
        <v>4506.7</v>
      </c>
      <c r="O63" s="130">
        <v>4.7825498216320199E-3</v>
      </c>
      <c r="P63" s="585">
        <f t="shared" ref="P63:P64" si="10">+I63/N63-1</f>
        <v>9.9045376883307092</v>
      </c>
      <c r="Q63" s="59" t="s">
        <v>349</v>
      </c>
    </row>
    <row r="64" spans="1:17" ht="15" customHeight="1" x14ac:dyDescent="0.25">
      <c r="A64" s="79"/>
      <c r="B64" s="544" t="s">
        <v>183</v>
      </c>
      <c r="C64" s="395">
        <v>250000</v>
      </c>
      <c r="D64" s="191">
        <v>250000</v>
      </c>
      <c r="E64" s="80">
        <v>6540.77</v>
      </c>
      <c r="F64" s="243">
        <f>+E64/D64</f>
        <v>2.6163080000000002E-2</v>
      </c>
      <c r="G64" s="80">
        <v>6540.77</v>
      </c>
      <c r="H64" s="243">
        <f t="shared" si="1"/>
        <v>2.6163080000000002E-2</v>
      </c>
      <c r="I64" s="80">
        <v>6540.77</v>
      </c>
      <c r="J64" s="195">
        <f t="shared" si="2"/>
        <v>2.6163080000000002E-2</v>
      </c>
      <c r="K64" s="579">
        <v>19737.36</v>
      </c>
      <c r="L64" s="243">
        <v>7.8949439999999996E-2</v>
      </c>
      <c r="M64" s="585">
        <f t="shared" si="3"/>
        <v>-0.66860968234860185</v>
      </c>
      <c r="N64" s="579">
        <v>19737.36</v>
      </c>
      <c r="O64" s="243">
        <v>7.8949439999999996E-2</v>
      </c>
      <c r="P64" s="585">
        <f t="shared" si="10"/>
        <v>-0.66860968234860185</v>
      </c>
      <c r="Q64" s="59">
        <v>352</v>
      </c>
    </row>
    <row r="65" spans="1:19" ht="15" customHeight="1" thickBot="1" x14ac:dyDescent="0.3">
      <c r="A65" s="522"/>
      <c r="B65" s="514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10767853.82</v>
      </c>
      <c r="F65" s="377">
        <f>+E65/D65</f>
        <v>0.48723320452488689</v>
      </c>
      <c r="G65" s="174">
        <f t="shared" si="11"/>
        <v>10767853.82</v>
      </c>
      <c r="H65" s="377">
        <f t="shared" si="1"/>
        <v>0.48723320452488689</v>
      </c>
      <c r="I65" s="174">
        <f t="shared" si="11"/>
        <v>10767853.82</v>
      </c>
      <c r="J65" s="175">
        <f t="shared" si="2"/>
        <v>0.48723320452488689</v>
      </c>
      <c r="K65" s="602">
        <f t="shared" ref="K65" si="12">SUM(K62:K64)</f>
        <v>11907779.859999999</v>
      </c>
      <c r="L65" s="377">
        <v>0.47899999999999998</v>
      </c>
      <c r="M65" s="603">
        <f t="shared" si="3"/>
        <v>-9.5729519138087138E-2</v>
      </c>
      <c r="N65" s="602">
        <f t="shared" ref="N65" si="13">SUM(N62:N64)</f>
        <v>11907779.859999999</v>
      </c>
      <c r="O65" s="377">
        <v>0.47899999999999998</v>
      </c>
      <c r="P65" s="603">
        <f>+I65/N65-1</f>
        <v>-9.5729519138087138E-2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765</v>
      </c>
      <c r="D68" s="754" t="s">
        <v>782</v>
      </c>
      <c r="E68" s="752"/>
      <c r="F68" s="752"/>
      <c r="G68" s="752"/>
      <c r="H68" s="752"/>
      <c r="I68" s="752"/>
      <c r="J68" s="753"/>
      <c r="K68" s="760" t="s">
        <v>783</v>
      </c>
      <c r="L68" s="761"/>
      <c r="M68" s="761"/>
      <c r="N68" s="761"/>
      <c r="O68" s="761"/>
      <c r="P68" s="762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58" t="s">
        <v>17</v>
      </c>
      <c r="O70" s="89" t="s">
        <v>18</v>
      </c>
      <c r="P70" s="581" t="s">
        <v>764</v>
      </c>
      <c r="Q70" s="58" t="s">
        <v>163</v>
      </c>
      <c r="S70" s="358"/>
    </row>
    <row r="71" spans="1:19" ht="15" customHeight="1" x14ac:dyDescent="0.25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2" si="14">+E71/D71</f>
        <v>1</v>
      </c>
      <c r="G71" s="82">
        <v>25094829</v>
      </c>
      <c r="H71" s="417">
        <f>+G71/D71</f>
        <v>1</v>
      </c>
      <c r="I71" s="82">
        <v>14600000</v>
      </c>
      <c r="J71" s="348">
        <f>I71/D71</f>
        <v>0.58179316543659254</v>
      </c>
      <c r="K71" s="559">
        <v>24587855.940000001</v>
      </c>
      <c r="L71" s="417">
        <v>0.97979770812544698</v>
      </c>
      <c r="M71" s="210">
        <f t="shared" ref="M71:M141" si="15">+G71/K71-1</f>
        <v>2.0618839692128077E-2</v>
      </c>
      <c r="N71" s="559">
        <v>16100000</v>
      </c>
      <c r="O71" s="417">
        <v>0.64156643585816031</v>
      </c>
      <c r="P71" s="210">
        <f t="shared" ref="P71:P85" si="16">+I71/N71-1</f>
        <v>-9.3167701863353991E-2</v>
      </c>
      <c r="Q71" s="60" t="s">
        <v>364</v>
      </c>
      <c r="S71" s="357"/>
    </row>
    <row r="72" spans="1:19" ht="15" customHeight="1" x14ac:dyDescent="0.25">
      <c r="A72" s="23"/>
      <c r="B72" s="23" t="s">
        <v>294</v>
      </c>
      <c r="C72" s="184">
        <v>858841</v>
      </c>
      <c r="D72" s="188">
        <v>1226803.3999999999</v>
      </c>
      <c r="E72" s="82">
        <v>1226803.3999999999</v>
      </c>
      <c r="F72" s="417">
        <f t="shared" si="14"/>
        <v>1</v>
      </c>
      <c r="G72" s="82">
        <v>1226803.3999999999</v>
      </c>
      <c r="H72" s="417">
        <f>+G72/D72</f>
        <v>1</v>
      </c>
      <c r="I72" s="82">
        <v>430000</v>
      </c>
      <c r="J72" s="348">
        <f>I72/D72</f>
        <v>0.35050440844881914</v>
      </c>
      <c r="K72" s="560">
        <v>858841</v>
      </c>
      <c r="L72" s="418">
        <v>1</v>
      </c>
      <c r="M72" s="210">
        <f t="shared" si="15"/>
        <v>0.42844065432367562</v>
      </c>
      <c r="N72" s="560">
        <v>430000</v>
      </c>
      <c r="O72" s="418">
        <v>0.50067474654796407</v>
      </c>
      <c r="P72" s="210">
        <f t="shared" si="16"/>
        <v>0</v>
      </c>
      <c r="Q72" s="60" t="s">
        <v>365</v>
      </c>
      <c r="S72" s="357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50302662.619999997</v>
      </c>
      <c r="E73" s="82">
        <v>50302662.619999997</v>
      </c>
      <c r="F73" s="418">
        <f t="shared" si="14"/>
        <v>1</v>
      </c>
      <c r="G73" s="82">
        <v>50302662.619999997</v>
      </c>
      <c r="H73" s="418">
        <f t="shared" ref="H73:H95" si="17">+G73/D73</f>
        <v>1</v>
      </c>
      <c r="I73" s="82">
        <v>33459000</v>
      </c>
      <c r="J73" s="432">
        <f t="shared" ref="J73:J95" si="18">I73/D73</f>
        <v>0.66515365702921914</v>
      </c>
      <c r="K73" s="560">
        <v>46015047.619999997</v>
      </c>
      <c r="L73" s="418">
        <v>0.98861318170029622</v>
      </c>
      <c r="M73" s="211">
        <f t="shared" si="15"/>
        <v>9.3178540972245649E-2</v>
      </c>
      <c r="N73" s="560">
        <v>34158652.409999996</v>
      </c>
      <c r="O73" s="418">
        <v>0.73388371387812967</v>
      </c>
      <c r="P73" s="210">
        <f t="shared" si="16"/>
        <v>-2.0482435946307165E-2</v>
      </c>
      <c r="Q73" s="60" t="s">
        <v>366</v>
      </c>
      <c r="S73" s="357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51191321.439999998</v>
      </c>
      <c r="E74" s="82">
        <v>47466246.32</v>
      </c>
      <c r="F74" s="418">
        <f t="shared" si="14"/>
        <v>0.92723229220863035</v>
      </c>
      <c r="G74" s="82">
        <v>47466246.32</v>
      </c>
      <c r="H74" s="418">
        <f t="shared" si="17"/>
        <v>0.92723229220863035</v>
      </c>
      <c r="I74" s="82">
        <v>37849611.990000002</v>
      </c>
      <c r="J74" s="432">
        <f t="shared" si="18"/>
        <v>0.73937556064776599</v>
      </c>
      <c r="K74" s="560">
        <v>37250400.149999999</v>
      </c>
      <c r="L74" s="418">
        <v>0.88401430708223983</v>
      </c>
      <c r="M74" s="211">
        <f t="shared" si="15"/>
        <v>0.27424795784374956</v>
      </c>
      <c r="N74" s="560">
        <v>27382325.399999999</v>
      </c>
      <c r="O74" s="418">
        <v>0.64982838620007188</v>
      </c>
      <c r="P74" s="210">
        <f t="shared" si="16"/>
        <v>0.38226434158144973</v>
      </c>
      <c r="Q74" s="60" t="s">
        <v>504</v>
      </c>
      <c r="S74" s="358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143952893.19999999</v>
      </c>
      <c r="E75" s="82">
        <v>143952893.19999999</v>
      </c>
      <c r="F75" s="418">
        <f t="shared" si="14"/>
        <v>1</v>
      </c>
      <c r="G75" s="82">
        <v>143952893.19999999</v>
      </c>
      <c r="H75" s="418">
        <f t="shared" si="17"/>
        <v>1</v>
      </c>
      <c r="I75" s="82">
        <v>107192202.2</v>
      </c>
      <c r="J75" s="432">
        <f t="shared" si="18"/>
        <v>0.74463388555222187</v>
      </c>
      <c r="K75" s="560">
        <v>126939436.39</v>
      </c>
      <c r="L75" s="418">
        <v>1</v>
      </c>
      <c r="M75" s="211">
        <f t="shared" si="15"/>
        <v>0.13402814203246516</v>
      </c>
      <c r="N75" s="560">
        <v>99238050.099999994</v>
      </c>
      <c r="O75" s="418">
        <v>0.78177478112560572</v>
      </c>
      <c r="P75" s="210">
        <f t="shared" si="16"/>
        <v>8.0152240919534323E-2</v>
      </c>
      <c r="Q75" s="60" t="s">
        <v>446</v>
      </c>
      <c r="S75" s="357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1623817.5</v>
      </c>
      <c r="J76" s="432">
        <f t="shared" si="18"/>
        <v>0.75</v>
      </c>
      <c r="K76" s="560">
        <v>1252000</v>
      </c>
      <c r="L76" s="418">
        <v>0.65375517599695054</v>
      </c>
      <c r="M76" s="211">
        <f t="shared" si="15"/>
        <v>0.72930511182108626</v>
      </c>
      <c r="N76" s="560">
        <v>1252000</v>
      </c>
      <c r="O76" s="418">
        <v>0.65375517599695054</v>
      </c>
      <c r="P76" s="210">
        <f t="shared" si="16"/>
        <v>0.29697883386581481</v>
      </c>
      <c r="Q76" s="60" t="s">
        <v>367</v>
      </c>
      <c r="S76" s="357"/>
    </row>
    <row r="77" spans="1:19" ht="15" customHeight="1" x14ac:dyDescent="0.25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5700000</v>
      </c>
      <c r="J77" s="432">
        <f t="shared" si="18"/>
        <v>0.65146974431641225</v>
      </c>
      <c r="K77" s="560">
        <v>8713147</v>
      </c>
      <c r="L77" s="418">
        <v>0.99585116636514281</v>
      </c>
      <c r="M77" s="211">
        <f t="shared" si="15"/>
        <v>-0.11476909548295233</v>
      </c>
      <c r="N77" s="560">
        <v>4800000</v>
      </c>
      <c r="O77" s="418">
        <v>0.54860610047697866</v>
      </c>
      <c r="P77" s="210">
        <f t="shared" si="16"/>
        <v>0.1875</v>
      </c>
      <c r="Q77" s="60" t="s">
        <v>540</v>
      </c>
      <c r="S77" s="357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7800000</v>
      </c>
      <c r="J78" s="432">
        <f t="shared" si="18"/>
        <v>0.32181329081877202</v>
      </c>
      <c r="K78" s="560">
        <v>25371500</v>
      </c>
      <c r="L78" s="418">
        <v>0.99764072115290092</v>
      </c>
      <c r="M78" s="211">
        <f t="shared" si="15"/>
        <v>-4.4689651774629024E-2</v>
      </c>
      <c r="N78" s="560">
        <v>9740000</v>
      </c>
      <c r="O78" s="418">
        <v>0.38298959951241568</v>
      </c>
      <c r="P78" s="210">
        <f t="shared" si="16"/>
        <v>-0.19917864476386038</v>
      </c>
      <c r="Q78" s="60" t="s">
        <v>541</v>
      </c>
      <c r="S78" s="357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10565193.130000001</v>
      </c>
      <c r="E79" s="62">
        <v>10504584.130000001</v>
      </c>
      <c r="F79" s="419">
        <f t="shared" si="14"/>
        <v>0.99426333250568799</v>
      </c>
      <c r="G79" s="62">
        <v>10504584.130000001</v>
      </c>
      <c r="H79" s="419">
        <f t="shared" si="17"/>
        <v>0.99426333250568799</v>
      </c>
      <c r="I79" s="62">
        <v>6220000</v>
      </c>
      <c r="J79" s="433">
        <f t="shared" si="18"/>
        <v>0.58872563174810599</v>
      </c>
      <c r="K79" s="596">
        <v>10560531.630000001</v>
      </c>
      <c r="L79" s="419">
        <v>0.98959849402611011</v>
      </c>
      <c r="M79" s="586">
        <f t="shared" si="15"/>
        <v>-5.2977920014051216E-3</v>
      </c>
      <c r="N79" s="596">
        <v>5842454.0199999996</v>
      </c>
      <c r="O79" s="419">
        <v>0.54748036388474808</v>
      </c>
      <c r="P79" s="210">
        <f t="shared" si="16"/>
        <v>6.4621129872409311E-2</v>
      </c>
      <c r="Q79" s="330" t="s">
        <v>368</v>
      </c>
      <c r="S79" s="357"/>
    </row>
    <row r="80" spans="1:19" ht="15" customHeight="1" x14ac:dyDescent="0.25">
      <c r="A80" s="55"/>
      <c r="B80" s="55" t="s">
        <v>766</v>
      </c>
      <c r="C80" s="176">
        <v>4718946</v>
      </c>
      <c r="D80" s="190">
        <v>2071723.83</v>
      </c>
      <c r="E80" s="82">
        <v>30640</v>
      </c>
      <c r="F80" s="362">
        <f>E80/D80</f>
        <v>1.4789616046459243E-2</v>
      </c>
      <c r="G80" s="82">
        <v>30640</v>
      </c>
      <c r="H80" s="362">
        <f t="shared" si="17"/>
        <v>1.4789616046459243E-2</v>
      </c>
      <c r="I80" s="82">
        <v>0</v>
      </c>
      <c r="J80" s="278">
        <f t="shared" si="18"/>
        <v>0</v>
      </c>
      <c r="K80" s="578">
        <v>0</v>
      </c>
      <c r="L80" s="362" t="s">
        <v>129</v>
      </c>
      <c r="M80" s="585" t="s">
        <v>129</v>
      </c>
      <c r="N80" s="578">
        <v>0</v>
      </c>
      <c r="O80" s="362" t="s">
        <v>129</v>
      </c>
      <c r="P80" s="585" t="s">
        <v>129</v>
      </c>
      <c r="Q80" s="60">
        <v>41099</v>
      </c>
      <c r="S80" s="357"/>
    </row>
    <row r="81" spans="1:19" ht="15" customHeight="1" x14ac:dyDescent="0.25">
      <c r="A81" s="55"/>
      <c r="B81" s="55" t="s">
        <v>781</v>
      </c>
      <c r="C81" s="176">
        <v>0</v>
      </c>
      <c r="D81" s="190">
        <v>813321</v>
      </c>
      <c r="E81" s="82">
        <v>813321</v>
      </c>
      <c r="F81" s="362">
        <f>E81/D81</f>
        <v>1</v>
      </c>
      <c r="G81" s="82">
        <v>813321</v>
      </c>
      <c r="H81" s="362">
        <f t="shared" si="17"/>
        <v>1</v>
      </c>
      <c r="I81" s="82">
        <v>813321</v>
      </c>
      <c r="J81" s="278">
        <f t="shared" si="18"/>
        <v>1</v>
      </c>
      <c r="K81" s="578">
        <v>0</v>
      </c>
      <c r="L81" s="362" t="s">
        <v>129</v>
      </c>
      <c r="M81" s="245" t="s">
        <v>129</v>
      </c>
      <c r="N81" s="578">
        <v>0</v>
      </c>
      <c r="O81" s="362" t="s">
        <v>129</v>
      </c>
      <c r="P81" s="245" t="s">
        <v>129</v>
      </c>
      <c r="Q81" s="60">
        <v>42000</v>
      </c>
      <c r="S81" s="357"/>
    </row>
    <row r="82" spans="1:19" ht="15" customHeight="1" x14ac:dyDescent="0.25">
      <c r="A82" s="68"/>
      <c r="B82" s="68" t="s">
        <v>302</v>
      </c>
      <c r="C82" s="488">
        <v>109886585.06999999</v>
      </c>
      <c r="D82" s="190">
        <v>120450042</v>
      </c>
      <c r="E82" s="82">
        <v>110894542</v>
      </c>
      <c r="F82" s="362">
        <f t="shared" si="14"/>
        <v>0.92066835476902531</v>
      </c>
      <c r="G82" s="82">
        <v>110894542</v>
      </c>
      <c r="H82" s="362">
        <f t="shared" si="17"/>
        <v>0.92066835476902531</v>
      </c>
      <c r="I82" s="82">
        <v>75357956.930000007</v>
      </c>
      <c r="J82" s="278">
        <f t="shared" si="18"/>
        <v>0.62563661812587834</v>
      </c>
      <c r="K82" s="578">
        <v>109464705</v>
      </c>
      <c r="L82" s="362">
        <v>0.9954295506287073</v>
      </c>
      <c r="M82" s="210">
        <f t="shared" si="15"/>
        <v>1.3062082431044786E-2</v>
      </c>
      <c r="N82" s="578">
        <v>78860991.209999993</v>
      </c>
      <c r="O82" s="362">
        <v>0.71713125287557056</v>
      </c>
      <c r="P82" s="210">
        <f t="shared" si="16"/>
        <v>-4.4420368375433061E-2</v>
      </c>
      <c r="Q82" s="331" t="s">
        <v>542</v>
      </c>
      <c r="S82" s="357"/>
    </row>
    <row r="83" spans="1:19" ht="15" customHeight="1" x14ac:dyDescent="0.25">
      <c r="A83" s="81"/>
      <c r="B83" s="81" t="s">
        <v>775</v>
      </c>
      <c r="C83" s="186">
        <v>835000</v>
      </c>
      <c r="D83" s="190">
        <v>820000</v>
      </c>
      <c r="E83" s="82">
        <v>0</v>
      </c>
      <c r="F83" s="362">
        <f t="shared" si="14"/>
        <v>0</v>
      </c>
      <c r="G83" s="82">
        <v>0</v>
      </c>
      <c r="H83" s="362">
        <f t="shared" si="17"/>
        <v>0</v>
      </c>
      <c r="I83" s="82">
        <v>0</v>
      </c>
      <c r="J83" s="278">
        <f t="shared" si="18"/>
        <v>0</v>
      </c>
      <c r="K83" s="578">
        <v>0</v>
      </c>
      <c r="L83" s="362" t="s">
        <v>129</v>
      </c>
      <c r="M83" s="210" t="s">
        <v>129</v>
      </c>
      <c r="N83" s="578">
        <v>0</v>
      </c>
      <c r="O83" s="362" t="s">
        <v>129</v>
      </c>
      <c r="P83" s="210" t="s">
        <v>129</v>
      </c>
      <c r="Q83" s="331">
        <v>44304</v>
      </c>
      <c r="S83" s="357"/>
    </row>
    <row r="84" spans="1:19" ht="15" customHeight="1" x14ac:dyDescent="0.25">
      <c r="A84" s="70"/>
      <c r="B84" s="70" t="s">
        <v>303</v>
      </c>
      <c r="C84" s="184">
        <v>48727097.020000003</v>
      </c>
      <c r="D84" s="188">
        <v>48727097.020000003</v>
      </c>
      <c r="E84" s="82">
        <v>48727097.020000003</v>
      </c>
      <c r="F84" s="362">
        <f t="shared" si="14"/>
        <v>1</v>
      </c>
      <c r="G84" s="82">
        <v>48727097.020000003</v>
      </c>
      <c r="H84" s="362">
        <f t="shared" si="17"/>
        <v>1</v>
      </c>
      <c r="I84" s="82">
        <v>26000000</v>
      </c>
      <c r="J84" s="278">
        <f t="shared" si="18"/>
        <v>0.53358401362035413</v>
      </c>
      <c r="K84" s="394">
        <v>47794228</v>
      </c>
      <c r="L84" s="420">
        <v>1</v>
      </c>
      <c r="M84" s="210">
        <f t="shared" si="15"/>
        <v>1.9518445198026813E-2</v>
      </c>
      <c r="N84" s="394">
        <v>26500000</v>
      </c>
      <c r="O84" s="420">
        <v>0.55446025825545298</v>
      </c>
      <c r="P84" s="210">
        <f t="shared" si="16"/>
        <v>-1.8867924528301883E-2</v>
      </c>
      <c r="Q84" s="60" t="s">
        <v>369</v>
      </c>
      <c r="S84" s="357"/>
    </row>
    <row r="85" spans="1:19" ht="15" customHeight="1" x14ac:dyDescent="0.25">
      <c r="A85" s="70"/>
      <c r="B85" s="70" t="s">
        <v>304</v>
      </c>
      <c r="C85" s="184">
        <v>2749627.35</v>
      </c>
      <c r="D85" s="188">
        <v>3687538.27</v>
      </c>
      <c r="E85" s="82">
        <v>2031183.81</v>
      </c>
      <c r="F85" s="362">
        <f t="shared" si="14"/>
        <v>0.55082379117925739</v>
      </c>
      <c r="G85" s="82">
        <v>2031183.81</v>
      </c>
      <c r="H85" s="362">
        <f t="shared" si="17"/>
        <v>0.55082379117925739</v>
      </c>
      <c r="I85" s="82">
        <v>2031183.81</v>
      </c>
      <c r="J85" s="278">
        <f t="shared" si="18"/>
        <v>0.55082379117925739</v>
      </c>
      <c r="K85" s="394">
        <v>1338779.7</v>
      </c>
      <c r="L85" s="420">
        <v>0.43538921952206239</v>
      </c>
      <c r="M85" s="211">
        <f t="shared" si="15"/>
        <v>0.51719047577431909</v>
      </c>
      <c r="N85" s="394">
        <v>1338779.7</v>
      </c>
      <c r="O85" s="420">
        <v>0.43538921952206239</v>
      </c>
      <c r="P85" s="210">
        <f t="shared" si="16"/>
        <v>0.51719047577431909</v>
      </c>
      <c r="Q85" s="60" t="s">
        <v>370</v>
      </c>
      <c r="S85" s="357"/>
    </row>
    <row r="86" spans="1:19" ht="15" customHeight="1" x14ac:dyDescent="0.25">
      <c r="A86" s="72"/>
      <c r="B86" s="72" t="s">
        <v>305</v>
      </c>
      <c r="C86" s="185">
        <v>617526</v>
      </c>
      <c r="D86" s="189">
        <v>617526</v>
      </c>
      <c r="E86" s="62">
        <v>617526</v>
      </c>
      <c r="F86" s="268">
        <f t="shared" si="14"/>
        <v>1</v>
      </c>
      <c r="G86" s="62">
        <v>617526</v>
      </c>
      <c r="H86" s="421">
        <f t="shared" si="17"/>
        <v>1</v>
      </c>
      <c r="I86" s="62">
        <v>617526</v>
      </c>
      <c r="J86" s="278">
        <f t="shared" si="18"/>
        <v>1</v>
      </c>
      <c r="K86" s="577">
        <v>617526</v>
      </c>
      <c r="L86" s="421">
        <v>1</v>
      </c>
      <c r="M86" s="211">
        <f t="shared" si="15"/>
        <v>0</v>
      </c>
      <c r="N86" s="577">
        <v>617526</v>
      </c>
      <c r="O86" s="421">
        <v>1</v>
      </c>
      <c r="P86" s="211">
        <f t="shared" ref="P86:P95" si="19">+I86/N86-1</f>
        <v>0</v>
      </c>
      <c r="Q86" s="60" t="s">
        <v>371</v>
      </c>
      <c r="S86" s="357"/>
    </row>
    <row r="87" spans="1:19" ht="15" customHeight="1" x14ac:dyDescent="0.25">
      <c r="A87" s="68"/>
      <c r="B87" s="68" t="s">
        <v>306</v>
      </c>
      <c r="C87" s="186">
        <v>37061289.140000001</v>
      </c>
      <c r="D87" s="190">
        <v>39035473.649999999</v>
      </c>
      <c r="E87" s="82">
        <v>24818170</v>
      </c>
      <c r="F87" s="238">
        <f t="shared" si="14"/>
        <v>0.63578503549168541</v>
      </c>
      <c r="G87" s="82">
        <v>24818170</v>
      </c>
      <c r="H87" s="362">
        <f t="shared" si="17"/>
        <v>0.63578503549168541</v>
      </c>
      <c r="I87" s="82">
        <v>22990000</v>
      </c>
      <c r="J87" s="551">
        <f t="shared" si="18"/>
        <v>0.5889514805464644</v>
      </c>
      <c r="K87" s="576">
        <v>14574170</v>
      </c>
      <c r="L87" s="238">
        <v>0.39701652043019481</v>
      </c>
      <c r="M87" s="211">
        <f t="shared" si="15"/>
        <v>0.70288736854311429</v>
      </c>
      <c r="N87" s="576">
        <v>14567000</v>
      </c>
      <c r="O87" s="238">
        <v>0.39682120169496088</v>
      </c>
      <c r="P87" s="211">
        <f t="shared" si="19"/>
        <v>0.57822475458227496</v>
      </c>
      <c r="Q87" s="332" t="s">
        <v>780</v>
      </c>
      <c r="S87" s="357"/>
    </row>
    <row r="88" spans="1:19" ht="15" customHeight="1" x14ac:dyDescent="0.25">
      <c r="A88" s="70"/>
      <c r="B88" s="70" t="s">
        <v>307</v>
      </c>
      <c r="C88" s="184">
        <v>16869480</v>
      </c>
      <c r="D88" s="188">
        <v>16869480</v>
      </c>
      <c r="E88" s="82">
        <v>16869480</v>
      </c>
      <c r="F88" s="362">
        <f t="shared" si="14"/>
        <v>1</v>
      </c>
      <c r="G88" s="82">
        <v>16869480</v>
      </c>
      <c r="H88" s="362">
        <f t="shared" si="17"/>
        <v>1</v>
      </c>
      <c r="I88" s="82">
        <v>10650000</v>
      </c>
      <c r="J88" s="434">
        <f t="shared" si="18"/>
        <v>0.6313176221199468</v>
      </c>
      <c r="K88" s="394">
        <v>15669752</v>
      </c>
      <c r="L88" s="420">
        <v>1</v>
      </c>
      <c r="M88" s="211">
        <f t="shared" si="15"/>
        <v>7.6563304894678552E-2</v>
      </c>
      <c r="N88" s="394">
        <v>7900000</v>
      </c>
      <c r="O88" s="420">
        <v>0.50415603259068809</v>
      </c>
      <c r="P88" s="211">
        <f t="shared" si="19"/>
        <v>0.34810126582278489</v>
      </c>
      <c r="Q88" s="60" t="s">
        <v>372</v>
      </c>
      <c r="S88" s="357"/>
    </row>
    <row r="89" spans="1:19" ht="15" customHeight="1" x14ac:dyDescent="0.25">
      <c r="A89" s="70"/>
      <c r="B89" s="70" t="s">
        <v>767</v>
      </c>
      <c r="C89" s="184">
        <v>379378.92</v>
      </c>
      <c r="D89" s="188">
        <v>379378.92</v>
      </c>
      <c r="E89" s="82">
        <v>0</v>
      </c>
      <c r="F89" s="362">
        <f>E89/D89</f>
        <v>0</v>
      </c>
      <c r="G89" s="82">
        <v>0</v>
      </c>
      <c r="H89" s="362">
        <f t="shared" si="17"/>
        <v>0</v>
      </c>
      <c r="I89" s="82">
        <v>0</v>
      </c>
      <c r="J89" s="513">
        <f t="shared" si="18"/>
        <v>0</v>
      </c>
      <c r="K89" s="394">
        <v>0</v>
      </c>
      <c r="L89" s="420" t="s">
        <v>129</v>
      </c>
      <c r="M89" s="211" t="s">
        <v>129</v>
      </c>
      <c r="N89" s="394">
        <v>0</v>
      </c>
      <c r="O89" s="420" t="s">
        <v>129</v>
      </c>
      <c r="P89" s="211" t="s">
        <v>129</v>
      </c>
      <c r="Q89" s="60">
        <v>44411</v>
      </c>
      <c r="S89" s="357"/>
    </row>
    <row r="90" spans="1:19" ht="15" customHeight="1" x14ac:dyDescent="0.25">
      <c r="A90" s="70"/>
      <c r="B90" s="70" t="s">
        <v>308</v>
      </c>
      <c r="C90" s="184">
        <v>57148921</v>
      </c>
      <c r="D90" s="188">
        <v>56148921</v>
      </c>
      <c r="E90" s="82">
        <v>0</v>
      </c>
      <c r="F90" s="362">
        <f t="shared" si="14"/>
        <v>0</v>
      </c>
      <c r="G90" s="82">
        <v>0</v>
      </c>
      <c r="H90" s="362">
        <f t="shared" si="17"/>
        <v>0</v>
      </c>
      <c r="I90" s="82">
        <v>0</v>
      </c>
      <c r="J90" s="513">
        <f t="shared" si="18"/>
        <v>0</v>
      </c>
      <c r="K90" s="394">
        <v>1392910.46</v>
      </c>
      <c r="L90" s="420">
        <v>2.5668715548586442E-2</v>
      </c>
      <c r="M90" s="211">
        <f t="shared" si="15"/>
        <v>-1</v>
      </c>
      <c r="N90" s="394">
        <v>1392910.46</v>
      </c>
      <c r="O90" s="420">
        <v>2.5668715548586442E-2</v>
      </c>
      <c r="P90" s="211">
        <f t="shared" si="19"/>
        <v>-1</v>
      </c>
      <c r="Q90" s="59" t="s">
        <v>373</v>
      </c>
      <c r="S90" s="357"/>
    </row>
    <row r="91" spans="1:19" ht="15" customHeight="1" x14ac:dyDescent="0.25">
      <c r="A91" s="70"/>
      <c r="B91" s="70" t="s">
        <v>309</v>
      </c>
      <c r="C91" s="184">
        <v>2726590</v>
      </c>
      <c r="D91" s="188">
        <v>2726590</v>
      </c>
      <c r="E91" s="82">
        <v>2726590</v>
      </c>
      <c r="F91" s="362">
        <f t="shared" si="14"/>
        <v>1</v>
      </c>
      <c r="G91" s="82">
        <v>2726590</v>
      </c>
      <c r="H91" s="362">
        <f t="shared" si="17"/>
        <v>1</v>
      </c>
      <c r="I91" s="82">
        <v>2270590</v>
      </c>
      <c r="J91" s="434">
        <f t="shared" si="18"/>
        <v>0.83275813378615782</v>
      </c>
      <c r="K91" s="394">
        <v>2726590</v>
      </c>
      <c r="L91" s="420">
        <v>1</v>
      </c>
      <c r="M91" s="211">
        <f t="shared" si="15"/>
        <v>0</v>
      </c>
      <c r="N91" s="394">
        <v>2043000</v>
      </c>
      <c r="O91" s="420">
        <v>0.74928757165543769</v>
      </c>
      <c r="P91" s="211">
        <f t="shared" si="19"/>
        <v>0.11139990210474782</v>
      </c>
      <c r="Q91" s="60" t="s">
        <v>374</v>
      </c>
      <c r="S91" s="357"/>
    </row>
    <row r="92" spans="1:19" ht="15" customHeight="1" x14ac:dyDescent="0.25">
      <c r="A92" s="70"/>
      <c r="B92" s="70" t="s">
        <v>310</v>
      </c>
      <c r="C92" s="184">
        <v>3529897</v>
      </c>
      <c r="D92" s="188">
        <v>7070216.4299999997</v>
      </c>
      <c r="E92" s="82">
        <v>3545946.26</v>
      </c>
      <c r="F92" s="420">
        <f t="shared" si="14"/>
        <v>0.50153291559138313</v>
      </c>
      <c r="G92" s="82">
        <v>3545946.26</v>
      </c>
      <c r="H92" s="420">
        <f t="shared" si="17"/>
        <v>0.50153291559138313</v>
      </c>
      <c r="I92" s="82">
        <v>1616049.26</v>
      </c>
      <c r="J92" s="434">
        <f t="shared" si="18"/>
        <v>0.22857139890977851</v>
      </c>
      <c r="K92" s="394">
        <v>3291822.19</v>
      </c>
      <c r="L92" s="420">
        <v>0.71113767776750481</v>
      </c>
      <c r="M92" s="211">
        <f t="shared" si="15"/>
        <v>7.7198601665662725E-2</v>
      </c>
      <c r="N92" s="394">
        <v>2414173.04</v>
      </c>
      <c r="O92" s="420">
        <v>0.52153771081861422</v>
      </c>
      <c r="P92" s="211">
        <f t="shared" si="19"/>
        <v>-0.33059924320917777</v>
      </c>
      <c r="Q92" s="60" t="s">
        <v>375</v>
      </c>
      <c r="S92" s="357"/>
    </row>
    <row r="93" spans="1:19" ht="15" customHeight="1" x14ac:dyDescent="0.25">
      <c r="A93" s="70"/>
      <c r="B93" s="70" t="s">
        <v>311</v>
      </c>
      <c r="C93" s="184">
        <v>0</v>
      </c>
      <c r="D93" s="188">
        <v>0</v>
      </c>
      <c r="E93" s="82">
        <v>0</v>
      </c>
      <c r="F93" s="420" t="s">
        <v>129</v>
      </c>
      <c r="G93" s="82">
        <v>0</v>
      </c>
      <c r="H93" s="420" t="s">
        <v>129</v>
      </c>
      <c r="I93" s="82">
        <v>0</v>
      </c>
      <c r="J93" s="434" t="s">
        <v>129</v>
      </c>
      <c r="K93" s="394"/>
      <c r="L93" s="420" t="s">
        <v>129</v>
      </c>
      <c r="M93" s="588" t="s">
        <v>129</v>
      </c>
      <c r="N93" s="394"/>
      <c r="O93" s="420" t="s">
        <v>129</v>
      </c>
      <c r="P93" s="211" t="s">
        <v>129</v>
      </c>
      <c r="Q93" s="60" t="s">
        <v>376</v>
      </c>
      <c r="S93" s="358"/>
    </row>
    <row r="94" spans="1:19" ht="15" customHeight="1" x14ac:dyDescent="0.25">
      <c r="A94" s="70"/>
      <c r="B94" s="70" t="s">
        <v>312</v>
      </c>
      <c r="C94" s="184">
        <v>0</v>
      </c>
      <c r="D94" s="188">
        <v>0</v>
      </c>
      <c r="E94" s="82">
        <v>0</v>
      </c>
      <c r="F94" s="420" t="s">
        <v>129</v>
      </c>
      <c r="G94" s="82">
        <v>0</v>
      </c>
      <c r="H94" s="420" t="s">
        <v>129</v>
      </c>
      <c r="I94" s="82">
        <v>0</v>
      </c>
      <c r="J94" s="434" t="s">
        <v>129</v>
      </c>
      <c r="K94" s="394"/>
      <c r="L94" s="420" t="s">
        <v>129</v>
      </c>
      <c r="M94" s="588" t="s">
        <v>129</v>
      </c>
      <c r="N94" s="394"/>
      <c r="O94" s="420" t="s">
        <v>129</v>
      </c>
      <c r="P94" s="211" t="s">
        <v>129</v>
      </c>
      <c r="Q94" s="60" t="s">
        <v>377</v>
      </c>
      <c r="S94" s="357"/>
    </row>
    <row r="95" spans="1:19" ht="15" customHeight="1" x14ac:dyDescent="0.25">
      <c r="A95" s="70"/>
      <c r="B95" s="70" t="s">
        <v>313</v>
      </c>
      <c r="C95" s="481">
        <v>6986478</v>
      </c>
      <c r="D95" s="188">
        <v>7686478</v>
      </c>
      <c r="E95" s="82">
        <v>7686478</v>
      </c>
      <c r="F95" s="420">
        <f t="shared" ref="F95" si="20">+E95/D95</f>
        <v>1</v>
      </c>
      <c r="G95" s="82">
        <v>7686478</v>
      </c>
      <c r="H95" s="420">
        <f t="shared" si="17"/>
        <v>1</v>
      </c>
      <c r="I95" s="82">
        <v>6876000</v>
      </c>
      <c r="J95" s="434">
        <f t="shared" si="18"/>
        <v>0.89455794968775038</v>
      </c>
      <c r="K95" s="394">
        <v>7085608.6900000004</v>
      </c>
      <c r="L95" s="420">
        <v>1</v>
      </c>
      <c r="M95" s="588">
        <f t="shared" si="15"/>
        <v>8.4801367996515609E-2</v>
      </c>
      <c r="N95" s="394">
        <v>5972608.6900000004</v>
      </c>
      <c r="O95" s="420">
        <v>0.84292104620866382</v>
      </c>
      <c r="P95" s="211">
        <f t="shared" si="19"/>
        <v>0.15125573378221757</v>
      </c>
      <c r="Q95" s="60" t="s">
        <v>378</v>
      </c>
      <c r="S95" s="358"/>
    </row>
    <row r="96" spans="1:19" ht="15" customHeight="1" x14ac:dyDescent="0.25">
      <c r="A96" s="70"/>
      <c r="B96" s="70" t="s">
        <v>314</v>
      </c>
      <c r="C96" s="184">
        <v>0</v>
      </c>
      <c r="D96" s="188">
        <v>0</v>
      </c>
      <c r="E96" s="82">
        <v>0</v>
      </c>
      <c r="F96" s="420" t="s">
        <v>129</v>
      </c>
      <c r="G96" s="82">
        <v>0</v>
      </c>
      <c r="H96" s="420" t="s">
        <v>129</v>
      </c>
      <c r="I96" s="82">
        <v>0</v>
      </c>
      <c r="J96" s="434" t="s">
        <v>129</v>
      </c>
      <c r="K96" s="394"/>
      <c r="L96" s="420" t="s">
        <v>129</v>
      </c>
      <c r="M96" s="588" t="s">
        <v>129</v>
      </c>
      <c r="N96" s="394"/>
      <c r="O96" s="420" t="s">
        <v>129</v>
      </c>
      <c r="P96" s="211" t="s">
        <v>129</v>
      </c>
      <c r="Q96" s="60" t="s">
        <v>379</v>
      </c>
      <c r="S96" s="357"/>
    </row>
    <row r="97" spans="1:19" ht="15" customHeight="1" x14ac:dyDescent="0.25">
      <c r="A97" s="70"/>
      <c r="B97" s="74" t="s">
        <v>315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/>
      <c r="L97" s="420" t="s">
        <v>129</v>
      </c>
      <c r="M97" s="588" t="s">
        <v>129</v>
      </c>
      <c r="N97" s="394"/>
      <c r="O97" s="420" t="s">
        <v>129</v>
      </c>
      <c r="P97" s="211" t="s">
        <v>129</v>
      </c>
      <c r="Q97" s="60" t="s">
        <v>380</v>
      </c>
      <c r="S97" s="357"/>
    </row>
    <row r="98" spans="1:19" ht="15" customHeight="1" x14ac:dyDescent="0.25">
      <c r="A98" s="70"/>
      <c r="B98" s="74" t="s">
        <v>414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/>
      <c r="L98" s="420" t="s">
        <v>129</v>
      </c>
      <c r="M98" s="588" t="s">
        <v>129</v>
      </c>
      <c r="N98" s="394"/>
      <c r="O98" s="420" t="s">
        <v>129</v>
      </c>
      <c r="P98" s="211" t="s">
        <v>129</v>
      </c>
      <c r="Q98" s="60">
        <v>44438</v>
      </c>
      <c r="S98" s="357"/>
    </row>
    <row r="99" spans="1:19" ht="15" customHeight="1" x14ac:dyDescent="0.25">
      <c r="A99" s="70"/>
      <c r="B99" s="74" t="s">
        <v>449</v>
      </c>
      <c r="C99" s="184">
        <v>0</v>
      </c>
      <c r="D99" s="188">
        <v>0</v>
      </c>
      <c r="E99" s="82">
        <v>0</v>
      </c>
      <c r="F99" s="420" t="s">
        <v>129</v>
      </c>
      <c r="G99" s="82">
        <v>0</v>
      </c>
      <c r="H99" s="420" t="s">
        <v>129</v>
      </c>
      <c r="I99" s="82">
        <v>0</v>
      </c>
      <c r="J99" s="434" t="s">
        <v>129</v>
      </c>
      <c r="K99" s="394"/>
      <c r="L99" s="420" t="s">
        <v>129</v>
      </c>
      <c r="M99" s="589" t="s">
        <v>129</v>
      </c>
      <c r="N99" s="394"/>
      <c r="O99" s="420" t="s">
        <v>129</v>
      </c>
      <c r="P99" s="211" t="s">
        <v>129</v>
      </c>
      <c r="Q99" s="60" t="s">
        <v>462</v>
      </c>
      <c r="S99" s="357"/>
    </row>
    <row r="100" spans="1:19" ht="15" customHeight="1" x14ac:dyDescent="0.25">
      <c r="A100" s="70"/>
      <c r="B100" s="70" t="s">
        <v>316</v>
      </c>
      <c r="C100" s="184">
        <v>11864168</v>
      </c>
      <c r="D100" s="188">
        <v>11864168</v>
      </c>
      <c r="E100" s="82">
        <v>0</v>
      </c>
      <c r="F100" s="420">
        <f t="shared" ref="F100:F103" si="21">+E100/D100</f>
        <v>0</v>
      </c>
      <c r="G100" s="82">
        <v>0</v>
      </c>
      <c r="H100" s="420">
        <f t="shared" ref="H100:H103" si="22">+G100/D100</f>
        <v>0</v>
      </c>
      <c r="I100" s="82">
        <v>0</v>
      </c>
      <c r="J100" s="434">
        <f t="shared" ref="J100:J103" si="23">I100/D100</f>
        <v>0</v>
      </c>
      <c r="K100" s="394">
        <v>0</v>
      </c>
      <c r="L100" s="420">
        <v>0</v>
      </c>
      <c r="M100" s="588" t="s">
        <v>129</v>
      </c>
      <c r="N100" s="394">
        <v>0</v>
      </c>
      <c r="O100" s="420">
        <v>0</v>
      </c>
      <c r="P100" s="211" t="s">
        <v>129</v>
      </c>
      <c r="Q100" s="60" t="s">
        <v>382</v>
      </c>
      <c r="S100" s="358"/>
    </row>
    <row r="101" spans="1:19" ht="15" customHeight="1" x14ac:dyDescent="0.25">
      <c r="A101" s="70"/>
      <c r="B101" s="70" t="s">
        <v>317</v>
      </c>
      <c r="C101" s="184">
        <v>3884039.66</v>
      </c>
      <c r="D101" s="188">
        <v>3884039.66</v>
      </c>
      <c r="E101" s="82">
        <v>3884039.66</v>
      </c>
      <c r="F101" s="420">
        <f t="shared" si="21"/>
        <v>1</v>
      </c>
      <c r="G101" s="71">
        <v>3884039.66</v>
      </c>
      <c r="H101" s="420">
        <f t="shared" si="22"/>
        <v>1</v>
      </c>
      <c r="I101" s="71">
        <v>1408186.29</v>
      </c>
      <c r="J101" s="434">
        <f t="shared" si="23"/>
        <v>0.36255713465088563</v>
      </c>
      <c r="K101" s="394">
        <v>3884039.66</v>
      </c>
      <c r="L101" s="420">
        <v>1</v>
      </c>
      <c r="M101" s="589">
        <f t="shared" si="15"/>
        <v>0</v>
      </c>
      <c r="N101" s="394">
        <v>1749847.67</v>
      </c>
      <c r="O101" s="420">
        <v>0.45052260614661177</v>
      </c>
      <c r="P101" s="211">
        <f t="shared" ref="P101" si="24">+I101/N101-1</f>
        <v>-0.19525207014162549</v>
      </c>
      <c r="Q101" s="60" t="s">
        <v>383</v>
      </c>
      <c r="S101" s="358"/>
    </row>
    <row r="102" spans="1:19" ht="15" customHeight="1" x14ac:dyDescent="0.25">
      <c r="A102" s="79"/>
      <c r="B102" s="123" t="s">
        <v>381</v>
      </c>
      <c r="C102" s="184">
        <v>0</v>
      </c>
      <c r="D102" s="188">
        <v>0</v>
      </c>
      <c r="E102" s="82">
        <v>0</v>
      </c>
      <c r="F102" s="130" t="s">
        <v>129</v>
      </c>
      <c r="G102" s="82">
        <v>0</v>
      </c>
      <c r="H102" s="414" t="s">
        <v>129</v>
      </c>
      <c r="I102" s="82">
        <v>0</v>
      </c>
      <c r="J102" s="434" t="s">
        <v>129</v>
      </c>
      <c r="K102" s="394"/>
      <c r="L102" s="243" t="s">
        <v>129</v>
      </c>
      <c r="M102" s="588" t="s">
        <v>129</v>
      </c>
      <c r="N102" s="394"/>
      <c r="O102" s="243" t="s">
        <v>129</v>
      </c>
      <c r="P102" s="211" t="s">
        <v>129</v>
      </c>
      <c r="Q102" s="122" t="s">
        <v>384</v>
      </c>
      <c r="S102" s="358"/>
    </row>
    <row r="103" spans="1:19" ht="15" customHeight="1" x14ac:dyDescent="0.25">
      <c r="A103" s="72"/>
      <c r="B103" s="72" t="s">
        <v>318</v>
      </c>
      <c r="C103" s="185">
        <v>2068219.33</v>
      </c>
      <c r="D103" s="189">
        <v>2108219.33</v>
      </c>
      <c r="E103" s="73">
        <v>2049746.23</v>
      </c>
      <c r="F103" s="509">
        <f t="shared" si="21"/>
        <v>0.97226422357108355</v>
      </c>
      <c r="G103" s="73">
        <v>2049746.23</v>
      </c>
      <c r="H103" s="509">
        <f t="shared" si="22"/>
        <v>0.97226422357108355</v>
      </c>
      <c r="I103" s="73">
        <v>785869.82</v>
      </c>
      <c r="J103" s="435">
        <f t="shared" si="23"/>
        <v>0.37276473506198232</v>
      </c>
      <c r="K103" s="577">
        <v>1871829.08</v>
      </c>
      <c r="L103" s="421">
        <v>1</v>
      </c>
      <c r="M103" s="584">
        <f t="shared" si="15"/>
        <v>9.5049890986841579E-2</v>
      </c>
      <c r="N103" s="577">
        <v>331469.74</v>
      </c>
      <c r="O103" s="421">
        <v>0.17708333711751073</v>
      </c>
      <c r="P103" s="211" t="s">
        <v>129</v>
      </c>
      <c r="Q103" s="60" t="s">
        <v>385</v>
      </c>
      <c r="S103" s="357"/>
    </row>
    <row r="104" spans="1:19" ht="15" customHeight="1" x14ac:dyDescent="0.25">
      <c r="A104" s="55"/>
      <c r="B104" s="55" t="s">
        <v>463</v>
      </c>
      <c r="C104" s="489">
        <v>4677000</v>
      </c>
      <c r="D104" s="396">
        <v>4877000</v>
      </c>
      <c r="E104" s="82">
        <v>4877000</v>
      </c>
      <c r="F104" s="423">
        <f>+E104/D104</f>
        <v>1</v>
      </c>
      <c r="G104" s="80">
        <v>4877000</v>
      </c>
      <c r="H104" s="423">
        <f>+G104/D104</f>
        <v>1</v>
      </c>
      <c r="I104" s="56">
        <v>3850000</v>
      </c>
      <c r="J104" s="438">
        <f>I104/D104</f>
        <v>0.78941972524092685</v>
      </c>
      <c r="K104" s="597">
        <v>5871140.4000000004</v>
      </c>
      <c r="L104" s="421">
        <v>0.98413930400600513</v>
      </c>
      <c r="M104" s="590">
        <f t="shared" si="15"/>
        <v>-0.16932662690198996</v>
      </c>
      <c r="N104" s="597">
        <v>5200000</v>
      </c>
      <c r="O104" s="421">
        <v>0.87164060679441868</v>
      </c>
      <c r="P104" s="590">
        <f t="shared" ref="P104" si="25">+I104/N104-1</f>
        <v>-0.25961538461538458</v>
      </c>
      <c r="Q104" s="60">
        <v>44453</v>
      </c>
      <c r="R104" s="46"/>
      <c r="S104" s="358"/>
    </row>
    <row r="105" spans="1:19" ht="15" customHeight="1" x14ac:dyDescent="0.25">
      <c r="A105" s="68"/>
      <c r="B105" s="545" t="s">
        <v>363</v>
      </c>
      <c r="C105" s="547">
        <v>0</v>
      </c>
      <c r="D105" s="534">
        <v>0</v>
      </c>
      <c r="E105" s="549">
        <v>0</v>
      </c>
      <c r="F105" s="550" t="s">
        <v>129</v>
      </c>
      <c r="G105" s="549">
        <v>0</v>
      </c>
      <c r="H105" s="550" t="s">
        <v>129</v>
      </c>
      <c r="I105" s="549">
        <v>0</v>
      </c>
      <c r="J105" s="551" t="s">
        <v>129</v>
      </c>
      <c r="K105" s="561"/>
      <c r="L105" s="550" t="s">
        <v>129</v>
      </c>
      <c r="M105" s="591" t="s">
        <v>129</v>
      </c>
      <c r="N105" s="561"/>
      <c r="O105" s="550" t="s">
        <v>129</v>
      </c>
      <c r="P105" s="591" t="s">
        <v>129</v>
      </c>
      <c r="Q105" s="60">
        <v>449</v>
      </c>
      <c r="R105" s="476"/>
      <c r="S105" s="358"/>
    </row>
    <row r="106" spans="1:19" ht="15" customHeight="1" x14ac:dyDescent="0.25">
      <c r="A106" s="126"/>
      <c r="B106" s="546" t="s">
        <v>344</v>
      </c>
      <c r="C106" s="192">
        <f>SUM(C71:C105)</f>
        <v>620667325.52999997</v>
      </c>
      <c r="D106" s="548">
        <f>SUM(D71:D105)</f>
        <v>647323109.39999986</v>
      </c>
      <c r="E106" s="127">
        <f>SUM(E71:E105)</f>
        <v>542235672.14999998</v>
      </c>
      <c r="F106" s="426">
        <f>E106/D106</f>
        <v>0.83765844950691648</v>
      </c>
      <c r="G106" s="127">
        <f>SUM(G71:G105)</f>
        <v>542235672.14999998</v>
      </c>
      <c r="H106" s="426">
        <f>+G106/D106</f>
        <v>0.83765844950691648</v>
      </c>
      <c r="I106" s="127">
        <f>SUM(I71:I105)</f>
        <v>370141314.80000001</v>
      </c>
      <c r="J106" s="436">
        <f>I106/D106</f>
        <v>0.57180302915970649</v>
      </c>
      <c r="K106" s="598">
        <v>497131860.90999997</v>
      </c>
      <c r="L106" s="426">
        <v>0.83606216804463862</v>
      </c>
      <c r="M106" s="592">
        <f t="shared" si="15"/>
        <v>9.0728063893224409E-2</v>
      </c>
      <c r="N106" s="598">
        <v>347831788.44</v>
      </c>
      <c r="O106" s="426">
        <v>0.5849735694382262</v>
      </c>
      <c r="P106" s="592">
        <f>+I106/N106-1</f>
        <v>6.4138836936257659E-2</v>
      </c>
      <c r="S106" s="358"/>
    </row>
    <row r="107" spans="1:19" ht="14.4" thickBot="1" x14ac:dyDescent="0.3">
      <c r="A107" s="7" t="s">
        <v>233</v>
      </c>
    </row>
    <row r="108" spans="1:19" x14ac:dyDescent="0.25">
      <c r="A108" s="8" t="s">
        <v>290</v>
      </c>
      <c r="C108" s="164" t="s">
        <v>765</v>
      </c>
      <c r="D108" s="754" t="s">
        <v>782</v>
      </c>
      <c r="E108" s="752"/>
      <c r="F108" s="752"/>
      <c r="G108" s="752"/>
      <c r="H108" s="752"/>
      <c r="I108" s="752"/>
      <c r="J108" s="753"/>
      <c r="K108" s="760" t="s">
        <v>783</v>
      </c>
      <c r="L108" s="761"/>
      <c r="M108" s="761"/>
      <c r="N108" s="761"/>
      <c r="O108" s="761"/>
      <c r="P108" s="762"/>
    </row>
    <row r="109" spans="1:19" x14ac:dyDescent="0.25">
      <c r="C109" s="157">
        <v>1</v>
      </c>
      <c r="D109" s="148">
        <v>2</v>
      </c>
      <c r="E109" s="87">
        <v>3</v>
      </c>
      <c r="F109" s="88" t="s">
        <v>36</v>
      </c>
      <c r="G109" s="87">
        <v>4</v>
      </c>
      <c r="H109" s="88" t="s">
        <v>37</v>
      </c>
      <c r="I109" s="87">
        <v>5</v>
      </c>
      <c r="J109" s="149" t="s">
        <v>38</v>
      </c>
      <c r="K109" s="87" t="s">
        <v>543</v>
      </c>
      <c r="L109" s="88" t="s">
        <v>544</v>
      </c>
      <c r="M109" s="88" t="s">
        <v>545</v>
      </c>
      <c r="N109" s="87" t="s">
        <v>39</v>
      </c>
      <c r="O109" s="88" t="s">
        <v>40</v>
      </c>
      <c r="P109" s="149" t="s">
        <v>362</v>
      </c>
    </row>
    <row r="110" spans="1:19" ht="26.4" x14ac:dyDescent="0.25">
      <c r="A110" s="1"/>
      <c r="B110" s="2" t="s">
        <v>150</v>
      </c>
      <c r="C110" s="158" t="s">
        <v>13</v>
      </c>
      <c r="D110" s="112" t="s">
        <v>350</v>
      </c>
      <c r="E110" s="89" t="s">
        <v>15</v>
      </c>
      <c r="F110" s="89" t="s">
        <v>18</v>
      </c>
      <c r="G110" s="89" t="s">
        <v>16</v>
      </c>
      <c r="H110" s="89" t="s">
        <v>18</v>
      </c>
      <c r="I110" s="89" t="s">
        <v>17</v>
      </c>
      <c r="J110" s="113" t="s">
        <v>18</v>
      </c>
      <c r="K110" s="89" t="s">
        <v>16</v>
      </c>
      <c r="L110" s="89" t="s">
        <v>18</v>
      </c>
      <c r="M110" s="89" t="s">
        <v>764</v>
      </c>
      <c r="N110" s="558" t="s">
        <v>17</v>
      </c>
      <c r="O110" s="89" t="s">
        <v>18</v>
      </c>
      <c r="P110" s="581" t="s">
        <v>764</v>
      </c>
      <c r="Q110" s="58" t="s">
        <v>163</v>
      </c>
      <c r="S110" s="358"/>
    </row>
    <row r="111" spans="1:19" ht="15" customHeight="1" x14ac:dyDescent="0.25">
      <c r="A111" s="81"/>
      <c r="B111" s="240" t="s">
        <v>429</v>
      </c>
      <c r="C111" s="186">
        <v>2000000</v>
      </c>
      <c r="D111" s="464">
        <v>3202937.88</v>
      </c>
      <c r="E111" s="82">
        <v>0</v>
      </c>
      <c r="F111" s="362">
        <f>+E111/D111</f>
        <v>0</v>
      </c>
      <c r="G111" s="82">
        <v>0</v>
      </c>
      <c r="H111" s="362">
        <f>+G111/D111</f>
        <v>0</v>
      </c>
      <c r="I111" s="82">
        <v>0</v>
      </c>
      <c r="J111" s="278">
        <f>I111/D111</f>
        <v>0</v>
      </c>
      <c r="K111" s="599">
        <v>3500000</v>
      </c>
      <c r="L111" s="362">
        <v>0.9831460674157303</v>
      </c>
      <c r="M111" s="654">
        <f t="shared" si="15"/>
        <v>-1</v>
      </c>
      <c r="N111" s="599">
        <v>3500000</v>
      </c>
      <c r="O111" s="362">
        <v>0.9831460674157303</v>
      </c>
      <c r="P111" s="654">
        <f>+I111/N111-1</f>
        <v>-1</v>
      </c>
      <c r="Q111" s="122" t="s">
        <v>450</v>
      </c>
      <c r="S111" s="358"/>
    </row>
    <row r="112" spans="1:19" ht="15" customHeight="1" x14ac:dyDescent="0.25">
      <c r="A112" s="70"/>
      <c r="B112" s="241" t="s">
        <v>396</v>
      </c>
      <c r="C112" s="186">
        <v>105000</v>
      </c>
      <c r="D112" s="464">
        <v>87568.43</v>
      </c>
      <c r="E112" s="82">
        <v>87568.43</v>
      </c>
      <c r="F112" s="362">
        <f>+E112/D112</f>
        <v>1</v>
      </c>
      <c r="G112" s="82">
        <v>87568.43</v>
      </c>
      <c r="H112" s="362">
        <f>+G112/D112</f>
        <v>1</v>
      </c>
      <c r="I112" s="82">
        <v>3917.29</v>
      </c>
      <c r="J112" s="278">
        <f>I112/D112</f>
        <v>4.4734043992795125E-2</v>
      </c>
      <c r="K112" s="599">
        <v>109275.87</v>
      </c>
      <c r="L112" s="362">
        <v>1</v>
      </c>
      <c r="M112" s="654">
        <f t="shared" si="15"/>
        <v>-0.1986480638406265</v>
      </c>
      <c r="N112" s="599">
        <v>33052.71</v>
      </c>
      <c r="O112" s="362">
        <v>0.30247034409334833</v>
      </c>
      <c r="P112" s="593" t="s">
        <v>129</v>
      </c>
      <c r="Q112" s="122">
        <v>46101</v>
      </c>
      <c r="S112" s="358"/>
    </row>
    <row r="113" spans="1:19" ht="15" customHeight="1" x14ac:dyDescent="0.25">
      <c r="A113" s="70"/>
      <c r="B113" s="241" t="s">
        <v>411</v>
      </c>
      <c r="C113" s="186">
        <v>0</v>
      </c>
      <c r="D113" s="464">
        <v>0</v>
      </c>
      <c r="E113" s="82">
        <v>0</v>
      </c>
      <c r="F113" s="420" t="s">
        <v>129</v>
      </c>
      <c r="G113" s="82">
        <v>0</v>
      </c>
      <c r="H113" s="362" t="s">
        <v>129</v>
      </c>
      <c r="I113" s="82">
        <v>0</v>
      </c>
      <c r="J113" s="278" t="s">
        <v>129</v>
      </c>
      <c r="K113" s="394"/>
      <c r="L113" s="362" t="s">
        <v>129</v>
      </c>
      <c r="M113" s="588" t="s">
        <v>129</v>
      </c>
      <c r="N113" s="394"/>
      <c r="O113" s="362" t="s">
        <v>129</v>
      </c>
      <c r="P113" s="588" t="s">
        <v>129</v>
      </c>
      <c r="Q113" s="122">
        <v>46102</v>
      </c>
      <c r="S113" s="358"/>
    </row>
    <row r="114" spans="1:19" ht="15" customHeight="1" x14ac:dyDescent="0.25">
      <c r="A114" s="81"/>
      <c r="B114" s="240" t="s">
        <v>426</v>
      </c>
      <c r="C114" s="186">
        <v>0</v>
      </c>
      <c r="D114" s="464">
        <v>0</v>
      </c>
      <c r="E114" s="82">
        <v>0</v>
      </c>
      <c r="F114" s="420" t="s">
        <v>129</v>
      </c>
      <c r="G114" s="82">
        <v>0</v>
      </c>
      <c r="H114" s="362" t="s">
        <v>129</v>
      </c>
      <c r="I114" s="82">
        <v>0</v>
      </c>
      <c r="J114" s="278" t="s">
        <v>129</v>
      </c>
      <c r="K114" s="578"/>
      <c r="L114" s="362" t="s">
        <v>129</v>
      </c>
      <c r="M114" s="588" t="s">
        <v>129</v>
      </c>
      <c r="N114" s="578"/>
      <c r="O114" s="362" t="s">
        <v>129</v>
      </c>
      <c r="P114" s="588" t="s">
        <v>129</v>
      </c>
      <c r="Q114" s="122">
        <v>462</v>
      </c>
      <c r="S114" s="358"/>
    </row>
    <row r="115" spans="1:19" ht="15" customHeight="1" x14ac:dyDescent="0.25">
      <c r="A115" s="81"/>
      <c r="B115" s="81" t="s">
        <v>319</v>
      </c>
      <c r="C115" s="186">
        <v>0</v>
      </c>
      <c r="D115" s="464">
        <v>0</v>
      </c>
      <c r="E115" s="82">
        <v>0</v>
      </c>
      <c r="F115" s="78" t="s">
        <v>129</v>
      </c>
      <c r="G115" s="82">
        <v>0</v>
      </c>
      <c r="H115" s="78" t="s">
        <v>129</v>
      </c>
      <c r="I115" s="82">
        <v>0</v>
      </c>
      <c r="J115" s="172" t="s">
        <v>129</v>
      </c>
      <c r="K115" s="578"/>
      <c r="L115" s="78" t="s">
        <v>129</v>
      </c>
      <c r="M115" s="588" t="s">
        <v>129</v>
      </c>
      <c r="N115" s="578"/>
      <c r="O115" s="78" t="s">
        <v>129</v>
      </c>
      <c r="P115" s="588" t="s">
        <v>129</v>
      </c>
      <c r="Q115" s="60">
        <v>463</v>
      </c>
      <c r="S115" s="358"/>
    </row>
    <row r="116" spans="1:19" ht="15" customHeight="1" x14ac:dyDescent="0.25">
      <c r="A116" s="70"/>
      <c r="B116" s="70" t="s">
        <v>320</v>
      </c>
      <c r="C116" s="186">
        <v>0</v>
      </c>
      <c r="D116" s="464">
        <v>398251.18</v>
      </c>
      <c r="E116" s="82">
        <v>398251.18</v>
      </c>
      <c r="F116" s="420">
        <f>+E116/D116</f>
        <v>1</v>
      </c>
      <c r="G116" s="82">
        <v>398251.18</v>
      </c>
      <c r="H116" s="420">
        <f>+G116/D116</f>
        <v>1</v>
      </c>
      <c r="I116" s="82">
        <v>398251.18</v>
      </c>
      <c r="J116" s="434">
        <f>I116/D116</f>
        <v>1</v>
      </c>
      <c r="K116" s="394">
        <v>3584260.62</v>
      </c>
      <c r="L116" s="420">
        <v>0.50594702993860208</v>
      </c>
      <c r="M116" s="588">
        <f t="shared" si="15"/>
        <v>-0.88888888888888884</v>
      </c>
      <c r="N116" s="394">
        <v>3584260.62</v>
      </c>
      <c r="O116" s="420">
        <v>0.50594702993860208</v>
      </c>
      <c r="P116" s="588">
        <f>+I116/N116-1</f>
        <v>-0.88888888888888884</v>
      </c>
      <c r="Q116" s="60">
        <v>46401</v>
      </c>
      <c r="S116" s="358"/>
    </row>
    <row r="117" spans="1:19" ht="15" customHeight="1" x14ac:dyDescent="0.25">
      <c r="A117" s="70"/>
      <c r="B117" s="70" t="s">
        <v>321</v>
      </c>
      <c r="C117" s="186">
        <v>1997000</v>
      </c>
      <c r="D117" s="464">
        <v>1247000</v>
      </c>
      <c r="E117" s="82">
        <v>110000</v>
      </c>
      <c r="F117" s="420">
        <f t="shared" ref="F117:F125" si="26">+E117/D117</f>
        <v>8.8211708099438652E-2</v>
      </c>
      <c r="G117" s="82">
        <v>110000</v>
      </c>
      <c r="H117" s="420">
        <f t="shared" ref="H117:H121" si="27">+G117/D117</f>
        <v>8.8211708099438652E-2</v>
      </c>
      <c r="I117" s="82">
        <v>0</v>
      </c>
      <c r="J117" s="434">
        <f t="shared" ref="J117:J124" si="28">I117/D117</f>
        <v>0</v>
      </c>
      <c r="K117" s="394">
        <v>110000</v>
      </c>
      <c r="L117" s="420">
        <v>5.2206929283341245E-2</v>
      </c>
      <c r="M117" s="588">
        <f t="shared" si="15"/>
        <v>0</v>
      </c>
      <c r="N117" s="394">
        <v>24208.2</v>
      </c>
      <c r="O117" s="420">
        <v>1.1489416231608924E-2</v>
      </c>
      <c r="P117" s="588" t="s">
        <v>129</v>
      </c>
      <c r="Q117" s="60">
        <v>46410</v>
      </c>
      <c r="S117" s="358"/>
    </row>
    <row r="118" spans="1:19" ht="15" customHeight="1" x14ac:dyDescent="0.25">
      <c r="A118" s="72"/>
      <c r="B118" s="72" t="s">
        <v>322</v>
      </c>
      <c r="C118" s="185">
        <v>108534406.23999999</v>
      </c>
      <c r="D118" s="490">
        <v>108529136.2</v>
      </c>
      <c r="E118" s="82">
        <v>108498218.3</v>
      </c>
      <c r="F118" s="421">
        <f t="shared" si="26"/>
        <v>0.99971511889726061</v>
      </c>
      <c r="G118" s="82">
        <v>108498218.3</v>
      </c>
      <c r="H118" s="421">
        <f t="shared" si="27"/>
        <v>0.99971511889726061</v>
      </c>
      <c r="I118" s="82">
        <v>69669359.560000002</v>
      </c>
      <c r="J118" s="435">
        <f t="shared" si="28"/>
        <v>0.64194152832481499</v>
      </c>
      <c r="K118" s="577">
        <v>90813484.260000005</v>
      </c>
      <c r="L118" s="421">
        <v>0.74970153154520658</v>
      </c>
      <c r="M118" s="584">
        <f t="shared" si="15"/>
        <v>0.19473687397973194</v>
      </c>
      <c r="N118" s="577">
        <v>67271804.980000004</v>
      </c>
      <c r="O118" s="421">
        <v>0.55535558000311935</v>
      </c>
      <c r="P118" s="584">
        <f>+I118/N118-1</f>
        <v>3.5639813451010971E-2</v>
      </c>
      <c r="Q118" s="60" t="s">
        <v>328</v>
      </c>
      <c r="S118" s="358"/>
    </row>
    <row r="119" spans="1:19" ht="15" customHeight="1" x14ac:dyDescent="0.25">
      <c r="A119" s="63"/>
      <c r="B119" s="63" t="s">
        <v>323</v>
      </c>
      <c r="C119" s="489">
        <v>0</v>
      </c>
      <c r="D119" s="491">
        <v>0</v>
      </c>
      <c r="E119" s="64">
        <v>0</v>
      </c>
      <c r="F119" s="423" t="s">
        <v>129</v>
      </c>
      <c r="G119" s="64">
        <v>0</v>
      </c>
      <c r="H119" s="423" t="s">
        <v>129</v>
      </c>
      <c r="I119" s="64">
        <v>0</v>
      </c>
      <c r="J119" s="437" t="s">
        <v>129</v>
      </c>
      <c r="K119" s="597">
        <v>0</v>
      </c>
      <c r="L119" s="423" t="s">
        <v>129</v>
      </c>
      <c r="M119" s="584" t="s">
        <v>129</v>
      </c>
      <c r="N119" s="597">
        <v>0</v>
      </c>
      <c r="O119" s="423" t="s">
        <v>129</v>
      </c>
      <c r="P119" s="584" t="s">
        <v>129</v>
      </c>
      <c r="Q119" s="60">
        <v>465</v>
      </c>
      <c r="S119" s="358"/>
    </row>
    <row r="120" spans="1:19" ht="15" customHeight="1" x14ac:dyDescent="0.25">
      <c r="A120" s="68"/>
      <c r="B120" s="68" t="s">
        <v>324</v>
      </c>
      <c r="C120" s="186">
        <v>132984242.02</v>
      </c>
      <c r="D120" s="464">
        <v>136665156.40000001</v>
      </c>
      <c r="E120" s="71">
        <v>112255416.90000001</v>
      </c>
      <c r="F120" s="362">
        <f t="shared" si="26"/>
        <v>0.82139017623075727</v>
      </c>
      <c r="G120" s="71">
        <v>112255416.90000001</v>
      </c>
      <c r="H120" s="362">
        <f t="shared" si="27"/>
        <v>0.82139017623075727</v>
      </c>
      <c r="I120" s="71">
        <v>81588500.189999998</v>
      </c>
      <c r="J120" s="239">
        <f t="shared" si="28"/>
        <v>0.59699562301894815</v>
      </c>
      <c r="K120" s="576">
        <v>110924325</v>
      </c>
      <c r="L120" s="238">
        <v>0.8602475525773301</v>
      </c>
      <c r="M120" s="587">
        <f t="shared" si="15"/>
        <v>1.2000000000000011E-2</v>
      </c>
      <c r="N120" s="576">
        <v>96706164.079999998</v>
      </c>
      <c r="O120" s="238">
        <v>0.74998194461820444</v>
      </c>
      <c r="P120" s="587">
        <f>+I120/N120-1</f>
        <v>-0.15632575269446047</v>
      </c>
      <c r="Q120" s="60">
        <v>46701</v>
      </c>
      <c r="S120" s="358"/>
    </row>
    <row r="121" spans="1:19" ht="15" customHeight="1" x14ac:dyDescent="0.25">
      <c r="A121" s="70"/>
      <c r="B121" s="70" t="s">
        <v>325</v>
      </c>
      <c r="C121" s="186">
        <v>69600900.939999998</v>
      </c>
      <c r="D121" s="464">
        <v>70378626.870000005</v>
      </c>
      <c r="E121" s="71">
        <v>70378626.870000005</v>
      </c>
      <c r="F121" s="420">
        <f t="shared" si="26"/>
        <v>1</v>
      </c>
      <c r="G121" s="71">
        <v>70378626.870000005</v>
      </c>
      <c r="H121" s="420">
        <f t="shared" si="27"/>
        <v>1</v>
      </c>
      <c r="I121" s="71">
        <v>46390125.93</v>
      </c>
      <c r="J121" s="434">
        <f t="shared" si="28"/>
        <v>0.65915076768533143</v>
      </c>
      <c r="K121" s="394">
        <v>63856593.149999999</v>
      </c>
      <c r="L121" s="420">
        <v>0.99028461286307701</v>
      </c>
      <c r="M121" s="588">
        <f t="shared" si="15"/>
        <v>0.10213563546491833</v>
      </c>
      <c r="N121" s="394">
        <v>43535415.600000001</v>
      </c>
      <c r="O121" s="420">
        <v>0.67514488413134466</v>
      </c>
      <c r="P121" s="588">
        <f>+I121/N121-1</f>
        <v>6.557213915743576E-2</v>
      </c>
      <c r="Q121" s="60">
        <v>46703</v>
      </c>
      <c r="S121" s="358"/>
    </row>
    <row r="122" spans="1:19" ht="15" customHeight="1" x14ac:dyDescent="0.25">
      <c r="A122" s="70"/>
      <c r="B122" s="70" t="s">
        <v>336</v>
      </c>
      <c r="C122" s="186">
        <v>0</v>
      </c>
      <c r="D122" s="464">
        <v>0</v>
      </c>
      <c r="E122" s="71">
        <v>0</v>
      </c>
      <c r="F122" s="420" t="s">
        <v>129</v>
      </c>
      <c r="G122" s="71">
        <v>0</v>
      </c>
      <c r="H122" s="420" t="s">
        <v>129</v>
      </c>
      <c r="I122" s="71">
        <v>0</v>
      </c>
      <c r="J122" s="434" t="s">
        <v>129</v>
      </c>
      <c r="K122" s="394"/>
      <c r="L122" s="420" t="s">
        <v>129</v>
      </c>
      <c r="M122" s="588" t="s">
        <v>129</v>
      </c>
      <c r="N122" s="394"/>
      <c r="O122" s="420" t="s">
        <v>129</v>
      </c>
      <c r="P122" s="588" t="s">
        <v>129</v>
      </c>
      <c r="Q122" s="60" t="s">
        <v>393</v>
      </c>
      <c r="S122" s="358"/>
    </row>
    <row r="123" spans="1:19" ht="15" customHeight="1" x14ac:dyDescent="0.25">
      <c r="A123" s="70"/>
      <c r="B123" s="70" t="s">
        <v>337</v>
      </c>
      <c r="C123" s="186">
        <v>1142000</v>
      </c>
      <c r="D123" s="464">
        <v>1142000</v>
      </c>
      <c r="E123" s="71">
        <v>1142000</v>
      </c>
      <c r="F123" s="420">
        <f t="shared" si="26"/>
        <v>1</v>
      </c>
      <c r="G123" s="71">
        <v>1142000</v>
      </c>
      <c r="H123" s="420">
        <f t="shared" ref="H123:H125" si="29">+G123/D123</f>
        <v>1</v>
      </c>
      <c r="I123" s="71">
        <v>855000</v>
      </c>
      <c r="J123" s="434">
        <f t="shared" si="28"/>
        <v>0.74868651488616467</v>
      </c>
      <c r="K123" s="394">
        <v>1627000</v>
      </c>
      <c r="L123" s="420">
        <v>0.80783866662429693</v>
      </c>
      <c r="M123" s="588">
        <f t="shared" si="15"/>
        <v>-0.29809465273509528</v>
      </c>
      <c r="N123" s="394">
        <v>1435000</v>
      </c>
      <c r="O123" s="420">
        <v>0.71250675267723795</v>
      </c>
      <c r="P123" s="588">
        <f>+I123/N123-1</f>
        <v>-0.40418118466898956</v>
      </c>
      <c r="Q123" s="60" t="s">
        <v>394</v>
      </c>
      <c r="S123" s="358"/>
    </row>
    <row r="124" spans="1:19" ht="15" customHeight="1" x14ac:dyDescent="0.25">
      <c r="A124" s="70"/>
      <c r="B124" s="70" t="s">
        <v>335</v>
      </c>
      <c r="C124" s="186">
        <v>421003.62</v>
      </c>
      <c r="D124" s="464">
        <v>421003.62</v>
      </c>
      <c r="E124" s="71">
        <v>421003.62</v>
      </c>
      <c r="F124" s="420">
        <f t="shared" si="26"/>
        <v>1</v>
      </c>
      <c r="G124" s="71">
        <v>421003.62</v>
      </c>
      <c r="H124" s="420">
        <f t="shared" si="29"/>
        <v>1</v>
      </c>
      <c r="I124" s="71">
        <v>0</v>
      </c>
      <c r="J124" s="434">
        <f t="shared" si="28"/>
        <v>0</v>
      </c>
      <c r="K124" s="394">
        <v>271003.62</v>
      </c>
      <c r="L124" s="420">
        <v>1</v>
      </c>
      <c r="M124" s="588">
        <f t="shared" si="15"/>
        <v>0.55349814146394061</v>
      </c>
      <c r="N124" s="394">
        <v>0</v>
      </c>
      <c r="O124" s="420">
        <v>0</v>
      </c>
      <c r="P124" s="588" t="s">
        <v>129</v>
      </c>
      <c r="Q124" s="60" t="s">
        <v>389</v>
      </c>
      <c r="S124" s="358"/>
    </row>
    <row r="125" spans="1:19" ht="15" customHeight="1" x14ac:dyDescent="0.25">
      <c r="A125" s="70"/>
      <c r="B125" s="70" t="s">
        <v>332</v>
      </c>
      <c r="C125" s="186">
        <v>17276353.23</v>
      </c>
      <c r="D125" s="464">
        <v>17276353.23</v>
      </c>
      <c r="E125" s="71">
        <v>17276353.23</v>
      </c>
      <c r="F125" s="420">
        <f t="shared" si="26"/>
        <v>1</v>
      </c>
      <c r="G125" s="71">
        <v>17276353.23</v>
      </c>
      <c r="H125" s="420">
        <f t="shared" si="29"/>
        <v>1</v>
      </c>
      <c r="I125" s="71">
        <v>11517568.800000001</v>
      </c>
      <c r="J125" s="434">
        <f>I125/D125</f>
        <v>0.66666666550901499</v>
      </c>
      <c r="K125" s="394">
        <v>16386353.23</v>
      </c>
      <c r="L125" s="420">
        <v>0.99954007264203704</v>
      </c>
      <c r="M125" s="588">
        <f t="shared" si="15"/>
        <v>5.4313488029209323E-2</v>
      </c>
      <c r="N125" s="394">
        <v>13926776.609999999</v>
      </c>
      <c r="O125" s="420">
        <v>0.84951002270252063</v>
      </c>
      <c r="P125" s="588">
        <f>+I125/N125-1</f>
        <v>-0.17299105726088038</v>
      </c>
      <c r="Q125" s="60" t="s">
        <v>386</v>
      </c>
      <c r="S125" s="358"/>
    </row>
    <row r="126" spans="1:19" ht="15" customHeight="1" x14ac:dyDescent="0.25">
      <c r="A126" s="70"/>
      <c r="B126" s="70" t="s">
        <v>334</v>
      </c>
      <c r="C126" s="186">
        <v>0</v>
      </c>
      <c r="D126" s="464">
        <v>0</v>
      </c>
      <c r="E126" s="71">
        <v>0</v>
      </c>
      <c r="F126" s="130" t="s">
        <v>129</v>
      </c>
      <c r="G126" s="71">
        <v>0</v>
      </c>
      <c r="H126" s="130" t="s">
        <v>129</v>
      </c>
      <c r="I126" s="71">
        <v>0</v>
      </c>
      <c r="J126" s="194" t="s">
        <v>129</v>
      </c>
      <c r="K126" s="394"/>
      <c r="L126" s="130" t="s">
        <v>129</v>
      </c>
      <c r="M126" s="588" t="s">
        <v>129</v>
      </c>
      <c r="N126" s="394"/>
      <c r="O126" s="130" t="s">
        <v>129</v>
      </c>
      <c r="P126" s="588" t="s">
        <v>129</v>
      </c>
      <c r="Q126" s="60" t="s">
        <v>387</v>
      </c>
      <c r="S126" s="358"/>
    </row>
    <row r="127" spans="1:19" ht="15" customHeight="1" x14ac:dyDescent="0.25">
      <c r="A127" s="70"/>
      <c r="B127" s="70" t="s">
        <v>333</v>
      </c>
      <c r="C127" s="186">
        <v>2248848</v>
      </c>
      <c r="D127" s="464">
        <v>2889577.19</v>
      </c>
      <c r="E127" s="71">
        <v>2889577.19</v>
      </c>
      <c r="F127" s="420">
        <f t="shared" ref="F127:F141" si="30">+E127/D127</f>
        <v>1</v>
      </c>
      <c r="G127" s="71">
        <v>2889577.19</v>
      </c>
      <c r="H127" s="420">
        <f t="shared" ref="H127:H141" si="31">+G127/D127</f>
        <v>1</v>
      </c>
      <c r="I127" s="71">
        <v>2248848</v>
      </c>
      <c r="J127" s="434">
        <f t="shared" ref="J127:J141" si="32">I127/D127</f>
        <v>0.77826195741806781</v>
      </c>
      <c r="K127" s="394">
        <v>2248848</v>
      </c>
      <c r="L127" s="420">
        <v>1</v>
      </c>
      <c r="M127" s="588">
        <f t="shared" si="15"/>
        <v>0.28491440506428178</v>
      </c>
      <c r="N127" s="394">
        <v>2248848</v>
      </c>
      <c r="O127" s="420">
        <v>1</v>
      </c>
      <c r="P127" s="588">
        <f>+I127/N127-1</f>
        <v>0</v>
      </c>
      <c r="Q127" s="60" t="s">
        <v>388</v>
      </c>
      <c r="S127" s="358"/>
    </row>
    <row r="128" spans="1:19" ht="15" customHeight="1" x14ac:dyDescent="0.25">
      <c r="A128" s="70"/>
      <c r="B128" s="70" t="s">
        <v>331</v>
      </c>
      <c r="C128" s="186">
        <v>1237126</v>
      </c>
      <c r="D128" s="464">
        <v>1542126</v>
      </c>
      <c r="E128" s="71">
        <v>1542123.71</v>
      </c>
      <c r="F128" s="420">
        <f t="shared" si="30"/>
        <v>0.9999985150370333</v>
      </c>
      <c r="G128" s="71">
        <v>1542123.71</v>
      </c>
      <c r="H128" s="420">
        <f t="shared" si="31"/>
        <v>0.9999985150370333</v>
      </c>
      <c r="I128" s="71">
        <v>674672</v>
      </c>
      <c r="J128" s="434">
        <f t="shared" si="32"/>
        <v>0.43749473129951766</v>
      </c>
      <c r="K128" s="394">
        <v>1641747</v>
      </c>
      <c r="L128" s="420">
        <v>0.70049396274862941</v>
      </c>
      <c r="M128" s="588">
        <f t="shared" si="15"/>
        <v>-6.0681268185658332E-2</v>
      </c>
      <c r="N128" s="394">
        <v>1214267</v>
      </c>
      <c r="O128" s="420">
        <v>0.51809852715728433</v>
      </c>
      <c r="P128" s="588">
        <f>+I128/N128-1</f>
        <v>-0.4443792016088719</v>
      </c>
      <c r="Q128" s="60" t="s">
        <v>392</v>
      </c>
      <c r="S128" s="358"/>
    </row>
    <row r="129" spans="1:19" ht="15" customHeight="1" x14ac:dyDescent="0.25">
      <c r="A129" s="70"/>
      <c r="B129" s="70" t="s">
        <v>329</v>
      </c>
      <c r="C129" s="186">
        <v>185101.56</v>
      </c>
      <c r="D129" s="464">
        <v>270101.56</v>
      </c>
      <c r="E129" s="71">
        <v>270101.56</v>
      </c>
      <c r="F129" s="420">
        <f t="shared" si="30"/>
        <v>1</v>
      </c>
      <c r="G129" s="71">
        <v>270101.56</v>
      </c>
      <c r="H129" s="420">
        <f t="shared" si="31"/>
        <v>1</v>
      </c>
      <c r="I129" s="71">
        <v>138000</v>
      </c>
      <c r="J129" s="434">
        <f t="shared" si="32"/>
        <v>0.51091892990177468</v>
      </c>
      <c r="K129" s="394">
        <v>275101.56</v>
      </c>
      <c r="L129" s="420">
        <v>0.91608435200936023</v>
      </c>
      <c r="M129" s="588">
        <f t="shared" si="15"/>
        <v>-1.8175105949962633E-2</v>
      </c>
      <c r="N129" s="394">
        <v>251101.56</v>
      </c>
      <c r="O129" s="420">
        <v>0.83616468725636994</v>
      </c>
      <c r="P129" s="588">
        <f t="shared" ref="P129:P130" si="33">+I129/N129-1</f>
        <v>-0.4504215744418314</v>
      </c>
      <c r="Q129" s="60" t="s">
        <v>390</v>
      </c>
      <c r="S129" s="358"/>
    </row>
    <row r="130" spans="1:19" ht="15" customHeight="1" x14ac:dyDescent="0.25">
      <c r="A130" s="70"/>
      <c r="B130" s="70" t="s">
        <v>330</v>
      </c>
      <c r="C130" s="186">
        <v>1108512.45</v>
      </c>
      <c r="D130" s="464">
        <v>1108512.45</v>
      </c>
      <c r="E130" s="71">
        <v>1108512.45</v>
      </c>
      <c r="F130" s="420">
        <f t="shared" si="30"/>
        <v>1</v>
      </c>
      <c r="G130" s="71">
        <v>1108512.45</v>
      </c>
      <c r="H130" s="420">
        <f t="shared" si="31"/>
        <v>1</v>
      </c>
      <c r="I130" s="71">
        <v>1108512.45</v>
      </c>
      <c r="J130" s="434">
        <f t="shared" si="32"/>
        <v>1</v>
      </c>
      <c r="K130" s="394">
        <v>1008512.45</v>
      </c>
      <c r="L130" s="420">
        <v>1</v>
      </c>
      <c r="M130" s="588">
        <f t="shared" si="15"/>
        <v>9.9155940018390565E-2</v>
      </c>
      <c r="N130" s="394">
        <v>1008512.45</v>
      </c>
      <c r="O130" s="420">
        <v>1</v>
      </c>
      <c r="P130" s="588">
        <f t="shared" si="33"/>
        <v>9.9155940018390565E-2</v>
      </c>
      <c r="Q130" s="60" t="s">
        <v>391</v>
      </c>
      <c r="S130" s="358"/>
    </row>
    <row r="131" spans="1:19" ht="15" customHeight="1" x14ac:dyDescent="0.25">
      <c r="A131" s="70"/>
      <c r="B131" s="70" t="s">
        <v>327</v>
      </c>
      <c r="C131" s="186">
        <v>11341014</v>
      </c>
      <c r="D131" s="464">
        <v>11341014</v>
      </c>
      <c r="E131" s="71">
        <v>11341014</v>
      </c>
      <c r="F131" s="420">
        <f t="shared" si="30"/>
        <v>1</v>
      </c>
      <c r="G131" s="71">
        <v>11341014</v>
      </c>
      <c r="H131" s="420">
        <f t="shared" si="31"/>
        <v>1</v>
      </c>
      <c r="I131" s="71">
        <v>1905000</v>
      </c>
      <c r="J131" s="434">
        <f t="shared" si="32"/>
        <v>0.16797439805647008</v>
      </c>
      <c r="K131" s="394">
        <v>10541014</v>
      </c>
      <c r="L131" s="420">
        <v>0.99060239935780559</v>
      </c>
      <c r="M131" s="588">
        <f t="shared" si="15"/>
        <v>7.5894026893427835E-2</v>
      </c>
      <c r="N131" s="394">
        <v>9270000</v>
      </c>
      <c r="O131" s="420">
        <v>0.87115757953142436</v>
      </c>
      <c r="P131" s="588">
        <f>+I131/N131-1</f>
        <v>-0.7944983818770226</v>
      </c>
      <c r="Q131" s="60">
        <v>46743</v>
      </c>
      <c r="S131" s="358"/>
    </row>
    <row r="132" spans="1:19" ht="15" customHeight="1" x14ac:dyDescent="0.25">
      <c r="A132" s="70"/>
      <c r="B132" s="70" t="s">
        <v>326</v>
      </c>
      <c r="C132" s="186">
        <v>1136412.6100000001</v>
      </c>
      <c r="D132" s="464">
        <v>1305798.8799999999</v>
      </c>
      <c r="E132" s="71">
        <v>1305798.8799999999</v>
      </c>
      <c r="F132" s="420">
        <f t="shared" si="30"/>
        <v>1</v>
      </c>
      <c r="G132" s="71">
        <v>1305798.8799999999</v>
      </c>
      <c r="H132" s="420">
        <f t="shared" si="31"/>
        <v>1</v>
      </c>
      <c r="I132" s="71">
        <v>836412.61</v>
      </c>
      <c r="J132" s="434">
        <f t="shared" si="32"/>
        <v>0.64053708638500295</v>
      </c>
      <c r="K132" s="394">
        <v>1172912.6100000001</v>
      </c>
      <c r="L132" s="420">
        <v>1</v>
      </c>
      <c r="M132" s="588">
        <f t="shared" si="15"/>
        <v>0.11329596840126022</v>
      </c>
      <c r="N132" s="394">
        <v>1172912.6100000001</v>
      </c>
      <c r="O132" s="420">
        <v>1</v>
      </c>
      <c r="P132" s="588">
        <f t="shared" ref="P132:P137" si="34">+I132/N132-1</f>
        <v>-0.28689264411608639</v>
      </c>
      <c r="Q132" s="60">
        <v>46746</v>
      </c>
      <c r="S132" s="358"/>
    </row>
    <row r="133" spans="1:19" ht="15" customHeight="1" x14ac:dyDescent="0.25">
      <c r="A133" s="70"/>
      <c r="B133" s="70" t="s">
        <v>338</v>
      </c>
      <c r="C133" s="186">
        <v>1490399</v>
      </c>
      <c r="D133" s="464">
        <v>1600399</v>
      </c>
      <c r="E133" s="71">
        <v>1490399</v>
      </c>
      <c r="F133" s="420">
        <f t="shared" si="30"/>
        <v>0.93126714025689838</v>
      </c>
      <c r="G133" s="71">
        <v>1490399</v>
      </c>
      <c r="H133" s="420">
        <f t="shared" si="31"/>
        <v>0.93126714025689838</v>
      </c>
      <c r="I133" s="71">
        <v>1179000</v>
      </c>
      <c r="J133" s="434">
        <f t="shared" si="32"/>
        <v>0.73669128761015223</v>
      </c>
      <c r="K133" s="394">
        <v>1890399</v>
      </c>
      <c r="L133" s="420">
        <v>1</v>
      </c>
      <c r="M133" s="588">
        <f t="shared" si="15"/>
        <v>-0.21159554147034565</v>
      </c>
      <c r="N133" s="394">
        <v>1579000</v>
      </c>
      <c r="O133" s="420">
        <v>0.83527339995418959</v>
      </c>
      <c r="P133" s="588">
        <f t="shared" si="34"/>
        <v>-0.253324889170361</v>
      </c>
      <c r="Q133" s="60" t="s">
        <v>395</v>
      </c>
      <c r="S133" s="358"/>
    </row>
    <row r="134" spans="1:19" ht="15" customHeight="1" x14ac:dyDescent="0.25">
      <c r="A134" s="72"/>
      <c r="B134" s="72" t="s">
        <v>339</v>
      </c>
      <c r="C134" s="176">
        <v>6277211.96</v>
      </c>
      <c r="D134" s="493">
        <v>5327122.58</v>
      </c>
      <c r="E134" s="73">
        <v>4201995.3</v>
      </c>
      <c r="F134" s="509">
        <f t="shared" si="30"/>
        <v>0.78879268064449148</v>
      </c>
      <c r="G134" s="71">
        <v>4201995.3</v>
      </c>
      <c r="H134" s="421">
        <f t="shared" si="31"/>
        <v>0.78879268064449148</v>
      </c>
      <c r="I134" s="71">
        <v>3631145.38</v>
      </c>
      <c r="J134" s="435">
        <f t="shared" si="32"/>
        <v>0.68163353207464583</v>
      </c>
      <c r="K134" s="577">
        <v>4250485.0999999903</v>
      </c>
      <c r="L134" s="421">
        <v>0.68298267022090087</v>
      </c>
      <c r="M134" s="584">
        <f t="shared" si="15"/>
        <v>-1.1408062576196421E-2</v>
      </c>
      <c r="N134" s="577">
        <v>4107241.59999996</v>
      </c>
      <c r="O134" s="421">
        <v>0.65996580842274788</v>
      </c>
      <c r="P134" s="584">
        <f t="shared" si="34"/>
        <v>-0.11591629282289229</v>
      </c>
      <c r="Q134" s="60" t="s">
        <v>340</v>
      </c>
      <c r="S134" s="358"/>
    </row>
    <row r="135" spans="1:19" ht="15" customHeight="1" x14ac:dyDescent="0.25">
      <c r="A135" s="68"/>
      <c r="B135" s="68" t="s">
        <v>341</v>
      </c>
      <c r="C135" s="488">
        <v>3977488.74</v>
      </c>
      <c r="D135" s="494">
        <v>4854155.2</v>
      </c>
      <c r="E135" s="82">
        <v>3983566.46</v>
      </c>
      <c r="F135" s="238">
        <f t="shared" si="30"/>
        <v>0.82065082303095704</v>
      </c>
      <c r="G135" s="69">
        <v>888939.83</v>
      </c>
      <c r="H135" s="420">
        <f t="shared" si="31"/>
        <v>0.18312966795952465</v>
      </c>
      <c r="I135" s="69">
        <v>495064.83</v>
      </c>
      <c r="J135" s="434">
        <f t="shared" si="32"/>
        <v>0.10198784538244678</v>
      </c>
      <c r="K135" s="576">
        <v>759400</v>
      </c>
      <c r="L135" s="238">
        <v>0.26558019164859759</v>
      </c>
      <c r="M135" s="718">
        <f t="shared" si="15"/>
        <v>0.17058181459046606</v>
      </c>
      <c r="N135" s="576">
        <v>244400</v>
      </c>
      <c r="O135" s="238">
        <v>8.547247674337273E-2</v>
      </c>
      <c r="P135" s="594">
        <f t="shared" si="34"/>
        <v>1.0256335106382979</v>
      </c>
      <c r="Q135" s="60">
        <v>47</v>
      </c>
      <c r="S135" s="358"/>
    </row>
    <row r="136" spans="1:19" ht="15" customHeight="1" x14ac:dyDescent="0.25">
      <c r="A136" s="70"/>
      <c r="B136" s="70" t="s">
        <v>342</v>
      </c>
      <c r="C136" s="186">
        <v>92249396.719999999</v>
      </c>
      <c r="D136" s="464">
        <v>89705480.140000001</v>
      </c>
      <c r="E136" s="71">
        <v>68956214.959999993</v>
      </c>
      <c r="F136" s="420">
        <f t="shared" si="30"/>
        <v>0.76869567893045776</v>
      </c>
      <c r="G136" s="82">
        <v>51195224.130000003</v>
      </c>
      <c r="H136" s="420">
        <f t="shared" si="31"/>
        <v>0.57070341800859348</v>
      </c>
      <c r="I136" s="71">
        <v>37169255.109999999</v>
      </c>
      <c r="J136" s="434">
        <f t="shared" si="32"/>
        <v>0.41434765247330851</v>
      </c>
      <c r="K136" s="394">
        <v>50599021.5</v>
      </c>
      <c r="L136" s="420">
        <v>0.60891013769211377</v>
      </c>
      <c r="M136" s="585">
        <f t="shared" si="15"/>
        <v>1.1782888528783175E-2</v>
      </c>
      <c r="N136" s="394">
        <v>36886747.43</v>
      </c>
      <c r="O136" s="420">
        <v>0.44389622152308861</v>
      </c>
      <c r="P136" s="588">
        <f t="shared" si="34"/>
        <v>7.6587853276062212E-3</v>
      </c>
      <c r="Q136" s="60">
        <v>48</v>
      </c>
      <c r="S136" s="358"/>
    </row>
    <row r="137" spans="1:19" ht="15" customHeight="1" x14ac:dyDescent="0.25">
      <c r="A137" s="72"/>
      <c r="B137" s="72" t="s">
        <v>343</v>
      </c>
      <c r="C137" s="176">
        <v>125828.35</v>
      </c>
      <c r="D137" s="493">
        <v>155669.87</v>
      </c>
      <c r="E137" s="73">
        <v>98254.36</v>
      </c>
      <c r="F137" s="421">
        <f t="shared" si="30"/>
        <v>0.63117133713800877</v>
      </c>
      <c r="G137" s="73">
        <v>98254.36</v>
      </c>
      <c r="H137" s="421">
        <f t="shared" si="31"/>
        <v>0.63117133713800877</v>
      </c>
      <c r="I137" s="73">
        <v>98254.36</v>
      </c>
      <c r="J137" s="435">
        <f t="shared" si="32"/>
        <v>0.63117133713800877</v>
      </c>
      <c r="K137" s="577">
        <v>385205.33</v>
      </c>
      <c r="L137" s="421">
        <v>8.3955027840557916E-2</v>
      </c>
      <c r="M137" s="639">
        <f t="shared" si="15"/>
        <v>-0.74492990530530823</v>
      </c>
      <c r="N137" s="577">
        <v>385205.33</v>
      </c>
      <c r="O137" s="421">
        <v>8.3955027840557916E-2</v>
      </c>
      <c r="P137" s="584">
        <f t="shared" si="34"/>
        <v>-0.74492990530530823</v>
      </c>
      <c r="Q137" s="60">
        <v>49</v>
      </c>
      <c r="S137" s="358"/>
    </row>
    <row r="138" spans="1:19" ht="15" customHeight="1" x14ac:dyDescent="0.25">
      <c r="A138" s="61"/>
      <c r="B138" s="61" t="s">
        <v>453</v>
      </c>
      <c r="C138" s="489">
        <v>13647818.9</v>
      </c>
      <c r="D138" s="491">
        <v>6908292.3700000001</v>
      </c>
      <c r="E138" s="62">
        <v>0</v>
      </c>
      <c r="F138" s="422">
        <f>+E138/D138</f>
        <v>0</v>
      </c>
      <c r="G138" s="62">
        <v>0</v>
      </c>
      <c r="H138" s="422">
        <f>+G138/D138</f>
        <v>0</v>
      </c>
      <c r="I138" s="62">
        <v>0</v>
      </c>
      <c r="J138" s="438">
        <f>I138/D138</f>
        <v>0</v>
      </c>
      <c r="K138" s="575">
        <v>0</v>
      </c>
      <c r="L138" s="422">
        <v>0</v>
      </c>
      <c r="M138" s="245" t="s">
        <v>129</v>
      </c>
      <c r="N138" s="575">
        <v>0</v>
      </c>
      <c r="O138" s="422">
        <v>0</v>
      </c>
      <c r="P138" s="245" t="s">
        <v>129</v>
      </c>
      <c r="Q138" s="60">
        <v>5</v>
      </c>
      <c r="S138" s="357"/>
    </row>
    <row r="139" spans="1:19" ht="15" customHeight="1" x14ac:dyDescent="0.25">
      <c r="A139" s="75"/>
      <c r="B139" s="76" t="s">
        <v>345</v>
      </c>
      <c r="C139" s="193">
        <f>SUM(C111:C138)</f>
        <v>469086064.34000003</v>
      </c>
      <c r="D139" s="196">
        <f>SUM(D111:D138)</f>
        <v>466356283.05000001</v>
      </c>
      <c r="E139" s="77">
        <f>SUM(E111:E138)</f>
        <v>407754996.39999998</v>
      </c>
      <c r="F139" s="424">
        <f>+E139/D139</f>
        <v>0.87434223837032099</v>
      </c>
      <c r="G139" s="77">
        <f>SUM(G111:G138)</f>
        <v>386899378.94</v>
      </c>
      <c r="H139" s="424">
        <f t="shared" si="31"/>
        <v>0.82962188567430295</v>
      </c>
      <c r="I139" s="77">
        <f>SUM(I111:I138)</f>
        <v>259906887.69000006</v>
      </c>
      <c r="J139" s="439">
        <f t="shared" si="32"/>
        <v>0.55731400462794745</v>
      </c>
      <c r="K139" s="600">
        <v>365954942.29999995</v>
      </c>
      <c r="L139" s="424">
        <v>0.76531409015260954</v>
      </c>
      <c r="M139" s="595">
        <f t="shared" si="15"/>
        <v>5.7232282500041753E-2</v>
      </c>
      <c r="N139" s="600">
        <v>288384918.77999997</v>
      </c>
      <c r="O139" s="424">
        <v>0.60309348561529152</v>
      </c>
      <c r="P139" s="595">
        <f>+I139/N139-1</f>
        <v>-9.8750070601732576E-2</v>
      </c>
      <c r="S139" s="357"/>
    </row>
    <row r="140" spans="1:19" ht="21" customHeight="1" thickBot="1" x14ac:dyDescent="0.3">
      <c r="A140" s="9"/>
      <c r="B140" s="2" t="s">
        <v>3</v>
      </c>
      <c r="C140" s="162">
        <f>C106+C139</f>
        <v>1089753389.8699999</v>
      </c>
      <c r="D140" s="152">
        <f>D106+D139</f>
        <v>1113679392.4499998</v>
      </c>
      <c r="E140" s="84">
        <f>E106+E139</f>
        <v>949990668.54999995</v>
      </c>
      <c r="F140" s="90">
        <f>+E140/D140</f>
        <v>0.85301988614524094</v>
      </c>
      <c r="G140" s="84">
        <f>G106+G139</f>
        <v>929135051.08999991</v>
      </c>
      <c r="H140" s="90">
        <f t="shared" si="31"/>
        <v>0.83429311648299598</v>
      </c>
      <c r="I140" s="84">
        <f>I106+I139</f>
        <v>630048202.49000001</v>
      </c>
      <c r="J140" s="170">
        <f t="shared" si="32"/>
        <v>0.56573571061950567</v>
      </c>
      <c r="K140" s="562">
        <f>K106+K139</f>
        <v>863086803.20999992</v>
      </c>
      <c r="L140" s="90">
        <v>0.80452745063015896</v>
      </c>
      <c r="M140" s="213">
        <f t="shared" si="15"/>
        <v>7.6525614381256712E-2</v>
      </c>
      <c r="N140" s="562">
        <f>N106+N139</f>
        <v>636216707.22000003</v>
      </c>
      <c r="O140" s="90">
        <v>0.59305020492067506</v>
      </c>
      <c r="P140" s="213">
        <f>+I140/N140-1</f>
        <v>-9.6956031804851239E-3</v>
      </c>
      <c r="S140" s="357"/>
    </row>
    <row r="141" spans="1:19" s="6" customFormat="1" ht="19.5" customHeight="1" thickBot="1" x14ac:dyDescent="0.3">
      <c r="A141" s="5"/>
      <c r="B141" s="4" t="s">
        <v>292</v>
      </c>
      <c r="C141" s="163">
        <f>+C11+C61+C65+C140</f>
        <v>2151399911.2599998</v>
      </c>
      <c r="D141" s="154">
        <f>+D11+D61+D65+D140</f>
        <v>2169932427.4299998</v>
      </c>
      <c r="E141" s="155">
        <f>+E11+E61+E65+E140</f>
        <v>1811323690.9100003</v>
      </c>
      <c r="F141" s="181">
        <f t="shared" si="30"/>
        <v>0.83473737154814331</v>
      </c>
      <c r="G141" s="155">
        <f>+G11+G61+G65+G140</f>
        <v>1756619238.75</v>
      </c>
      <c r="H141" s="181">
        <f t="shared" si="31"/>
        <v>0.80952716155796844</v>
      </c>
      <c r="I141" s="155">
        <f>+I11+I61+I65+I140</f>
        <v>1166142554.6900001</v>
      </c>
      <c r="J141" s="173">
        <f t="shared" si="32"/>
        <v>0.53740961697648015</v>
      </c>
      <c r="K141" s="570">
        <f>K140+K65+K61+K11</f>
        <v>1697541424.6299999</v>
      </c>
      <c r="L141" s="181">
        <v>0.78315352421829865</v>
      </c>
      <c r="M141" s="601">
        <f t="shared" si="15"/>
        <v>3.4801986721989309E-2</v>
      </c>
      <c r="N141" s="570">
        <f>N140+N65+N61+N11</f>
        <v>1190696143.0900002</v>
      </c>
      <c r="O141" s="181">
        <v>0.54932260692095847</v>
      </c>
      <c r="P141" s="601">
        <f>+I141/N141-1</f>
        <v>-2.0621204278264083E-2</v>
      </c>
      <c r="Q141" s="14"/>
      <c r="S141" s="359"/>
    </row>
    <row r="142" spans="1:19" x14ac:dyDescent="0.25">
      <c r="S142" s="358"/>
    </row>
    <row r="143" spans="1:19" x14ac:dyDescent="0.25">
      <c r="S143" s="358"/>
    </row>
    <row r="144" spans="1:19" x14ac:dyDescent="0.25">
      <c r="B144" s="477"/>
      <c r="S144" s="358"/>
    </row>
    <row r="145" spans="2:19" x14ac:dyDescent="0.25">
      <c r="B145" s="478"/>
      <c r="D145" s="350"/>
      <c r="E145" s="350"/>
      <c r="F145" s="425"/>
      <c r="G145" s="350"/>
      <c r="H145" s="425"/>
      <c r="I145" s="350"/>
      <c r="J145" s="425"/>
      <c r="K145" s="425"/>
      <c r="L145" s="425"/>
      <c r="M145" s="425"/>
      <c r="N145" s="350"/>
      <c r="S145" s="357"/>
    </row>
    <row r="146" spans="2:19" x14ac:dyDescent="0.25">
      <c r="B146" s="479"/>
      <c r="D146" s="46"/>
      <c r="S146" s="358"/>
    </row>
    <row r="147" spans="2:19" x14ac:dyDescent="0.25">
      <c r="B147" s="254"/>
      <c r="I147" s="351"/>
      <c r="N147" s="351"/>
      <c r="S147" s="358"/>
    </row>
    <row r="148" spans="2:19" x14ac:dyDescent="0.25">
      <c r="B148" s="480"/>
      <c r="S148" s="358"/>
    </row>
    <row r="149" spans="2:19" x14ac:dyDescent="0.25">
      <c r="B149" s="254"/>
      <c r="C149" s="254"/>
      <c r="S149" s="358"/>
    </row>
    <row r="150" spans="2:19" x14ac:dyDescent="0.25">
      <c r="S150" s="358"/>
    </row>
    <row r="151" spans="2:19" x14ac:dyDescent="0.25">
      <c r="B151" s="254"/>
      <c r="C151" s="254"/>
      <c r="S151" s="358"/>
    </row>
    <row r="152" spans="2:19" x14ac:dyDescent="0.25">
      <c r="S152" s="358"/>
    </row>
    <row r="153" spans="2:19" x14ac:dyDescent="0.25">
      <c r="C153" s="46"/>
      <c r="D153" s="342"/>
      <c r="S153" s="358"/>
    </row>
    <row r="154" spans="2:19" x14ac:dyDescent="0.25">
      <c r="S154" s="358"/>
    </row>
    <row r="155" spans="2:19" x14ac:dyDescent="0.25">
      <c r="S155" s="358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7"/>
    </row>
    <row r="160" spans="2:19" x14ac:dyDescent="0.25">
      <c r="S160" s="357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8"/>
    </row>
    <row r="165" spans="19:19" x14ac:dyDescent="0.25">
      <c r="S165" s="358"/>
    </row>
    <row r="166" spans="19:19" x14ac:dyDescent="0.25">
      <c r="S166" s="357"/>
    </row>
    <row r="167" spans="19:19" x14ac:dyDescent="0.25">
      <c r="S167" s="357"/>
    </row>
    <row r="168" spans="19:19" x14ac:dyDescent="0.25">
      <c r="S168" s="358"/>
    </row>
    <row r="169" spans="19:19" x14ac:dyDescent="0.25">
      <c r="S169" s="357"/>
    </row>
    <row r="170" spans="19:19" x14ac:dyDescent="0.25">
      <c r="S170" s="358"/>
    </row>
    <row r="171" spans="19:19" x14ac:dyDescent="0.25">
      <c r="S171" s="357"/>
    </row>
    <row r="172" spans="19:19" x14ac:dyDescent="0.25">
      <c r="S172" s="358"/>
    </row>
    <row r="173" spans="19:19" x14ac:dyDescent="0.25">
      <c r="S173" s="358"/>
    </row>
    <row r="174" spans="19:19" x14ac:dyDescent="0.25">
      <c r="S174" s="358"/>
    </row>
    <row r="175" spans="19:19" x14ac:dyDescent="0.25">
      <c r="S175" s="357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8"/>
    </row>
    <row r="191" spans="19:19" x14ac:dyDescent="0.25">
      <c r="S191" s="358"/>
    </row>
    <row r="192" spans="19:19" x14ac:dyDescent="0.25">
      <c r="S192" s="357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8"/>
    </row>
    <row r="213" spans="19:19" x14ac:dyDescent="0.25">
      <c r="S213" s="358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7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8"/>
    </row>
    <row r="223" spans="19:19" x14ac:dyDescent="0.25">
      <c r="S223" s="358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7"/>
    </row>
    <row r="227" spans="19:19" x14ac:dyDescent="0.25">
      <c r="S227" s="358"/>
    </row>
    <row r="228" spans="19:19" x14ac:dyDescent="0.25">
      <c r="S228" s="358"/>
    </row>
  </sheetData>
  <sortState ref="B16:Q18">
    <sortCondition ref="Q16:Q18"/>
  </sortState>
  <mergeCells count="8">
    <mergeCell ref="D108:J108"/>
    <mergeCell ref="K108:P108"/>
    <mergeCell ref="D2:J2"/>
    <mergeCell ref="D68:J68"/>
    <mergeCell ref="K2:P2"/>
    <mergeCell ref="K68:P68"/>
    <mergeCell ref="D44:J44"/>
    <mergeCell ref="K44:P44"/>
  </mergeCells>
  <hyperlinks>
    <hyperlink ref="B9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rowBreaks count="3" manualBreakCount="3">
    <brk id="42" max="15" man="1"/>
    <brk id="66" max="15" man="1"/>
    <brk id="10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17" zoomScale="85" zoomScaleNormal="85" workbookViewId="0">
      <selection activeCell="K37" sqref="K37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3"/>
  <sheetViews>
    <sheetView topLeftCell="A206" zoomScaleNormal="100" workbookViewId="0">
      <pane xSplit="1" topLeftCell="E1" activePane="topRight" state="frozen"/>
      <selection activeCell="C41" sqref="C41"/>
      <selection pane="topRight" activeCell="N227" sqref="N227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533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2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07" t="s">
        <v>764</v>
      </c>
      <c r="N4" s="558" t="s">
        <v>17</v>
      </c>
      <c r="O4" s="89" t="s">
        <v>18</v>
      </c>
      <c r="P4" s="642" t="s">
        <v>764</v>
      </c>
      <c r="R4"/>
    </row>
    <row r="5" spans="1:19" ht="14.1" customHeight="1" x14ac:dyDescent="0.25">
      <c r="A5" s="17" t="s">
        <v>53</v>
      </c>
      <c r="B5" s="13" t="s">
        <v>96</v>
      </c>
      <c r="C5" s="525">
        <v>155185000</v>
      </c>
      <c r="D5" s="512">
        <v>155185000</v>
      </c>
      <c r="E5" s="180">
        <v>51958481.590000004</v>
      </c>
      <c r="F5" s="78">
        <f t="shared" ref="F5:F33" si="0">+E5/D5</f>
        <v>0.33481639069497698</v>
      </c>
      <c r="G5" s="180">
        <v>51958481.590000004</v>
      </c>
      <c r="H5" s="78">
        <f t="shared" ref="H5:H32" si="1">+G5/D5</f>
        <v>0.33481639069497698</v>
      </c>
      <c r="I5" s="180">
        <v>51958481.590000004</v>
      </c>
      <c r="J5" s="172">
        <f t="shared" ref="J5:J32" si="2">+I5/D5</f>
        <v>0.33481639069497698</v>
      </c>
      <c r="K5" s="643">
        <v>162718927.87</v>
      </c>
      <c r="L5" s="78">
        <v>0.86566384037686561</v>
      </c>
      <c r="M5" s="245">
        <f>+G5/K5-1</f>
        <v>-0.68068569360590392</v>
      </c>
      <c r="N5" s="608">
        <v>162718927.87</v>
      </c>
      <c r="O5" s="78">
        <v>0.86566384037686561</v>
      </c>
      <c r="P5" s="172">
        <f>+I5/N5-1</f>
        <v>-0.68068569360590392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51958481.590000004</v>
      </c>
      <c r="F6" s="90">
        <f t="shared" si="0"/>
        <v>0.33481639069497698</v>
      </c>
      <c r="G6" s="203">
        <f>SUBTOTAL(9,G5:G5)</f>
        <v>51958481.590000004</v>
      </c>
      <c r="H6" s="90">
        <f t="shared" si="1"/>
        <v>0.33481639069497698</v>
      </c>
      <c r="I6" s="203">
        <f>SUBTOTAL(9,I5:I5)</f>
        <v>51958481.590000004</v>
      </c>
      <c r="J6" s="170">
        <f t="shared" si="2"/>
        <v>0.33481639069497698</v>
      </c>
      <c r="K6" s="152">
        <f>SUBTOTAL(9,K5:K5)</f>
        <v>162718927.87</v>
      </c>
      <c r="L6" s="90">
        <v>0.86566384037686561</v>
      </c>
      <c r="M6" s="213">
        <f>+G6/K6-1</f>
        <v>-0.68068569360590392</v>
      </c>
      <c r="N6" s="562">
        <f>SUBTOTAL(9,N5:N5)</f>
        <v>162718927.87</v>
      </c>
      <c r="O6" s="90">
        <v>0.86566384037686561</v>
      </c>
      <c r="P6" s="170">
        <f>+I6/N6-1</f>
        <v>-0.68068569360590392</v>
      </c>
      <c r="R6"/>
    </row>
    <row r="7" spans="1:19" ht="14.1" customHeight="1" x14ac:dyDescent="0.25">
      <c r="A7" s="37" t="s">
        <v>54</v>
      </c>
      <c r="B7" s="38" t="s">
        <v>549</v>
      </c>
      <c r="C7" s="198">
        <v>8321253.9400000004</v>
      </c>
      <c r="D7" s="204">
        <v>21709877.760000002</v>
      </c>
      <c r="E7" s="30">
        <v>7640854.4000000004</v>
      </c>
      <c r="F7" s="48">
        <f t="shared" si="0"/>
        <v>0.35195289832898624</v>
      </c>
      <c r="G7" s="30">
        <v>7214076.6200000001</v>
      </c>
      <c r="H7" s="48">
        <f t="shared" si="1"/>
        <v>0.33229466788117001</v>
      </c>
      <c r="I7" s="30">
        <v>5731837.2800000003</v>
      </c>
      <c r="J7" s="153">
        <f t="shared" si="2"/>
        <v>0.26401978598704001</v>
      </c>
      <c r="K7" s="644">
        <v>6945169.21</v>
      </c>
      <c r="L7" s="48">
        <v>0.67405047435236176</v>
      </c>
      <c r="M7" s="210">
        <f>+G7/K7-1</f>
        <v>3.8718626122573596E-2</v>
      </c>
      <c r="N7" s="609">
        <v>6146493.9699999997</v>
      </c>
      <c r="O7" s="48">
        <v>0.59653653508068116</v>
      </c>
      <c r="P7" s="153">
        <f>+I7/N7-1</f>
        <v>-6.7462311363822858E-2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169035980</v>
      </c>
      <c r="E8" s="32">
        <v>119182836.59999999</v>
      </c>
      <c r="F8" s="280">
        <f t="shared" si="0"/>
        <v>0.70507377541751759</v>
      </c>
      <c r="G8" s="32">
        <v>117730474.09999999</v>
      </c>
      <c r="H8" s="280">
        <f t="shared" si="1"/>
        <v>0.69648174370923865</v>
      </c>
      <c r="I8" s="32">
        <v>112881009.59999999</v>
      </c>
      <c r="J8" s="178">
        <f t="shared" si="2"/>
        <v>0.6677927953563495</v>
      </c>
      <c r="K8" s="645">
        <v>134955211.46000001</v>
      </c>
      <c r="L8" s="280">
        <v>0.69289269426533684</v>
      </c>
      <c r="M8" s="443">
        <f>+G8/K8-1</f>
        <v>-0.12763299152108198</v>
      </c>
      <c r="N8" s="610">
        <v>129861556.52</v>
      </c>
      <c r="O8" s="280">
        <v>0.666740637913807</v>
      </c>
      <c r="P8" s="427">
        <f>+I8/N8-1</f>
        <v>-0.13075884330236587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58256595.460000001</v>
      </c>
      <c r="E9" s="32">
        <v>2009795.64</v>
      </c>
      <c r="F9" s="280">
        <f t="shared" si="0"/>
        <v>3.4499023228708257E-2</v>
      </c>
      <c r="G9" s="32">
        <v>1610681.88</v>
      </c>
      <c r="H9" s="280">
        <f t="shared" si="1"/>
        <v>2.7648060572058701E-2</v>
      </c>
      <c r="I9" s="32">
        <v>766840.81</v>
      </c>
      <c r="J9" s="178">
        <f t="shared" si="2"/>
        <v>1.3163158676626175E-2</v>
      </c>
      <c r="K9" s="645">
        <v>0</v>
      </c>
      <c r="L9" s="280">
        <v>0</v>
      </c>
      <c r="M9" s="224" t="s">
        <v>129</v>
      </c>
      <c r="N9" s="610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468</v>
      </c>
      <c r="C10" s="199">
        <v>14713359.07</v>
      </c>
      <c r="D10" s="205">
        <v>16098299.9</v>
      </c>
      <c r="E10" s="32">
        <v>15135069.890000001</v>
      </c>
      <c r="F10" s="280">
        <f t="shared" si="0"/>
        <v>0.94016573079247956</v>
      </c>
      <c r="G10" s="32">
        <v>14597922.08</v>
      </c>
      <c r="H10" s="280">
        <f t="shared" si="1"/>
        <v>0.90679898937651171</v>
      </c>
      <c r="I10" s="32">
        <v>5347030.84</v>
      </c>
      <c r="J10" s="178">
        <f t="shared" si="2"/>
        <v>0.33214879044463569</v>
      </c>
      <c r="K10" s="645">
        <v>15913520.84</v>
      </c>
      <c r="L10" s="280">
        <v>0.77833511507450859</v>
      </c>
      <c r="M10" s="210">
        <f t="shared" ref="M10:M20" si="3">+G10/K10-1</f>
        <v>-8.2671759017220681E-2</v>
      </c>
      <c r="N10" s="610">
        <v>5725448.5700000003</v>
      </c>
      <c r="O10" s="280">
        <v>0.2800334204095673</v>
      </c>
      <c r="P10" s="153">
        <f t="shared" ref="P10:P20" si="4">+I10/N10-1</f>
        <v>-6.6093988160651707E-2</v>
      </c>
      <c r="R10" s="276"/>
    </row>
    <row r="11" spans="1:19" ht="14.1" customHeight="1" x14ac:dyDescent="0.25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286106.03000000003</v>
      </c>
      <c r="F11" s="280">
        <f t="shared" si="0"/>
        <v>0.87876817665712281</v>
      </c>
      <c r="G11" s="32">
        <v>286106.03000000003</v>
      </c>
      <c r="H11" s="280">
        <f t="shared" si="1"/>
        <v>0.87876817665712281</v>
      </c>
      <c r="I11" s="32">
        <v>286106.03000000003</v>
      </c>
      <c r="J11" s="178">
        <f t="shared" si="2"/>
        <v>0.87876817665712281</v>
      </c>
      <c r="K11" s="645">
        <v>332427.62</v>
      </c>
      <c r="L11" s="280">
        <v>0.78620160540664985</v>
      </c>
      <c r="M11" s="210">
        <f t="shared" si="3"/>
        <v>-0.13934338548644054</v>
      </c>
      <c r="N11" s="610">
        <v>332427.62</v>
      </c>
      <c r="O11" s="280">
        <v>0.78620160540664985</v>
      </c>
      <c r="P11" s="153">
        <f t="shared" si="4"/>
        <v>-0.13934338548644054</v>
      </c>
      <c r="R11" s="275"/>
    </row>
    <row r="12" spans="1:19" ht="14.1" customHeight="1" x14ac:dyDescent="0.25">
      <c r="A12" s="39">
        <v>136</v>
      </c>
      <c r="B12" s="40" t="s">
        <v>741</v>
      </c>
      <c r="C12" s="199">
        <v>41868192.539999999</v>
      </c>
      <c r="D12" s="205">
        <v>42848156.369999997</v>
      </c>
      <c r="E12" s="32">
        <v>31210600.079999998</v>
      </c>
      <c r="F12" s="280">
        <f t="shared" si="0"/>
        <v>0.72840006955006353</v>
      </c>
      <c r="G12" s="32">
        <v>30863217.260000002</v>
      </c>
      <c r="H12" s="280">
        <f t="shared" si="1"/>
        <v>0.72029277044014861</v>
      </c>
      <c r="I12" s="32">
        <v>28585001.649999999</v>
      </c>
      <c r="J12" s="178">
        <f t="shared" si="2"/>
        <v>0.66712325737341871</v>
      </c>
      <c r="K12" s="645">
        <v>33504808.530000001</v>
      </c>
      <c r="L12" s="280">
        <v>0.70135582778502248</v>
      </c>
      <c r="M12" s="211">
        <f t="shared" si="3"/>
        <v>-7.8842153884709831E-2</v>
      </c>
      <c r="N12" s="610">
        <v>30740120.449999999</v>
      </c>
      <c r="O12" s="280">
        <v>0.64348263936851235</v>
      </c>
      <c r="P12" s="178">
        <f t="shared" si="4"/>
        <v>-7.0107688859104678E-2</v>
      </c>
      <c r="R12" s="275"/>
    </row>
    <row r="13" spans="1:19" ht="14.1" customHeight="1" x14ac:dyDescent="0.25">
      <c r="A13" s="39" t="s">
        <v>58</v>
      </c>
      <c r="B13" s="40" t="s">
        <v>742</v>
      </c>
      <c r="C13" s="199">
        <v>27281948.489999998</v>
      </c>
      <c r="D13" s="205">
        <v>30616983.84</v>
      </c>
      <c r="E13" s="32">
        <v>25713263.010000002</v>
      </c>
      <c r="F13" s="280">
        <f t="shared" si="0"/>
        <v>0.83983658038864495</v>
      </c>
      <c r="G13" s="32">
        <v>23131741.18</v>
      </c>
      <c r="H13" s="280">
        <f t="shared" si="1"/>
        <v>0.75551991995302958</v>
      </c>
      <c r="I13" s="32">
        <v>17582578.07</v>
      </c>
      <c r="J13" s="178">
        <f t="shared" si="2"/>
        <v>0.5742753160103572</v>
      </c>
      <c r="K13" s="645">
        <v>18853512.109999999</v>
      </c>
      <c r="L13" s="280">
        <v>0.80786685389597623</v>
      </c>
      <c r="M13" s="211">
        <f t="shared" si="3"/>
        <v>0.22691947500491461</v>
      </c>
      <c r="N13" s="610">
        <v>15871447.369999999</v>
      </c>
      <c r="O13" s="280">
        <v>0.68008635095508818</v>
      </c>
      <c r="P13" s="178">
        <f t="shared" si="4"/>
        <v>0.10781188760606408</v>
      </c>
      <c r="R13" s="275"/>
      <c r="S13" s="275"/>
    </row>
    <row r="14" spans="1:19" ht="14.1" customHeight="1" x14ac:dyDescent="0.25">
      <c r="A14" s="39" t="s">
        <v>59</v>
      </c>
      <c r="B14" s="40" t="s">
        <v>476</v>
      </c>
      <c r="C14" s="199">
        <v>214257422.94</v>
      </c>
      <c r="D14" s="205">
        <v>273453308.80000001</v>
      </c>
      <c r="E14" s="32">
        <v>182738329.09999999</v>
      </c>
      <c r="F14" s="280">
        <f t="shared" si="0"/>
        <v>0.66826153942665323</v>
      </c>
      <c r="G14" s="32">
        <v>179492600.30000001</v>
      </c>
      <c r="H14" s="280">
        <f t="shared" si="1"/>
        <v>0.6563921317597895</v>
      </c>
      <c r="I14" s="32">
        <v>128331996.8</v>
      </c>
      <c r="J14" s="178">
        <f t="shared" si="2"/>
        <v>0.46930131276583037</v>
      </c>
      <c r="K14" s="645">
        <v>186732046.31</v>
      </c>
      <c r="L14" s="280">
        <v>0.65422073918195112</v>
      </c>
      <c r="M14" s="211">
        <f t="shared" si="3"/>
        <v>-3.8769167655248404E-2</v>
      </c>
      <c r="N14" s="610">
        <v>161613415.16</v>
      </c>
      <c r="O14" s="280">
        <v>0.56621694035402736</v>
      </c>
      <c r="P14" s="178">
        <f t="shared" si="4"/>
        <v>-0.20593227565329797</v>
      </c>
      <c r="R14" s="275"/>
      <c r="S14" s="275"/>
    </row>
    <row r="15" spans="1:19" ht="14.1" customHeight="1" x14ac:dyDescent="0.25">
      <c r="A15" s="39">
        <v>152</v>
      </c>
      <c r="B15" s="40" t="s">
        <v>470</v>
      </c>
      <c r="C15" s="199">
        <v>49948909.390000001</v>
      </c>
      <c r="D15" s="205">
        <v>51792602.5</v>
      </c>
      <c r="E15" s="32">
        <v>46048006.590000004</v>
      </c>
      <c r="F15" s="280">
        <f t="shared" si="0"/>
        <v>0.88908462535745336</v>
      </c>
      <c r="G15" s="32">
        <v>45973664.18</v>
      </c>
      <c r="H15" s="280">
        <f t="shared" si="1"/>
        <v>0.88764923871126189</v>
      </c>
      <c r="I15" s="32">
        <v>13609369.689999999</v>
      </c>
      <c r="J15" s="178">
        <f t="shared" si="2"/>
        <v>0.262766670008521</v>
      </c>
      <c r="K15" s="645">
        <v>33471609.690000001</v>
      </c>
      <c r="L15" s="280">
        <v>0.86055845101736783</v>
      </c>
      <c r="M15" s="211">
        <f t="shared" si="3"/>
        <v>0.3735121975246718</v>
      </c>
      <c r="N15" s="610">
        <v>25487340.59</v>
      </c>
      <c r="O15" s="280">
        <v>0.65528208956246603</v>
      </c>
      <c r="P15" s="178">
        <f t="shared" si="4"/>
        <v>-0.46603414185395009</v>
      </c>
      <c r="R15" s="275"/>
      <c r="S15" s="275"/>
    </row>
    <row r="16" spans="1:19" ht="14.1" customHeight="1" x14ac:dyDescent="0.25">
      <c r="A16" s="39" t="s">
        <v>60</v>
      </c>
      <c r="B16" s="40" t="s">
        <v>477</v>
      </c>
      <c r="C16" s="199">
        <v>129037696.42</v>
      </c>
      <c r="D16" s="205">
        <v>84306467.560000002</v>
      </c>
      <c r="E16" s="32">
        <v>44863464.990000002</v>
      </c>
      <c r="F16" s="280">
        <f t="shared" si="0"/>
        <v>0.53214737004692025</v>
      </c>
      <c r="G16" s="32">
        <v>42946078.210000001</v>
      </c>
      <c r="H16" s="280">
        <f t="shared" si="1"/>
        <v>0.50940431325076863</v>
      </c>
      <c r="I16" s="32">
        <v>18283222.539999999</v>
      </c>
      <c r="J16" s="178">
        <f t="shared" si="2"/>
        <v>0.21686619151713393</v>
      </c>
      <c r="K16" s="646">
        <v>34404973.950000003</v>
      </c>
      <c r="L16" s="280">
        <v>0.61401363471161063</v>
      </c>
      <c r="M16" s="211">
        <f t="shared" si="3"/>
        <v>0.24825201938570274</v>
      </c>
      <c r="N16" s="611">
        <v>18560887.16</v>
      </c>
      <c r="O16" s="280">
        <v>0.33124971421708238</v>
      </c>
      <c r="P16" s="178">
        <f t="shared" si="4"/>
        <v>-1.4959663167307458E-2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18878142.190000001</v>
      </c>
      <c r="E17" s="32">
        <v>18503777.260000002</v>
      </c>
      <c r="F17" s="280">
        <f t="shared" si="0"/>
        <v>0.98016939769643718</v>
      </c>
      <c r="G17" s="32">
        <v>18389537.68</v>
      </c>
      <c r="H17" s="280">
        <f t="shared" si="1"/>
        <v>0.97411797701900871</v>
      </c>
      <c r="I17" s="32">
        <v>10566258.609999999</v>
      </c>
      <c r="J17" s="178">
        <f t="shared" si="2"/>
        <v>0.55970860393228128</v>
      </c>
      <c r="K17" s="645">
        <v>19349633.260000002</v>
      </c>
      <c r="L17" s="280">
        <v>0.96239247672669814</v>
      </c>
      <c r="M17" s="211">
        <f t="shared" si="3"/>
        <v>-4.961828304956728E-2</v>
      </c>
      <c r="N17" s="610">
        <v>12248450.35</v>
      </c>
      <c r="O17" s="280">
        <v>0.60920102774084783</v>
      </c>
      <c r="P17" s="178">
        <f t="shared" si="4"/>
        <v>-0.13733914837643113</v>
      </c>
      <c r="R17" s="275"/>
    </row>
    <row r="18" spans="1:18" ht="14.1" customHeight="1" x14ac:dyDescent="0.25">
      <c r="A18" s="39" t="s">
        <v>61</v>
      </c>
      <c r="B18" s="40" t="s">
        <v>478</v>
      </c>
      <c r="C18" s="199">
        <v>8493454.4900000002</v>
      </c>
      <c r="D18" s="205">
        <v>8433895.9100000001</v>
      </c>
      <c r="E18" s="32">
        <v>7092847.8799999999</v>
      </c>
      <c r="F18" s="280">
        <f t="shared" si="0"/>
        <v>0.84099305418152825</v>
      </c>
      <c r="G18" s="32">
        <v>6369492.29</v>
      </c>
      <c r="H18" s="280">
        <f t="shared" si="1"/>
        <v>0.75522538551225726</v>
      </c>
      <c r="I18" s="32">
        <v>3097747.39</v>
      </c>
      <c r="J18" s="178">
        <f t="shared" si="2"/>
        <v>0.36729732297585355</v>
      </c>
      <c r="K18" s="645">
        <v>6159912.9800000004</v>
      </c>
      <c r="L18" s="280">
        <v>0.99895762002704147</v>
      </c>
      <c r="M18" s="211">
        <f t="shared" si="3"/>
        <v>3.4023095891202004E-2</v>
      </c>
      <c r="N18" s="610">
        <v>1515486.63</v>
      </c>
      <c r="O18" s="280">
        <v>0.24576758178288444</v>
      </c>
      <c r="P18" s="178">
        <f t="shared" si="4"/>
        <v>1.0440611805331468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103423818.09999999</v>
      </c>
      <c r="E19" s="32">
        <v>93097927.900000006</v>
      </c>
      <c r="F19" s="280">
        <f t="shared" si="0"/>
        <v>0.90015945659619789</v>
      </c>
      <c r="G19" s="32">
        <v>93097927.900000006</v>
      </c>
      <c r="H19" s="280">
        <f t="shared" si="1"/>
        <v>0.90015945659619789</v>
      </c>
      <c r="I19" s="32">
        <v>44123813.159999996</v>
      </c>
      <c r="J19" s="178">
        <f t="shared" si="2"/>
        <v>0.42663106014261526</v>
      </c>
      <c r="K19" s="645">
        <v>93973200.019999996</v>
      </c>
      <c r="L19" s="280">
        <v>0.95419759286435168</v>
      </c>
      <c r="M19" s="211">
        <f t="shared" si="3"/>
        <v>-9.3140610281836622E-3</v>
      </c>
      <c r="N19" s="610">
        <v>44771543.829999998</v>
      </c>
      <c r="O19" s="280">
        <v>0.45460726401053353</v>
      </c>
      <c r="P19" s="178">
        <f t="shared" si="4"/>
        <v>-1.4467463361537591E-2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174535316.69999999</v>
      </c>
      <c r="E20" s="32">
        <v>174256515.80000001</v>
      </c>
      <c r="F20" s="280">
        <f t="shared" si="0"/>
        <v>0.99840261039844913</v>
      </c>
      <c r="G20" s="32">
        <v>174255608.30000001</v>
      </c>
      <c r="H20" s="280">
        <f t="shared" si="1"/>
        <v>0.99839741087770362</v>
      </c>
      <c r="I20" s="32">
        <v>88850999.019999996</v>
      </c>
      <c r="J20" s="178">
        <f t="shared" si="2"/>
        <v>0.50907174948850908</v>
      </c>
      <c r="K20" s="645">
        <v>175864036.86000001</v>
      </c>
      <c r="L20" s="280">
        <v>0.99019300768479412</v>
      </c>
      <c r="M20" s="211">
        <f t="shared" si="3"/>
        <v>-9.1458639794582686E-3</v>
      </c>
      <c r="N20" s="610">
        <v>85640135.349999994</v>
      </c>
      <c r="O20" s="280">
        <v>0.48219217933827058</v>
      </c>
      <c r="P20" s="178">
        <f t="shared" si="4"/>
        <v>3.7492510455262806E-2</v>
      </c>
    </row>
    <row r="21" spans="1:18" ht="14.1" customHeight="1" x14ac:dyDescent="0.25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5">
        <v>0</v>
      </c>
      <c r="L21" s="280">
        <v>0</v>
      </c>
      <c r="M21" s="212" t="s">
        <v>129</v>
      </c>
      <c r="N21" s="610">
        <v>0</v>
      </c>
      <c r="O21" s="280">
        <v>0</v>
      </c>
      <c r="P21" s="432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32792034.949999999</v>
      </c>
      <c r="E22" s="32">
        <v>32137205.859999999</v>
      </c>
      <c r="F22" s="280">
        <f t="shared" si="0"/>
        <v>0.98003084922913575</v>
      </c>
      <c r="G22" s="32">
        <v>29703531.52</v>
      </c>
      <c r="H22" s="280">
        <f t="shared" si="1"/>
        <v>0.90581543857497016</v>
      </c>
      <c r="I22" s="32">
        <v>10844371.359999999</v>
      </c>
      <c r="J22" s="178">
        <f t="shared" si="2"/>
        <v>0.33070138454460263</v>
      </c>
      <c r="K22" s="645">
        <v>26178944.710000001</v>
      </c>
      <c r="L22" s="280">
        <v>0.81152661514490021</v>
      </c>
      <c r="M22" s="211">
        <f t="shared" ref="M22:M27" si="5">+G22/K22-1</f>
        <v>0.13463441131963028</v>
      </c>
      <c r="N22" s="610">
        <v>11666214.57</v>
      </c>
      <c r="O22" s="280">
        <v>0.36164344004018556</v>
      </c>
      <c r="P22" s="178">
        <f>+I22/N22-1</f>
        <v>-7.0446433594097746E-2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2640800.67</v>
      </c>
      <c r="E23" s="32">
        <v>2611647.61</v>
      </c>
      <c r="F23" s="280">
        <f t="shared" si="0"/>
        <v>0.98896052234037035</v>
      </c>
      <c r="G23" s="32">
        <v>2127330.15</v>
      </c>
      <c r="H23" s="280">
        <f t="shared" si="1"/>
        <v>0.80556256069111043</v>
      </c>
      <c r="I23" s="32">
        <v>1476267.61</v>
      </c>
      <c r="J23" s="178">
        <f t="shared" si="2"/>
        <v>0.5590227338135294</v>
      </c>
      <c r="K23" s="645">
        <v>1580401.2</v>
      </c>
      <c r="L23" s="280">
        <v>0.69794612329909322</v>
      </c>
      <c r="M23" s="211">
        <f t="shared" si="5"/>
        <v>0.3460696878741929</v>
      </c>
      <c r="N23" s="610">
        <v>1140068.96</v>
      </c>
      <c r="O23" s="280">
        <v>0.50348399566238566</v>
      </c>
      <c r="P23" s="178">
        <f>+I23/N23-1</f>
        <v>0.29489325803590005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52175800.899999999</v>
      </c>
      <c r="E24" s="32">
        <v>48909499.600000001</v>
      </c>
      <c r="F24" s="280">
        <f t="shared" si="0"/>
        <v>0.93739815692987294</v>
      </c>
      <c r="G24" s="32">
        <v>48893979.600000001</v>
      </c>
      <c r="H24" s="280">
        <f t="shared" si="1"/>
        <v>0.93710070102632581</v>
      </c>
      <c r="I24" s="32">
        <v>26129716.969999999</v>
      </c>
      <c r="J24" s="178">
        <f t="shared" si="2"/>
        <v>0.50080145430024436</v>
      </c>
      <c r="K24" s="645">
        <v>49758138.969999999</v>
      </c>
      <c r="L24" s="280">
        <v>0.95255699875641986</v>
      </c>
      <c r="M24" s="211">
        <f t="shared" si="5"/>
        <v>-1.7367196359996728E-2</v>
      </c>
      <c r="N24" s="610">
        <v>28369847.390000001</v>
      </c>
      <c r="O24" s="280">
        <v>0.5431050526485568</v>
      </c>
      <c r="P24" s="178">
        <f>+I24/N24-1</f>
        <v>-7.8961666208666959E-2</v>
      </c>
    </row>
    <row r="25" spans="1:18" ht="14.1" customHeight="1" x14ac:dyDescent="0.25">
      <c r="A25" s="41">
        <v>172</v>
      </c>
      <c r="B25" s="42" t="s">
        <v>471</v>
      </c>
      <c r="C25" s="199">
        <v>16330544.140000001</v>
      </c>
      <c r="D25" s="205">
        <v>8493473.4800000004</v>
      </c>
      <c r="E25" s="32">
        <v>5345276.2699999996</v>
      </c>
      <c r="F25" s="280">
        <f t="shared" si="0"/>
        <v>0.62933925473327068</v>
      </c>
      <c r="G25" s="32">
        <v>4965922.3099999996</v>
      </c>
      <c r="H25" s="280">
        <f t="shared" si="1"/>
        <v>0.58467508277897151</v>
      </c>
      <c r="I25" s="32">
        <v>1599217.28</v>
      </c>
      <c r="J25" s="178">
        <f t="shared" si="2"/>
        <v>0.18828778164384166</v>
      </c>
      <c r="K25" s="206">
        <v>2112047.44</v>
      </c>
      <c r="L25" s="390">
        <v>0.66904650963678391</v>
      </c>
      <c r="M25" s="211">
        <f t="shared" si="5"/>
        <v>1.3512361587862816</v>
      </c>
      <c r="N25" s="574">
        <v>1015297.6</v>
      </c>
      <c r="O25" s="390">
        <v>0.32162218644227214</v>
      </c>
      <c r="P25" s="178">
        <f>+I25/N25-1</f>
        <v>0.57512169830796411</v>
      </c>
    </row>
    <row r="26" spans="1:18" ht="14.1" customHeight="1" x14ac:dyDescent="0.25">
      <c r="A26" s="41" t="s">
        <v>68</v>
      </c>
      <c r="B26" s="656" t="s">
        <v>131</v>
      </c>
      <c r="C26" s="655">
        <v>3772412.45</v>
      </c>
      <c r="D26" s="397">
        <v>3445164.17</v>
      </c>
      <c r="E26" s="398">
        <v>2926588</v>
      </c>
      <c r="F26" s="412">
        <f t="shared" si="0"/>
        <v>0.84947708021705104</v>
      </c>
      <c r="G26" s="398">
        <v>2682595.2799999998</v>
      </c>
      <c r="H26" s="412">
        <f t="shared" si="1"/>
        <v>0.77865528248542071</v>
      </c>
      <c r="I26" s="398">
        <v>1663364.85</v>
      </c>
      <c r="J26" s="427">
        <f t="shared" si="2"/>
        <v>0.48281149109942129</v>
      </c>
      <c r="K26" s="657">
        <v>2046913.46</v>
      </c>
      <c r="L26" s="412">
        <v>0.53295331331034823</v>
      </c>
      <c r="M26" s="443">
        <f t="shared" si="5"/>
        <v>0.31055627530047114</v>
      </c>
      <c r="N26" s="658">
        <v>1091893.1299999999</v>
      </c>
      <c r="O26" s="412">
        <v>0.28429539049213476</v>
      </c>
      <c r="P26" s="178">
        <f>+I26/N26-1</f>
        <v>0.52337697188368626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1165126463.4900002</v>
      </c>
      <c r="E27" s="203">
        <f>SUBTOTAL(9,E7:E26)</f>
        <v>859709612.51000011</v>
      </c>
      <c r="F27" s="90">
        <f t="shared" si="0"/>
        <v>0.73786806793044624</v>
      </c>
      <c r="G27" s="203">
        <f>SUM(G7:G26)</f>
        <v>844332486.86999989</v>
      </c>
      <c r="H27" s="90">
        <f t="shared" si="1"/>
        <v>0.72467025110810768</v>
      </c>
      <c r="I27" s="203">
        <f>SUM(I7:I26)</f>
        <v>519756749.56000006</v>
      </c>
      <c r="J27" s="170">
        <f t="shared" si="2"/>
        <v>0.44609470803978601</v>
      </c>
      <c r="K27" s="152">
        <f>SUBTOTAL(9,K7:K26)</f>
        <v>842136508.62000024</v>
      </c>
      <c r="L27" s="90">
        <v>0.73574650935197083</v>
      </c>
      <c r="M27" s="213">
        <f t="shared" si="5"/>
        <v>2.6076274185027337E-3</v>
      </c>
      <c r="N27" s="562">
        <f>SUM(N7:N26)</f>
        <v>581798075.22000003</v>
      </c>
      <c r="O27" s="90">
        <v>0.50800000000000001</v>
      </c>
      <c r="P27" s="170">
        <f t="shared" ref="P27:P32" si="6">+I27/N27-1</f>
        <v>-0.10663721366994861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336774.17</v>
      </c>
      <c r="F28" s="48">
        <f t="shared" si="0"/>
        <v>0.60101865842061031</v>
      </c>
      <c r="G28" s="30">
        <v>336774.17</v>
      </c>
      <c r="H28" s="48">
        <f t="shared" si="1"/>
        <v>0.60101865842061031</v>
      </c>
      <c r="I28" s="30">
        <v>336774.17</v>
      </c>
      <c r="J28" s="153">
        <f t="shared" si="2"/>
        <v>0.60101865842061031</v>
      </c>
      <c r="K28" s="644">
        <v>373012.29</v>
      </c>
      <c r="L28" s="48">
        <v>0.6475509051551982</v>
      </c>
      <c r="M28" s="210">
        <f t="shared" ref="M28:M32" si="7">+G28/K28-1</f>
        <v>-9.7149935729999637E-2</v>
      </c>
      <c r="N28" s="609">
        <v>373012.29</v>
      </c>
      <c r="O28" s="48">
        <v>0.6475509051551982</v>
      </c>
      <c r="P28" s="153">
        <f t="shared" si="6"/>
        <v>-9.7149935729999637E-2</v>
      </c>
    </row>
    <row r="29" spans="1:18" ht="14.1" customHeight="1" x14ac:dyDescent="0.25">
      <c r="A29" s="39" t="s">
        <v>70</v>
      </c>
      <c r="B29" s="40" t="s">
        <v>743</v>
      </c>
      <c r="C29" s="199">
        <v>27181862.050000001</v>
      </c>
      <c r="D29" s="205">
        <v>25957843.579999998</v>
      </c>
      <c r="E29" s="32">
        <v>17087272.870000001</v>
      </c>
      <c r="F29" s="280">
        <f t="shared" si="0"/>
        <v>0.65827012237508842</v>
      </c>
      <c r="G29" s="32">
        <v>15784739.640000001</v>
      </c>
      <c r="H29" s="280">
        <f t="shared" si="1"/>
        <v>0.60809133052029896</v>
      </c>
      <c r="I29" s="32">
        <v>13773924.970000001</v>
      </c>
      <c r="J29" s="178">
        <f t="shared" si="2"/>
        <v>0.53062670354530284</v>
      </c>
      <c r="K29" s="645">
        <v>15762716.699999999</v>
      </c>
      <c r="L29" s="280">
        <v>0.63333274557916064</v>
      </c>
      <c r="M29" s="211">
        <f t="shared" si="7"/>
        <v>1.3971538294539343E-3</v>
      </c>
      <c r="N29" s="610">
        <v>13988891.07</v>
      </c>
      <c r="O29" s="280">
        <v>0.56206191848711606</v>
      </c>
      <c r="P29" s="178">
        <f t="shared" si="6"/>
        <v>-1.5366914998788395E-2</v>
      </c>
    </row>
    <row r="30" spans="1:18" ht="14.1" customHeight="1" x14ac:dyDescent="0.25">
      <c r="A30" s="39" t="s">
        <v>71</v>
      </c>
      <c r="B30" s="40" t="s">
        <v>479</v>
      </c>
      <c r="C30" s="199">
        <v>244713639.38999999</v>
      </c>
      <c r="D30" s="205">
        <v>252185877</v>
      </c>
      <c r="E30" s="32">
        <v>231321802.69999999</v>
      </c>
      <c r="F30" s="280">
        <f t="shared" si="0"/>
        <v>0.91726707875873636</v>
      </c>
      <c r="G30" s="32">
        <v>221037258.90000001</v>
      </c>
      <c r="H30" s="280">
        <f t="shared" si="1"/>
        <v>0.87648547781285946</v>
      </c>
      <c r="I30" s="32">
        <v>148953312</v>
      </c>
      <c r="J30" s="178">
        <f t="shared" si="2"/>
        <v>0.59064890457763419</v>
      </c>
      <c r="K30" s="647">
        <v>199469849.5</v>
      </c>
      <c r="L30" s="280">
        <v>0.9167544649044157</v>
      </c>
      <c r="M30" s="211">
        <f t="shared" si="7"/>
        <v>0.10812365605158791</v>
      </c>
      <c r="N30" s="612">
        <v>143637264.12</v>
      </c>
      <c r="O30" s="280">
        <v>0.66015041139671005</v>
      </c>
      <c r="P30" s="178">
        <f t="shared" si="6"/>
        <v>3.7010227899904713E-2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40137957.920000002</v>
      </c>
      <c r="E31" s="32">
        <v>32357353.449999999</v>
      </c>
      <c r="F31" s="280">
        <f t="shared" si="0"/>
        <v>0.80615345490401569</v>
      </c>
      <c r="G31" s="32">
        <v>21553211.57</v>
      </c>
      <c r="H31" s="280">
        <f t="shared" si="1"/>
        <v>0.53697827908829499</v>
      </c>
      <c r="I31" s="32">
        <v>12014619.630000001</v>
      </c>
      <c r="J31" s="178">
        <f t="shared" si="2"/>
        <v>0.29933310643124017</v>
      </c>
      <c r="K31" s="645">
        <v>18187365.280000001</v>
      </c>
      <c r="L31" s="280">
        <v>0.51402782983479611</v>
      </c>
      <c r="M31" s="211">
        <f t="shared" si="7"/>
        <v>0.18506508436938374</v>
      </c>
      <c r="N31" s="610">
        <v>10262078.58</v>
      </c>
      <c r="O31" s="280">
        <v>0.29003618175922763</v>
      </c>
      <c r="P31" s="178">
        <f t="shared" si="6"/>
        <v>0.17077836973647509</v>
      </c>
    </row>
    <row r="32" spans="1:18" ht="14.1" customHeight="1" x14ac:dyDescent="0.25">
      <c r="A32" s="253">
        <v>234</v>
      </c>
      <c r="B32" s="40" t="s">
        <v>431</v>
      </c>
      <c r="C32" s="199">
        <v>10668077.699999999</v>
      </c>
      <c r="D32" s="205">
        <v>10738140.09</v>
      </c>
      <c r="E32" s="32">
        <v>10614619.6</v>
      </c>
      <c r="F32" s="280">
        <f t="shared" si="0"/>
        <v>0.98849703123960642</v>
      </c>
      <c r="G32" s="32">
        <v>10581915.199999999</v>
      </c>
      <c r="H32" s="280">
        <f t="shared" si="1"/>
        <v>0.98545140138882281</v>
      </c>
      <c r="I32" s="32">
        <v>6269864.7800000003</v>
      </c>
      <c r="J32" s="178">
        <f t="shared" si="2"/>
        <v>0.58388740763764801</v>
      </c>
      <c r="K32" s="645">
        <v>10638823.890000001</v>
      </c>
      <c r="L32" s="390">
        <v>0.97981630647972984</v>
      </c>
      <c r="M32" s="211">
        <f t="shared" si="7"/>
        <v>-5.3491523676308939E-3</v>
      </c>
      <c r="N32" s="610">
        <v>5894331.6600000001</v>
      </c>
      <c r="O32" s="390">
        <v>0.5428572120360321</v>
      </c>
      <c r="P32" s="178">
        <f t="shared" si="6"/>
        <v>6.3710890676280663E-2</v>
      </c>
    </row>
    <row r="33" spans="1:18" ht="14.1" customHeight="1" x14ac:dyDescent="0.25">
      <c r="A33" s="527">
        <v>2</v>
      </c>
      <c r="B33" s="514" t="s">
        <v>125</v>
      </c>
      <c r="C33" s="201">
        <f>SUBTOTAL(9,C28:C32)</f>
        <v>322762317.93999994</v>
      </c>
      <c r="D33" s="207">
        <f>SUBTOTAL(9,D28:D32)</f>
        <v>329580157.55000001</v>
      </c>
      <c r="E33" s="203">
        <f>SUBTOTAL(9,E28:E32)</f>
        <v>291717822.79000002</v>
      </c>
      <c r="F33" s="263">
        <f t="shared" si="0"/>
        <v>0.88511949553802871</v>
      </c>
      <c r="G33" s="203">
        <f>SUBTOTAL(9,G28:G32)</f>
        <v>269293899.48000002</v>
      </c>
      <c r="H33" s="90">
        <f>G33/D33</f>
        <v>0.81708165164386737</v>
      </c>
      <c r="I33" s="203">
        <f>SUBTOTAL(9,I28:I32)</f>
        <v>181348495.54999998</v>
      </c>
      <c r="J33" s="170">
        <f>I33/D33</f>
        <v>0.55024093955804343</v>
      </c>
      <c r="K33" s="152">
        <f>SUM(K28:K32)</f>
        <v>244431767.66000003</v>
      </c>
      <c r="L33" s="90">
        <v>0.82</v>
      </c>
      <c r="M33" s="213">
        <f t="shared" ref="M33:M56" si="8">+G33/K33-1</f>
        <v>0.10171399592618724</v>
      </c>
      <c r="N33" s="562">
        <f>SUM(N28:N32)</f>
        <v>174155577.72000003</v>
      </c>
      <c r="O33" s="90">
        <v>0.57999999999999996</v>
      </c>
      <c r="P33" s="170">
        <f t="shared" ref="P33:P55" si="9">+I33/N33-1</f>
        <v>4.1301679361452459E-2</v>
      </c>
    </row>
    <row r="34" spans="1:18" ht="14.1" customHeight="1" x14ac:dyDescent="0.25">
      <c r="A34" s="37">
        <v>311</v>
      </c>
      <c r="B34" s="38" t="s">
        <v>472</v>
      </c>
      <c r="C34" s="198">
        <v>19998074.850000001</v>
      </c>
      <c r="D34" s="512">
        <v>19328914.66</v>
      </c>
      <c r="E34" s="180">
        <v>18454755.210000001</v>
      </c>
      <c r="F34" s="48">
        <f t="shared" ref="F34:F68" si="10">+E34/D34</f>
        <v>0.95477451965738058</v>
      </c>
      <c r="G34" s="180">
        <v>18337180.050000001</v>
      </c>
      <c r="H34" s="48">
        <f t="shared" ref="H34:H80" si="11">+G34/D34</f>
        <v>0.94869165561311453</v>
      </c>
      <c r="I34" s="180">
        <v>11814437.699999999</v>
      </c>
      <c r="J34" s="153">
        <f t="shared" ref="J34:J80" si="12">+I34/D34</f>
        <v>0.61123130335141118</v>
      </c>
      <c r="K34" s="644">
        <v>17280768.239999998</v>
      </c>
      <c r="L34" s="48">
        <v>0.98568577682738534</v>
      </c>
      <c r="M34" s="210">
        <f t="shared" si="8"/>
        <v>6.1132224871502716E-2</v>
      </c>
      <c r="N34" s="609">
        <v>14145764.359999999</v>
      </c>
      <c r="O34" s="48">
        <v>0.80686683244377233</v>
      </c>
      <c r="P34" s="153">
        <f t="shared" si="9"/>
        <v>-0.16480740104736202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10"/>
        <v>1</v>
      </c>
      <c r="G35" s="34">
        <v>4057577.19</v>
      </c>
      <c r="H35" s="48">
        <f t="shared" si="11"/>
        <v>1</v>
      </c>
      <c r="I35" s="34">
        <v>2248848</v>
      </c>
      <c r="J35" s="153">
        <f t="shared" si="12"/>
        <v>0.55423418821023096</v>
      </c>
      <c r="K35" s="644">
        <v>2248848</v>
      </c>
      <c r="L35" s="48">
        <v>1</v>
      </c>
      <c r="M35" s="210">
        <f t="shared" si="8"/>
        <v>0.8042914372158545</v>
      </c>
      <c r="N35" s="609">
        <v>2248848</v>
      </c>
      <c r="O35" s="48">
        <v>1</v>
      </c>
      <c r="P35" s="153">
        <f t="shared" si="9"/>
        <v>0</v>
      </c>
    </row>
    <row r="36" spans="1:18" ht="14.1" customHeight="1" x14ac:dyDescent="0.25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5190</v>
      </c>
      <c r="H36" s="48">
        <f t="shared" si="11"/>
        <v>0.86499999999999999</v>
      </c>
      <c r="I36" s="34">
        <v>5190</v>
      </c>
      <c r="J36" s="153">
        <f t="shared" si="12"/>
        <v>0.86499999999999999</v>
      </c>
      <c r="K36" s="644">
        <v>0</v>
      </c>
      <c r="L36" s="48" t="s">
        <v>129</v>
      </c>
      <c r="M36" s="224" t="s">
        <v>129</v>
      </c>
      <c r="N36" s="609">
        <v>0</v>
      </c>
      <c r="O36" s="48" t="s">
        <v>129</v>
      </c>
      <c r="P36" s="348" t="s">
        <v>129</v>
      </c>
    </row>
    <row r="37" spans="1:18" ht="14.1" customHeight="1" x14ac:dyDescent="0.25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7100000</v>
      </c>
      <c r="J37" s="178">
        <f t="shared" si="12"/>
        <v>0.66510933096690805</v>
      </c>
      <c r="K37" s="645">
        <v>22965790.039999999</v>
      </c>
      <c r="L37" s="280">
        <v>1</v>
      </c>
      <c r="M37" s="212">
        <f t="shared" si="8"/>
        <v>-0.53518095082262629</v>
      </c>
      <c r="N37" s="610">
        <v>6406181.4900000002</v>
      </c>
      <c r="O37" s="280">
        <v>0.27894452918197976</v>
      </c>
      <c r="P37" s="153">
        <f t="shared" si="9"/>
        <v>0.10830453540584895</v>
      </c>
    </row>
    <row r="38" spans="1:18" ht="14.1" customHeight="1" x14ac:dyDescent="0.25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34681050</v>
      </c>
      <c r="J38" s="178">
        <f t="shared" si="12"/>
        <v>0.82227821665652867</v>
      </c>
      <c r="K38" s="205">
        <v>39307154.049999997</v>
      </c>
      <c r="L38" s="604">
        <v>1</v>
      </c>
      <c r="M38" s="211">
        <f t="shared" si="8"/>
        <v>7.3005261493868101E-2</v>
      </c>
      <c r="N38" s="573">
        <v>37980210.549999997</v>
      </c>
      <c r="O38" s="604">
        <v>0.96624167961099183</v>
      </c>
      <c r="P38" s="153">
        <f t="shared" si="9"/>
        <v>-8.686525172515136E-2</v>
      </c>
    </row>
    <row r="39" spans="1:18" ht="14.1" customHeight="1" x14ac:dyDescent="0.25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8163831</v>
      </c>
      <c r="F39" s="280">
        <f t="shared" si="10"/>
        <v>1</v>
      </c>
      <c r="G39" s="34">
        <v>8163831</v>
      </c>
      <c r="H39" s="280">
        <f t="shared" si="11"/>
        <v>1</v>
      </c>
      <c r="I39" s="34">
        <v>5416531</v>
      </c>
      <c r="J39" s="178">
        <f t="shared" si="12"/>
        <v>0.66347907005914253</v>
      </c>
      <c r="K39" s="205">
        <v>7493661</v>
      </c>
      <c r="L39" s="280">
        <v>1</v>
      </c>
      <c r="M39" s="211">
        <f t="shared" si="8"/>
        <v>8.9431587577820881E-2</v>
      </c>
      <c r="N39" s="573">
        <v>2077130</v>
      </c>
      <c r="O39" s="280">
        <v>0.27718494338081212</v>
      </c>
      <c r="P39" s="153">
        <f t="shared" si="9"/>
        <v>1.6076995662284017</v>
      </c>
    </row>
    <row r="40" spans="1:18" ht="14.1" customHeight="1" x14ac:dyDescent="0.25">
      <c r="A40" s="39" t="s">
        <v>473</v>
      </c>
      <c r="B40" s="40" t="s">
        <v>114</v>
      </c>
      <c r="C40" s="200">
        <v>17924191.510000002</v>
      </c>
      <c r="D40" s="206">
        <v>17910785.539999999</v>
      </c>
      <c r="E40" s="34">
        <v>17675231.800000001</v>
      </c>
      <c r="F40" s="280">
        <f t="shared" si="10"/>
        <v>0.98684849754501625</v>
      </c>
      <c r="G40" s="34">
        <v>17592384.25</v>
      </c>
      <c r="H40" s="280">
        <f t="shared" si="11"/>
        <v>0.98222292990506099</v>
      </c>
      <c r="I40" s="34">
        <v>6641386.9199999999</v>
      </c>
      <c r="J40" s="178">
        <f t="shared" si="12"/>
        <v>0.37080377659415603</v>
      </c>
      <c r="K40" s="205">
        <v>14890431.279999999</v>
      </c>
      <c r="L40" s="280">
        <v>0.87989510781723212</v>
      </c>
      <c r="M40" s="211">
        <f t="shared" si="8"/>
        <v>0.18145565559468468</v>
      </c>
      <c r="N40" s="573">
        <v>4099642.64</v>
      </c>
      <c r="O40" s="280">
        <v>0.24225325881460449</v>
      </c>
      <c r="P40" s="153">
        <f t="shared" si="9"/>
        <v>0.61999166834697572</v>
      </c>
    </row>
    <row r="41" spans="1:18" ht="14.1" customHeight="1" x14ac:dyDescent="0.25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9502324.5999999996</v>
      </c>
      <c r="F41" s="280">
        <f t="shared" si="10"/>
        <v>0.98958585507513463</v>
      </c>
      <c r="G41" s="34">
        <v>9502324.5999999996</v>
      </c>
      <c r="H41" s="280">
        <f t="shared" si="11"/>
        <v>0.98958585507513463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1.0638303303333707E-2</v>
      </c>
      <c r="N41" s="573">
        <v>4179061.03</v>
      </c>
      <c r="O41" s="280">
        <v>0.44447220301864687</v>
      </c>
      <c r="P41" s="153">
        <f t="shared" si="9"/>
        <v>-1</v>
      </c>
    </row>
    <row r="42" spans="1:18" ht="14.1" customHeight="1" x14ac:dyDescent="0.25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26200000</v>
      </c>
      <c r="J42" s="178">
        <f t="shared" si="12"/>
        <v>0.78499070165930063</v>
      </c>
      <c r="K42" s="205">
        <v>30377801.829999998</v>
      </c>
      <c r="L42" s="604">
        <v>1</v>
      </c>
      <c r="M42" s="211">
        <f t="shared" si="8"/>
        <v>9.8703313254183689E-2</v>
      </c>
      <c r="N42" s="573">
        <v>24137661.829999998</v>
      </c>
      <c r="O42" s="604">
        <v>0.79458224018574419</v>
      </c>
      <c r="P42" s="153">
        <f t="shared" si="9"/>
        <v>8.5440677084835936E-2</v>
      </c>
    </row>
    <row r="43" spans="1:18" ht="14.1" customHeight="1" x14ac:dyDescent="0.25">
      <c r="A43" s="253" t="s">
        <v>433</v>
      </c>
      <c r="B43" s="40" t="s">
        <v>668</v>
      </c>
      <c r="C43" s="200">
        <v>28640778.239999998</v>
      </c>
      <c r="D43" s="206">
        <v>22684621.100000001</v>
      </c>
      <c r="E43" s="34">
        <v>20472746.260000002</v>
      </c>
      <c r="F43" s="280">
        <f t="shared" si="10"/>
        <v>0.90249452127723662</v>
      </c>
      <c r="G43" s="34">
        <v>20472746.260000002</v>
      </c>
      <c r="H43" s="280">
        <f t="shared" si="11"/>
        <v>0.90249452127723662</v>
      </c>
      <c r="I43" s="34">
        <v>9292890.2200000007</v>
      </c>
      <c r="J43" s="178">
        <f t="shared" si="12"/>
        <v>0.40965595938474814</v>
      </c>
      <c r="K43" s="205">
        <v>16608497.810000001</v>
      </c>
      <c r="L43" s="280">
        <v>0.97497884431821236</v>
      </c>
      <c r="M43" s="211">
        <f t="shared" si="8"/>
        <v>0.23266694521122377</v>
      </c>
      <c r="N43" s="573">
        <v>9243589.9700000007</v>
      </c>
      <c r="O43" s="280">
        <v>0.54263213743964833</v>
      </c>
      <c r="P43" s="153">
        <f t="shared" si="9"/>
        <v>5.3334527126369657E-3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12910548.640000001</v>
      </c>
      <c r="E44" s="34">
        <v>12607679.33</v>
      </c>
      <c r="F44" s="280">
        <f t="shared" si="10"/>
        <v>0.97654094195024077</v>
      </c>
      <c r="G44" s="34">
        <v>12553628.58</v>
      </c>
      <c r="H44" s="280">
        <f t="shared" si="11"/>
        <v>0.97235438477849223</v>
      </c>
      <c r="I44" s="34">
        <v>7081193.5199999996</v>
      </c>
      <c r="J44" s="178">
        <f t="shared" si="12"/>
        <v>0.5484812239551734</v>
      </c>
      <c r="K44" s="205">
        <v>12547145.189999999</v>
      </c>
      <c r="L44" s="280">
        <v>0.9836913443622326</v>
      </c>
      <c r="M44" s="211">
        <f t="shared" si="8"/>
        <v>5.16722322235319E-4</v>
      </c>
      <c r="N44" s="573">
        <v>12415376.720000001</v>
      </c>
      <c r="O44" s="280">
        <v>0.97336074712787846</v>
      </c>
      <c r="P44" s="153">
        <f t="shared" si="9"/>
        <v>-0.42964328189954437</v>
      </c>
    </row>
    <row r="45" spans="1:18" ht="14.1" customHeight="1" x14ac:dyDescent="0.25">
      <c r="A45" s="39" t="s">
        <v>77</v>
      </c>
      <c r="B45" s="40" t="s">
        <v>481</v>
      </c>
      <c r="C45" s="200">
        <v>65286878.990000002</v>
      </c>
      <c r="D45" s="206">
        <v>70017378.989999995</v>
      </c>
      <c r="E45" s="34">
        <v>65286878.990000002</v>
      </c>
      <c r="F45" s="280">
        <f t="shared" si="10"/>
        <v>0.93243820222582718</v>
      </c>
      <c r="G45" s="34">
        <v>65286878.990000002</v>
      </c>
      <c r="H45" s="280">
        <f t="shared" si="11"/>
        <v>0.93243820222582718</v>
      </c>
      <c r="I45" s="34">
        <v>53500000</v>
      </c>
      <c r="J45" s="178">
        <f t="shared" si="12"/>
        <v>0.76409601118660786</v>
      </c>
      <c r="K45" s="205">
        <v>66190224.990000002</v>
      </c>
      <c r="L45" s="280">
        <v>1</v>
      </c>
      <c r="M45" s="211">
        <f t="shared" si="8"/>
        <v>-1.3647725175983005E-2</v>
      </c>
      <c r="N45" s="573">
        <v>58635497.799999997</v>
      </c>
      <c r="O45" s="280">
        <v>0.88586340065861124</v>
      </c>
      <c r="P45" s="153">
        <f t="shared" si="9"/>
        <v>-8.7583426297780931E-2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20626145.18</v>
      </c>
      <c r="E46" s="34">
        <v>17799364.100000001</v>
      </c>
      <c r="F46" s="280">
        <f t="shared" si="10"/>
        <v>0.86295155709749549</v>
      </c>
      <c r="G46" s="34">
        <v>17481627.039999999</v>
      </c>
      <c r="H46" s="280">
        <f t="shared" si="11"/>
        <v>0.84754697920728972</v>
      </c>
      <c r="I46" s="34">
        <v>15990246.060000001</v>
      </c>
      <c r="J46" s="178">
        <f t="shared" si="12"/>
        <v>0.77524161303319217</v>
      </c>
      <c r="K46" s="205">
        <v>15873381.609999999</v>
      </c>
      <c r="L46" s="604">
        <v>0.96376719604282679</v>
      </c>
      <c r="M46" s="211">
        <f t="shared" si="8"/>
        <v>0.10131712759849654</v>
      </c>
      <c r="N46" s="573">
        <v>1856734.55</v>
      </c>
      <c r="O46" s="604">
        <v>0.11273337307798398</v>
      </c>
      <c r="P46" s="153">
        <f t="shared" si="9"/>
        <v>7.6120259139896973</v>
      </c>
      <c r="R46" s="275"/>
    </row>
    <row r="47" spans="1:18" ht="14.1" customHeight="1" x14ac:dyDescent="0.25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3">
        <v>0</v>
      </c>
      <c r="O47" s="280">
        <v>0</v>
      </c>
      <c r="P47" s="153" t="s">
        <v>129</v>
      </c>
    </row>
    <row r="48" spans="1:18" ht="14.1" customHeight="1" x14ac:dyDescent="0.25">
      <c r="A48" s="253">
        <v>337</v>
      </c>
      <c r="B48" s="40" t="s">
        <v>483</v>
      </c>
      <c r="C48" s="655">
        <v>15245118.1</v>
      </c>
      <c r="D48" s="397">
        <v>15961850.99</v>
      </c>
      <c r="E48" s="398">
        <v>14768633.91</v>
      </c>
      <c r="F48" s="412">
        <f t="shared" si="10"/>
        <v>0.92524569482903063</v>
      </c>
      <c r="G48" s="398">
        <v>14352081.09</v>
      </c>
      <c r="H48" s="412">
        <f t="shared" si="11"/>
        <v>0.89914892069794972</v>
      </c>
      <c r="I48" s="398">
        <v>8897816.4100000001</v>
      </c>
      <c r="J48" s="178">
        <f t="shared" si="12"/>
        <v>0.55744264343617955</v>
      </c>
      <c r="K48" s="205">
        <v>13690626.720000001</v>
      </c>
      <c r="L48" s="280">
        <v>0.92334012849085134</v>
      </c>
      <c r="M48" s="211">
        <f t="shared" si="8"/>
        <v>4.8314396669197901E-2</v>
      </c>
      <c r="N48" s="573">
        <v>7797979.71</v>
      </c>
      <c r="O48" s="280">
        <v>0.52592096290829637</v>
      </c>
      <c r="P48" s="153">
        <f t="shared" si="9"/>
        <v>0.14104123643584088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533</v>
      </c>
      <c r="C50" s="164" t="s">
        <v>765</v>
      </c>
      <c r="D50" s="754" t="s">
        <v>782</v>
      </c>
      <c r="E50" s="752"/>
      <c r="F50" s="752"/>
      <c r="G50" s="752"/>
      <c r="H50" s="752"/>
      <c r="I50" s="752"/>
      <c r="J50" s="753"/>
      <c r="K50" s="763" t="s">
        <v>783</v>
      </c>
      <c r="L50" s="761"/>
      <c r="M50" s="761"/>
      <c r="N50" s="761"/>
      <c r="O50" s="761"/>
      <c r="P50" s="762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5">
      <c r="A52" s="674"/>
      <c r="B52" s="514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07" t="s">
        <v>764</v>
      </c>
      <c r="N52" s="558" t="s">
        <v>17</v>
      </c>
      <c r="O52" s="89" t="s">
        <v>18</v>
      </c>
      <c r="P52" s="642" t="s">
        <v>764</v>
      </c>
      <c r="R52"/>
    </row>
    <row r="53" spans="1:19" ht="14.1" customHeight="1" x14ac:dyDescent="0.25">
      <c r="A53" s="693">
        <v>338</v>
      </c>
      <c r="B53" s="38" t="s">
        <v>428</v>
      </c>
      <c r="C53" s="525">
        <v>8127724.7699999996</v>
      </c>
      <c r="D53" s="512">
        <v>8567515.1500000004</v>
      </c>
      <c r="E53" s="180">
        <v>7842454.3099999996</v>
      </c>
      <c r="F53" s="48">
        <f t="shared" si="10"/>
        <v>0.91537092992476343</v>
      </c>
      <c r="G53" s="180">
        <v>7612729.8399999999</v>
      </c>
      <c r="H53" s="48">
        <f t="shared" si="11"/>
        <v>0.8885574996619644</v>
      </c>
      <c r="I53" s="180">
        <v>2558034.31</v>
      </c>
      <c r="J53" s="153">
        <f t="shared" si="12"/>
        <v>0.29857365469613439</v>
      </c>
      <c r="K53" s="204">
        <v>7130776.8099999996</v>
      </c>
      <c r="L53" s="48">
        <v>0.91673133107398797</v>
      </c>
      <c r="M53" s="210">
        <f t="shared" si="8"/>
        <v>6.7587731721475697E-2</v>
      </c>
      <c r="N53" s="572">
        <v>5133974.8</v>
      </c>
      <c r="O53" s="48">
        <v>0.66002283867643741</v>
      </c>
      <c r="P53" s="153">
        <f t="shared" si="9"/>
        <v>-0.5017438905231868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13085983.560000001</v>
      </c>
      <c r="E54" s="34">
        <v>12609912.76</v>
      </c>
      <c r="F54" s="390">
        <f t="shared" si="10"/>
        <v>0.96361979229018679</v>
      </c>
      <c r="G54" s="34">
        <v>12499572.58</v>
      </c>
      <c r="H54" s="390">
        <f t="shared" si="11"/>
        <v>0.95518785597496192</v>
      </c>
      <c r="I54" s="34">
        <v>6959772.5800000001</v>
      </c>
      <c r="J54" s="392">
        <f t="shared" si="12"/>
        <v>0.53184940574692263</v>
      </c>
      <c r="K54" s="205">
        <v>12422023.470000001</v>
      </c>
      <c r="L54" s="390">
        <v>0.97508529817660383</v>
      </c>
      <c r="M54" s="211">
        <f t="shared" si="8"/>
        <v>6.2428726034278181E-3</v>
      </c>
      <c r="N54" s="573">
        <v>10343982.640000001</v>
      </c>
      <c r="O54" s="390">
        <v>0.81196637739551891</v>
      </c>
      <c r="P54" s="178">
        <f t="shared" si="9"/>
        <v>-0.32716702819215093</v>
      </c>
    </row>
    <row r="55" spans="1:19" ht="14.1" customHeight="1" x14ac:dyDescent="0.25">
      <c r="A55" s="253">
        <v>342</v>
      </c>
      <c r="B55" s="40" t="s">
        <v>484</v>
      </c>
      <c r="C55" s="200">
        <v>5455050.5800000001</v>
      </c>
      <c r="D55" s="206">
        <v>6467254.8399999999</v>
      </c>
      <c r="E55" s="34">
        <v>6456013.3300000001</v>
      </c>
      <c r="F55" s="390">
        <f t="shared" si="10"/>
        <v>0.9982617802640974</v>
      </c>
      <c r="G55" s="34">
        <v>6456013.3300000001</v>
      </c>
      <c r="H55" s="390">
        <f t="shared" si="11"/>
        <v>0.9982617802640974</v>
      </c>
      <c r="I55" s="34">
        <v>1433683.53</v>
      </c>
      <c r="J55" s="392">
        <f t="shared" si="12"/>
        <v>0.22168347551926684</v>
      </c>
      <c r="K55" s="205">
        <v>6362437.7199999997</v>
      </c>
      <c r="L55" s="390">
        <v>0.9980841898224021</v>
      </c>
      <c r="M55" s="211">
        <f t="shared" si="8"/>
        <v>1.4707508995467355E-2</v>
      </c>
      <c r="N55" s="573">
        <v>83803.34</v>
      </c>
      <c r="O55" s="390">
        <v>1.3146343019654942E-2</v>
      </c>
      <c r="P55" s="178">
        <f t="shared" si="9"/>
        <v>16.10771348731447</v>
      </c>
    </row>
    <row r="56" spans="1:19" ht="14.1" customHeight="1" x14ac:dyDescent="0.25">
      <c r="A56" s="526">
        <v>343</v>
      </c>
      <c r="B56" s="528" t="s">
        <v>435</v>
      </c>
      <c r="C56" s="655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59">
        <f t="shared" si="8"/>
        <v>-0.14322142208192024</v>
      </c>
      <c r="N56" s="629">
        <v>0</v>
      </c>
      <c r="O56" s="390">
        <v>0</v>
      </c>
      <c r="P56" s="661" t="s">
        <v>129</v>
      </c>
    </row>
    <row r="57" spans="1:19" ht="14.1" customHeight="1" x14ac:dyDescent="0.25">
      <c r="A57" s="527">
        <v>3</v>
      </c>
      <c r="B57" s="2" t="s">
        <v>124</v>
      </c>
      <c r="C57" s="201">
        <f>SUM(C34:C48,C53:C56)</f>
        <v>317974199.00999999</v>
      </c>
      <c r="D57" s="207">
        <f>SUM(D34:D48,D53:D56)</f>
        <v>322348916.60000002</v>
      </c>
      <c r="E57" s="203">
        <f>SUM(E34:E48,E53:E56)</f>
        <v>308661587.95000005</v>
      </c>
      <c r="F57" s="90">
        <f t="shared" si="10"/>
        <v>0.95753877880413518</v>
      </c>
      <c r="G57" s="203">
        <f>SUM(G34:G48,G53:G56)</f>
        <v>307331949.95999998</v>
      </c>
      <c r="H57" s="90">
        <f t="shared" si="11"/>
        <v>0.95341393792046003</v>
      </c>
      <c r="I57" s="203">
        <f>SUM(I34:I48,I53:I56)</f>
        <v>199821080.25000003</v>
      </c>
      <c r="J57" s="170">
        <f t="shared" si="12"/>
        <v>0.61989065251910336</v>
      </c>
      <c r="K57" s="152">
        <f>SUM(K34:K56)</f>
        <v>302611868.18000013</v>
      </c>
      <c r="L57" s="90">
        <v>0.97623201317975883</v>
      </c>
      <c r="M57" s="213">
        <f t="shared" ref="M57:M64" si="13">+G57/K57-1</f>
        <v>1.5597807873127589E-2</v>
      </c>
      <c r="N57" s="562">
        <f>SUM(N34:N48,N53:N56)</f>
        <v>200785439.43000004</v>
      </c>
      <c r="O57" s="90">
        <v>0.64800000000000002</v>
      </c>
      <c r="P57" s="170">
        <f t="shared" ref="P57:P64" si="14">+I57/N57-1</f>
        <v>-4.8029338319436343E-3</v>
      </c>
    </row>
    <row r="58" spans="1:19" ht="14.1" customHeight="1" x14ac:dyDescent="0.25">
      <c r="A58" s="37">
        <v>430</v>
      </c>
      <c r="B58" s="529" t="s">
        <v>744</v>
      </c>
      <c r="C58" s="198">
        <v>4583248.97</v>
      </c>
      <c r="D58" s="512">
        <v>5239143.75</v>
      </c>
      <c r="E58" s="180">
        <v>3175495.1</v>
      </c>
      <c r="F58" s="78">
        <f t="shared" si="10"/>
        <v>0.6061095575016433</v>
      </c>
      <c r="G58" s="180">
        <v>3086802.74</v>
      </c>
      <c r="H58" s="414">
        <f t="shared" si="11"/>
        <v>0.58918076832688548</v>
      </c>
      <c r="I58" s="180">
        <v>3061170.56</v>
      </c>
      <c r="J58" s="153">
        <f t="shared" si="12"/>
        <v>0.58428833146637749</v>
      </c>
      <c r="K58" s="644">
        <v>3189759.11</v>
      </c>
      <c r="L58" s="48">
        <v>0.66922743258876993</v>
      </c>
      <c r="M58" s="210">
        <f t="shared" si="13"/>
        <v>-3.2277161518946107E-2</v>
      </c>
      <c r="N58" s="609">
        <v>3042445.62</v>
      </c>
      <c r="O58" s="48">
        <v>0.63832032477949363</v>
      </c>
      <c r="P58" s="153">
        <f t="shared" si="14"/>
        <v>6.1545685079491541E-3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33233623.789999999</v>
      </c>
      <c r="E59" s="34">
        <v>30043203.27</v>
      </c>
      <c r="F59" s="48">
        <f t="shared" si="10"/>
        <v>0.9040002215780033</v>
      </c>
      <c r="G59" s="34">
        <v>28412323.359999999</v>
      </c>
      <c r="H59" s="48">
        <f t="shared" si="11"/>
        <v>0.85492703231927636</v>
      </c>
      <c r="I59" s="34">
        <v>11655698.82</v>
      </c>
      <c r="J59" s="153">
        <f t="shared" si="12"/>
        <v>0.35072006873674733</v>
      </c>
      <c r="K59" s="644">
        <v>14880267.810000001</v>
      </c>
      <c r="L59" s="48">
        <v>0.74476644992434426</v>
      </c>
      <c r="M59" s="210">
        <f t="shared" si="13"/>
        <v>0.90939596805549683</v>
      </c>
      <c r="N59" s="609">
        <v>4665296.83</v>
      </c>
      <c r="O59" s="48">
        <v>0.23350094247546993</v>
      </c>
      <c r="P59" s="153">
        <f t="shared" si="14"/>
        <v>1.498383113599226</v>
      </c>
    </row>
    <row r="60" spans="1:19" ht="14.1" customHeight="1" x14ac:dyDescent="0.25">
      <c r="A60" s="39" t="s">
        <v>81</v>
      </c>
      <c r="B60" s="40" t="s">
        <v>485</v>
      </c>
      <c r="C60" s="200">
        <v>2743104</v>
      </c>
      <c r="D60" s="206">
        <v>8354904.0099999998</v>
      </c>
      <c r="E60" s="34">
        <v>4839351.43</v>
      </c>
      <c r="F60" s="280">
        <f t="shared" si="10"/>
        <v>0.57922286410565238</v>
      </c>
      <c r="G60" s="34">
        <v>4101218.84</v>
      </c>
      <c r="H60" s="280">
        <f t="shared" si="11"/>
        <v>0.49087563843836429</v>
      </c>
      <c r="I60" s="34">
        <v>3233229.62</v>
      </c>
      <c r="J60" s="178">
        <f t="shared" si="12"/>
        <v>0.38698584880570042</v>
      </c>
      <c r="K60" s="645">
        <v>5007211.08</v>
      </c>
      <c r="L60" s="280">
        <v>0.62343681691326658</v>
      </c>
      <c r="M60" s="211">
        <f t="shared" si="13"/>
        <v>-0.18093749704675921</v>
      </c>
      <c r="N60" s="610">
        <v>4210453.38</v>
      </c>
      <c r="O60" s="280">
        <v>0.52423427154361224</v>
      </c>
      <c r="P60" s="178">
        <f t="shared" si="14"/>
        <v>-0.23209466340178309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60829975.039999999</v>
      </c>
      <c r="E61" s="34">
        <v>39075191.359999999</v>
      </c>
      <c r="F61" s="280">
        <f t="shared" si="10"/>
        <v>0.64236737454364079</v>
      </c>
      <c r="G61" s="34">
        <v>34014423.009999998</v>
      </c>
      <c r="H61" s="280">
        <f t="shared" si="11"/>
        <v>0.55917206915888285</v>
      </c>
      <c r="I61" s="34">
        <v>29854249.969999999</v>
      </c>
      <c r="J61" s="178">
        <f t="shared" si="12"/>
        <v>0.49078188755410018</v>
      </c>
      <c r="K61" s="645">
        <v>27464551.91</v>
      </c>
      <c r="L61" s="280">
        <v>0.45389497810720719</v>
      </c>
      <c r="M61" s="211">
        <f t="shared" si="13"/>
        <v>0.2384845426010811</v>
      </c>
      <c r="N61" s="610">
        <v>25930200.27</v>
      </c>
      <c r="O61" s="280">
        <v>0.42853740058951312</v>
      </c>
      <c r="P61" s="178">
        <f t="shared" si="14"/>
        <v>0.15133125310026774</v>
      </c>
      <c r="R61" s="279"/>
      <c r="S61" s="279"/>
    </row>
    <row r="62" spans="1:19" ht="14.1" customHeight="1" x14ac:dyDescent="0.25">
      <c r="A62" s="39" t="s">
        <v>83</v>
      </c>
      <c r="B62" s="40" t="s">
        <v>486</v>
      </c>
      <c r="C62" s="200">
        <v>162462056</v>
      </c>
      <c r="D62" s="206">
        <v>159819051.09999999</v>
      </c>
      <c r="E62" s="34">
        <v>128588732.3</v>
      </c>
      <c r="F62" s="280">
        <f t="shared" si="10"/>
        <v>0.80458951179444216</v>
      </c>
      <c r="G62" s="34">
        <v>128449649.5</v>
      </c>
      <c r="H62" s="280">
        <f t="shared" si="11"/>
        <v>0.8037192601001496</v>
      </c>
      <c r="I62" s="34">
        <v>89451416.629999995</v>
      </c>
      <c r="J62" s="178">
        <f t="shared" si="12"/>
        <v>0.55970434071736264</v>
      </c>
      <c r="K62" s="645">
        <v>127616368</v>
      </c>
      <c r="L62" s="280">
        <v>0.77836828313607243</v>
      </c>
      <c r="M62" s="211">
        <f t="shared" si="13"/>
        <v>6.529581691276487E-3</v>
      </c>
      <c r="N62" s="610">
        <v>105911427.28</v>
      </c>
      <c r="O62" s="280">
        <v>0.64598371751517469</v>
      </c>
      <c r="P62" s="178">
        <f t="shared" si="14"/>
        <v>-0.15541298113643931</v>
      </c>
      <c r="R62" s="279"/>
      <c r="S62" s="279"/>
    </row>
    <row r="63" spans="1:19" ht="14.1" customHeight="1" x14ac:dyDescent="0.25">
      <c r="A63" s="39">
        <v>491</v>
      </c>
      <c r="B63" s="40" t="s">
        <v>498</v>
      </c>
      <c r="C63" s="200">
        <v>34765352.369999997</v>
      </c>
      <c r="D63" s="206">
        <v>37919457.909999996</v>
      </c>
      <c r="E63" s="34">
        <v>36647054.609999999</v>
      </c>
      <c r="F63" s="280">
        <f t="shared" si="10"/>
        <v>0.96644458095840968</v>
      </c>
      <c r="G63" s="34">
        <v>36578865.229999997</v>
      </c>
      <c r="H63" s="280">
        <f t="shared" si="11"/>
        <v>0.96464631210757723</v>
      </c>
      <c r="I63" s="34">
        <v>11847208.66</v>
      </c>
      <c r="J63" s="178">
        <f t="shared" si="12"/>
        <v>0.31243085510659929</v>
      </c>
      <c r="K63" s="645">
        <v>15669752</v>
      </c>
      <c r="L63" s="280">
        <v>1</v>
      </c>
      <c r="M63" s="211">
        <f t="shared" si="13"/>
        <v>1.3343614646868693</v>
      </c>
      <c r="N63" s="610">
        <v>7900000</v>
      </c>
      <c r="O63" s="280">
        <v>0.50415603259068809</v>
      </c>
      <c r="P63" s="178">
        <f t="shared" si="14"/>
        <v>0.49964666582278472</v>
      </c>
      <c r="R63" s="279"/>
      <c r="S63" s="279"/>
    </row>
    <row r="64" spans="1:19" ht="14.1" customHeight="1" x14ac:dyDescent="0.25">
      <c r="A64" s="41" t="s">
        <v>84</v>
      </c>
      <c r="B64" s="656" t="s">
        <v>487</v>
      </c>
      <c r="C64" s="655">
        <v>1548192.01</v>
      </c>
      <c r="D64" s="397">
        <v>1470667.36</v>
      </c>
      <c r="E64" s="398">
        <v>1032886.47</v>
      </c>
      <c r="F64" s="412">
        <f t="shared" si="10"/>
        <v>0.70232501114324042</v>
      </c>
      <c r="G64" s="398">
        <v>839530.57</v>
      </c>
      <c r="H64" s="412">
        <f t="shared" si="11"/>
        <v>0.57085007312598535</v>
      </c>
      <c r="I64" s="398">
        <v>786084.39</v>
      </c>
      <c r="J64" s="427">
        <f t="shared" si="12"/>
        <v>0.53450862607027594</v>
      </c>
      <c r="K64" s="657">
        <v>999628.55</v>
      </c>
      <c r="L64" s="412">
        <v>0.57784273075356851</v>
      </c>
      <c r="M64" s="443">
        <f t="shared" si="13"/>
        <v>-0.16015747049241447</v>
      </c>
      <c r="N64" s="658">
        <v>954845.97</v>
      </c>
      <c r="O64" s="412">
        <v>0.55195582674568455</v>
      </c>
      <c r="P64" s="427">
        <f t="shared" si="14"/>
        <v>-0.1767422027240686</v>
      </c>
    </row>
    <row r="65" spans="1:21" ht="14.1" customHeight="1" x14ac:dyDescent="0.25">
      <c r="A65" s="18">
        <v>4</v>
      </c>
      <c r="B65" s="514" t="s">
        <v>123</v>
      </c>
      <c r="C65" s="201">
        <f>SUM(C58:C64)</f>
        <v>298186053.5</v>
      </c>
      <c r="D65" s="707">
        <f>SUM(D58:D64)</f>
        <v>306866822.96000004</v>
      </c>
      <c r="E65" s="708">
        <f>SUM(E58:E64)</f>
        <v>243401914.53999999</v>
      </c>
      <c r="F65" s="90">
        <f t="shared" si="10"/>
        <v>0.79318419694959119</v>
      </c>
      <c r="G65" s="203">
        <f>SUM(G58:G64)</f>
        <v>235482813.24999997</v>
      </c>
      <c r="H65" s="90">
        <f t="shared" si="11"/>
        <v>0.76737788392554596</v>
      </c>
      <c r="I65" s="203">
        <f>SUM(I58:I64)</f>
        <v>149889058.64999998</v>
      </c>
      <c r="J65" s="170">
        <f t="shared" si="12"/>
        <v>0.48844986631069581</v>
      </c>
      <c r="K65" s="152">
        <f>SUM(K58:K64)</f>
        <v>194827538.46000001</v>
      </c>
      <c r="L65" s="90">
        <v>0.70916073309447714</v>
      </c>
      <c r="M65" s="213">
        <f t="shared" ref="M65:M78" si="15">+G65/K65-1</f>
        <v>0.20867314298254036</v>
      </c>
      <c r="N65" s="562">
        <f>SUBTOTAL(9,N58:N64)</f>
        <v>152614669.34999999</v>
      </c>
      <c r="O65" s="90">
        <v>0.55550838270965253</v>
      </c>
      <c r="P65" s="170">
        <f t="shared" ref="P65:P78" si="16">+I65/N65-1</f>
        <v>-1.7859428006551714E-2</v>
      </c>
    </row>
    <row r="66" spans="1:21" ht="14.1" customHeight="1" x14ac:dyDescent="0.25">
      <c r="A66" s="37" t="s">
        <v>85</v>
      </c>
      <c r="B66" s="38" t="s">
        <v>113</v>
      </c>
      <c r="C66" s="198">
        <v>30183531.489999998</v>
      </c>
      <c r="D66" s="512">
        <v>30354212.539999999</v>
      </c>
      <c r="E66" s="180">
        <v>20798999.07</v>
      </c>
      <c r="F66" s="48">
        <f t="shared" si="10"/>
        <v>0.68520964075716395</v>
      </c>
      <c r="G66" s="180">
        <v>19690074.18</v>
      </c>
      <c r="H66" s="48">
        <f t="shared" si="11"/>
        <v>0.64867682381985459</v>
      </c>
      <c r="I66" s="30">
        <v>18721784.219999999</v>
      </c>
      <c r="J66" s="153">
        <f t="shared" si="12"/>
        <v>0.61677713415654956</v>
      </c>
      <c r="K66" s="644">
        <v>21269581.120000001</v>
      </c>
      <c r="L66" s="48">
        <v>0.69113267952562263</v>
      </c>
      <c r="M66" s="210">
        <f t="shared" si="15"/>
        <v>-7.4261309194978642E-2</v>
      </c>
      <c r="N66" s="609">
        <v>20307845.469999999</v>
      </c>
      <c r="O66" s="48">
        <v>0.65988209057280089</v>
      </c>
      <c r="P66" s="153">
        <f t="shared" si="16"/>
        <v>-7.8100911903383752E-2</v>
      </c>
    </row>
    <row r="67" spans="1:21" ht="14.1" customHeight="1" x14ac:dyDescent="0.25">
      <c r="A67" s="39" t="s">
        <v>86</v>
      </c>
      <c r="B67" s="40" t="s">
        <v>745</v>
      </c>
      <c r="C67" s="200">
        <v>58410922.509999998</v>
      </c>
      <c r="D67" s="206">
        <v>58748704.460000001</v>
      </c>
      <c r="E67" s="34">
        <v>40873030.640000001</v>
      </c>
      <c r="F67" s="280">
        <f t="shared" si="10"/>
        <v>0.69572650181297291</v>
      </c>
      <c r="G67" s="34">
        <v>37077370.229999997</v>
      </c>
      <c r="H67" s="280">
        <f t="shared" si="11"/>
        <v>0.63111809138267416</v>
      </c>
      <c r="I67" s="34">
        <v>30334378.989999998</v>
      </c>
      <c r="J67" s="178">
        <f t="shared" si="12"/>
        <v>0.51634124137415915</v>
      </c>
      <c r="K67" s="645">
        <v>38753475.649999999</v>
      </c>
      <c r="L67" s="280">
        <v>0.62408717902704847</v>
      </c>
      <c r="M67" s="211">
        <f t="shared" si="15"/>
        <v>-4.3250454104753366E-2</v>
      </c>
      <c r="N67" s="610">
        <v>32738524.539999999</v>
      </c>
      <c r="O67" s="280">
        <v>0.5272222189876381</v>
      </c>
      <c r="P67" s="178">
        <f t="shared" si="16"/>
        <v>-7.3434755651941797E-2</v>
      </c>
    </row>
    <row r="68" spans="1:21" ht="14.1" customHeight="1" x14ac:dyDescent="0.25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5534112.0800000001</v>
      </c>
      <c r="F68" s="280">
        <f t="shared" si="10"/>
        <v>0.76220035381384121</v>
      </c>
      <c r="G68" s="34">
        <v>5170633.22</v>
      </c>
      <c r="H68" s="280">
        <f t="shared" si="11"/>
        <v>0.71213925788897303</v>
      </c>
      <c r="I68" s="34">
        <v>4682932.3600000003</v>
      </c>
      <c r="J68" s="178">
        <f t="shared" si="12"/>
        <v>0.64496935553178869</v>
      </c>
      <c r="K68" s="645">
        <v>4397259.41</v>
      </c>
      <c r="L68" s="280">
        <v>0.58517508755137448</v>
      </c>
      <c r="M68" s="211">
        <f t="shared" si="15"/>
        <v>0.1758763215654815</v>
      </c>
      <c r="N68" s="610">
        <v>4219793.66</v>
      </c>
      <c r="O68" s="280">
        <v>0.56155843769954772</v>
      </c>
      <c r="P68" s="178">
        <f t="shared" si="16"/>
        <v>0.10975387360527966</v>
      </c>
      <c r="T68" s="254"/>
      <c r="U68" s="254"/>
    </row>
    <row r="69" spans="1:21" ht="14.1" customHeight="1" x14ac:dyDescent="0.25">
      <c r="A69" s="39" t="s">
        <v>88</v>
      </c>
      <c r="B69" s="40" t="s">
        <v>111</v>
      </c>
      <c r="C69" s="200">
        <v>3332924.07</v>
      </c>
      <c r="D69" s="206">
        <v>2409129.67</v>
      </c>
      <c r="E69" s="34">
        <v>1726480.71</v>
      </c>
      <c r="F69" s="280">
        <f t="shared" ref="F69:F80" si="17">+E69/D69</f>
        <v>0.71664083984321192</v>
      </c>
      <c r="G69" s="34">
        <v>1628948.21</v>
      </c>
      <c r="H69" s="280">
        <f t="shared" si="11"/>
        <v>0.67615630253725612</v>
      </c>
      <c r="I69" s="34">
        <v>1523728.2</v>
      </c>
      <c r="J69" s="178">
        <f t="shared" si="12"/>
        <v>0.63248077468573949</v>
      </c>
      <c r="K69" s="645">
        <v>1668053.31</v>
      </c>
      <c r="L69" s="280">
        <v>0.6977673396941857</v>
      </c>
      <c r="M69" s="211">
        <f t="shared" si="15"/>
        <v>-2.3443555290208362E-2</v>
      </c>
      <c r="N69" s="610">
        <v>1514211.64</v>
      </c>
      <c r="O69" s="280">
        <v>0.63341346553052913</v>
      </c>
      <c r="P69" s="178">
        <f t="shared" si="16"/>
        <v>6.2848281895389047E-3</v>
      </c>
      <c r="T69" s="254"/>
      <c r="U69" s="254"/>
    </row>
    <row r="70" spans="1:21" ht="14.1" customHeight="1" x14ac:dyDescent="0.25">
      <c r="A70" s="39" t="s">
        <v>89</v>
      </c>
      <c r="B70" s="40" t="s">
        <v>105</v>
      </c>
      <c r="C70" s="200">
        <v>15684736.65</v>
      </c>
      <c r="D70" s="206">
        <v>14994173.369999999</v>
      </c>
      <c r="E70" s="34">
        <v>11152168.560000001</v>
      </c>
      <c r="F70" s="280">
        <f t="shared" si="17"/>
        <v>0.74376681426886826</v>
      </c>
      <c r="G70" s="34">
        <v>9984021.1699999999</v>
      </c>
      <c r="H70" s="280">
        <f t="shared" si="11"/>
        <v>0.66586005934650605</v>
      </c>
      <c r="I70" s="34">
        <v>7561447.5999999996</v>
      </c>
      <c r="J70" s="178">
        <f t="shared" si="12"/>
        <v>0.50429239501317036</v>
      </c>
      <c r="K70" s="645">
        <v>9526487.3000000007</v>
      </c>
      <c r="L70" s="280">
        <v>0.64058583636152511</v>
      </c>
      <c r="M70" s="211">
        <f t="shared" si="15"/>
        <v>4.8027552611128677E-2</v>
      </c>
      <c r="N70" s="610">
        <v>7746924.5599999996</v>
      </c>
      <c r="O70" s="280">
        <v>0.5209233993832374</v>
      </c>
      <c r="P70" s="178">
        <f t="shared" si="16"/>
        <v>-2.3942011899493743E-2</v>
      </c>
      <c r="T70" s="254"/>
      <c r="U70" s="254"/>
    </row>
    <row r="71" spans="1:21" ht="14.1" customHeight="1" x14ac:dyDescent="0.25">
      <c r="A71" s="39" t="s">
        <v>90</v>
      </c>
      <c r="B71" s="40" t="s">
        <v>120</v>
      </c>
      <c r="C71" s="200">
        <v>39167636.100000001</v>
      </c>
      <c r="D71" s="206">
        <v>39022849.229999997</v>
      </c>
      <c r="E71" s="34">
        <v>33905103.520000003</v>
      </c>
      <c r="F71" s="280">
        <f t="shared" si="17"/>
        <v>0.86885258736910553</v>
      </c>
      <c r="G71" s="34">
        <v>29353221.899999999</v>
      </c>
      <c r="H71" s="280">
        <f t="shared" si="11"/>
        <v>0.7522060146606061</v>
      </c>
      <c r="I71" s="34">
        <v>19507605.59</v>
      </c>
      <c r="J71" s="178">
        <f t="shared" si="12"/>
        <v>0.49990213361978031</v>
      </c>
      <c r="K71" s="645">
        <v>24042885.789999999</v>
      </c>
      <c r="L71" s="280">
        <v>0.60932951217432196</v>
      </c>
      <c r="M71" s="211">
        <f t="shared" si="15"/>
        <v>0.22086933142645848</v>
      </c>
      <c r="N71" s="610">
        <v>17110902.129999999</v>
      </c>
      <c r="O71" s="280">
        <v>0.43364917750730064</v>
      </c>
      <c r="P71" s="178">
        <f t="shared" si="16"/>
        <v>0.14006879601034816</v>
      </c>
      <c r="T71" s="254"/>
      <c r="U71" s="254"/>
    </row>
    <row r="72" spans="1:21" ht="14.1" customHeight="1" x14ac:dyDescent="0.25">
      <c r="A72" s="39" t="s">
        <v>91</v>
      </c>
      <c r="B72" s="40" t="s">
        <v>488</v>
      </c>
      <c r="C72" s="200">
        <v>49281328.299999997</v>
      </c>
      <c r="D72" s="206">
        <v>52058574.170000002</v>
      </c>
      <c r="E72" s="34">
        <v>49321709.460000001</v>
      </c>
      <c r="F72" s="280">
        <f t="shared" si="17"/>
        <v>0.94742720572671424</v>
      </c>
      <c r="G72" s="34">
        <v>48879243.920000002</v>
      </c>
      <c r="H72" s="280">
        <f t="shared" si="11"/>
        <v>0.93892782695857691</v>
      </c>
      <c r="I72" s="34">
        <v>37558932.140000001</v>
      </c>
      <c r="J72" s="178">
        <f t="shared" si="12"/>
        <v>0.72147446868885301</v>
      </c>
      <c r="K72" s="645">
        <v>50294527.640000001</v>
      </c>
      <c r="L72" s="280">
        <v>0.87431507919776397</v>
      </c>
      <c r="M72" s="211">
        <f t="shared" si="15"/>
        <v>-2.8139914746398764E-2</v>
      </c>
      <c r="N72" s="610">
        <v>26908729.09</v>
      </c>
      <c r="O72" s="280">
        <v>0.46777867711244547</v>
      </c>
      <c r="P72" s="178">
        <f t="shared" si="16"/>
        <v>0.39578989458695402</v>
      </c>
    </row>
    <row r="73" spans="1:21" ht="14.1" customHeight="1" x14ac:dyDescent="0.25">
      <c r="A73" s="39" t="s">
        <v>92</v>
      </c>
      <c r="B73" s="40" t="s">
        <v>118</v>
      </c>
      <c r="C73" s="200">
        <v>44564324.299999997</v>
      </c>
      <c r="D73" s="206">
        <v>18933906.920000002</v>
      </c>
      <c r="E73" s="34">
        <v>11528.1</v>
      </c>
      <c r="F73" s="280">
        <f t="shared" si="17"/>
        <v>6.088600756678907E-4</v>
      </c>
      <c r="G73" s="34">
        <v>11528.1</v>
      </c>
      <c r="H73" s="280">
        <f t="shared" si="11"/>
        <v>6.088600756678907E-4</v>
      </c>
      <c r="I73" s="34">
        <v>11528.1</v>
      </c>
      <c r="J73" s="178">
        <f t="shared" si="12"/>
        <v>6.088600756678907E-4</v>
      </c>
      <c r="K73" s="645">
        <v>9410582.3200000003</v>
      </c>
      <c r="L73" s="280">
        <v>0.15233349155379142</v>
      </c>
      <c r="M73" s="211">
        <f t="shared" si="15"/>
        <v>-0.99877498547826316</v>
      </c>
      <c r="N73" s="610">
        <v>9410582.3200000003</v>
      </c>
      <c r="O73" s="280">
        <v>0.15233349155379142</v>
      </c>
      <c r="P73" s="178">
        <f t="shared" si="16"/>
        <v>-0.99877498547826316</v>
      </c>
    </row>
    <row r="74" spans="1:21" ht="14.1" customHeight="1" x14ac:dyDescent="0.25">
      <c r="A74" s="253">
        <v>931</v>
      </c>
      <c r="B74" s="40" t="s">
        <v>436</v>
      </c>
      <c r="C74" s="200">
        <v>5805408.6299999999</v>
      </c>
      <c r="D74" s="206">
        <v>5750047.5999999996</v>
      </c>
      <c r="E74" s="34">
        <v>4172522.75</v>
      </c>
      <c r="F74" s="280">
        <f t="shared" si="17"/>
        <v>0.72565012331376189</v>
      </c>
      <c r="G74" s="34">
        <v>4094092.39</v>
      </c>
      <c r="H74" s="280">
        <f t="shared" si="11"/>
        <v>0.71201017362012797</v>
      </c>
      <c r="I74" s="34">
        <v>3824753.04</v>
      </c>
      <c r="J74" s="178">
        <f t="shared" si="12"/>
        <v>0.66516893529716181</v>
      </c>
      <c r="K74" s="645">
        <v>3357166.25</v>
      </c>
      <c r="L74" s="280">
        <v>0.69287382018430166</v>
      </c>
      <c r="M74" s="211">
        <f t="shared" si="15"/>
        <v>0.21950838448944854</v>
      </c>
      <c r="N74" s="610">
        <v>3054361.55</v>
      </c>
      <c r="O74" s="280">
        <v>0.63037901544868225</v>
      </c>
      <c r="P74" s="178">
        <f t="shared" si="16"/>
        <v>0.25222668547539828</v>
      </c>
    </row>
    <row r="75" spans="1:21" ht="14.1" customHeight="1" x14ac:dyDescent="0.25">
      <c r="A75" s="39" t="s">
        <v>93</v>
      </c>
      <c r="B75" s="40" t="s">
        <v>107</v>
      </c>
      <c r="C75" s="200">
        <v>30138334.93</v>
      </c>
      <c r="D75" s="206">
        <v>30342042.02</v>
      </c>
      <c r="E75" s="34">
        <v>28151156.629999999</v>
      </c>
      <c r="F75" s="280">
        <f t="shared" si="17"/>
        <v>0.92779373950652777</v>
      </c>
      <c r="G75" s="34">
        <v>28065451.579999998</v>
      </c>
      <c r="H75" s="280">
        <f t="shared" si="11"/>
        <v>0.92496910924784215</v>
      </c>
      <c r="I75" s="34">
        <v>17570052.960000001</v>
      </c>
      <c r="J75" s="178">
        <f t="shared" si="12"/>
        <v>0.57906626549454632</v>
      </c>
      <c r="K75" s="645">
        <v>28454365.600000001</v>
      </c>
      <c r="L75" s="280">
        <v>0.94913751617129727</v>
      </c>
      <c r="M75" s="211">
        <f t="shared" si="15"/>
        <v>-1.3667991248415112E-2</v>
      </c>
      <c r="N75" s="610">
        <v>19965920.300000001</v>
      </c>
      <c r="O75" s="280">
        <v>0.66599284861989971</v>
      </c>
      <c r="P75" s="178">
        <f t="shared" si="16"/>
        <v>-0.11999784152198578</v>
      </c>
    </row>
    <row r="76" spans="1:21" ht="14.1" customHeight="1" x14ac:dyDescent="0.25">
      <c r="A76" s="39" t="s">
        <v>94</v>
      </c>
      <c r="B76" s="40" t="s">
        <v>108</v>
      </c>
      <c r="C76" s="200">
        <v>113561295.48999999</v>
      </c>
      <c r="D76" s="206">
        <v>117102119.5</v>
      </c>
      <c r="E76" s="34">
        <v>99975831.010000005</v>
      </c>
      <c r="F76" s="280">
        <f t="shared" si="17"/>
        <v>0.85374911604396708</v>
      </c>
      <c r="G76" s="34">
        <v>97182806.209999993</v>
      </c>
      <c r="H76" s="280">
        <f t="shared" si="11"/>
        <v>0.82989792691156195</v>
      </c>
      <c r="I76" s="34">
        <v>55457237.159999996</v>
      </c>
      <c r="J76" s="178">
        <f t="shared" si="12"/>
        <v>0.47358013157054768</v>
      </c>
      <c r="K76" s="645">
        <v>86435336.670000002</v>
      </c>
      <c r="L76" s="280">
        <v>0.83818230911988034</v>
      </c>
      <c r="M76" s="211">
        <f t="shared" si="15"/>
        <v>0.12434115437107129</v>
      </c>
      <c r="N76" s="610">
        <v>44848422.549999997</v>
      </c>
      <c r="O76" s="280">
        <v>0.43490493381036666</v>
      </c>
      <c r="P76" s="178">
        <f t="shared" si="16"/>
        <v>0.23654822191733915</v>
      </c>
    </row>
    <row r="77" spans="1:21" ht="14.1" customHeight="1" x14ac:dyDescent="0.25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535531.34</v>
      </c>
      <c r="F77" s="280">
        <f t="shared" si="17"/>
        <v>0.66830057739413085</v>
      </c>
      <c r="G77" s="34">
        <v>535531.34</v>
      </c>
      <c r="H77" s="280">
        <f t="shared" si="11"/>
        <v>0.66830057739413085</v>
      </c>
      <c r="I77" s="34">
        <v>535531.34</v>
      </c>
      <c r="J77" s="178">
        <f t="shared" si="12"/>
        <v>0.66830057739413085</v>
      </c>
      <c r="K77" s="645">
        <v>611647.24</v>
      </c>
      <c r="L77" s="280">
        <v>0.73048221012513226</v>
      </c>
      <c r="M77" s="211">
        <f t="shared" si="15"/>
        <v>-0.12444411585998494</v>
      </c>
      <c r="N77" s="610">
        <v>611647.24</v>
      </c>
      <c r="O77" s="280">
        <v>0.73048221012513226</v>
      </c>
      <c r="P77" s="178">
        <f t="shared" si="16"/>
        <v>-0.12444411585998494</v>
      </c>
    </row>
    <row r="78" spans="1:21" ht="14.1" customHeight="1" x14ac:dyDescent="0.25">
      <c r="A78" s="250">
        <v>943</v>
      </c>
      <c r="B78" s="42" t="s">
        <v>740</v>
      </c>
      <c r="C78" s="200">
        <v>98287346.239999995</v>
      </c>
      <c r="D78" s="206">
        <v>97902507.239999995</v>
      </c>
      <c r="E78" s="34">
        <v>97687346.230000004</v>
      </c>
      <c r="F78" s="390">
        <f t="shared" si="17"/>
        <v>0.99780229315810531</v>
      </c>
      <c r="G78" s="34">
        <v>97687346.230000004</v>
      </c>
      <c r="H78" s="390">
        <f t="shared" si="11"/>
        <v>0.99780229315810531</v>
      </c>
      <c r="I78" s="34">
        <v>64261061.18</v>
      </c>
      <c r="J78" s="392">
        <f t="shared" si="12"/>
        <v>0.65637809481701281</v>
      </c>
      <c r="K78" s="647">
        <v>84274401.209999993</v>
      </c>
      <c r="L78" s="78">
        <v>0.7444128037021408</v>
      </c>
      <c r="M78" s="516">
        <f t="shared" si="15"/>
        <v>0.15915799848374879</v>
      </c>
      <c r="N78" s="612">
        <v>63962384.490000002</v>
      </c>
      <c r="O78" s="78">
        <v>0.56499265834030399</v>
      </c>
      <c r="P78" s="392">
        <f t="shared" si="16"/>
        <v>4.6695677839636573E-3</v>
      </c>
    </row>
    <row r="79" spans="1:21" ht="14.1" customHeight="1" thickBot="1" x14ac:dyDescent="0.3">
      <c r="A79" s="18">
        <v>9</v>
      </c>
      <c r="B79" s="2" t="s">
        <v>534</v>
      </c>
      <c r="C79" s="201">
        <f>SUBTOTAL(9,C66:C78)</f>
        <v>496436210.86000007</v>
      </c>
      <c r="D79" s="207">
        <f>SUM(D66:D78)</f>
        <v>475680304.98000002</v>
      </c>
      <c r="E79" s="524">
        <f>SUM(E66:E78)</f>
        <v>393845520.10000002</v>
      </c>
      <c r="F79" s="530">
        <f t="shared" si="17"/>
        <v>0.8279626378825149</v>
      </c>
      <c r="G79" s="203">
        <f>SUM(G66:G78)</f>
        <v>379360268.67999995</v>
      </c>
      <c r="H79" s="530">
        <f t="shared" si="11"/>
        <v>0.7975109852318778</v>
      </c>
      <c r="I79" s="203">
        <f>SUM(I66:I78)</f>
        <v>261550972.88</v>
      </c>
      <c r="J79" s="531">
        <f t="shared" si="12"/>
        <v>0.54984612594165927</v>
      </c>
      <c r="K79" s="152">
        <f>SUM(K66:K78)</f>
        <v>362495769.50999993</v>
      </c>
      <c r="L79" s="90">
        <v>0.68034536606971108</v>
      </c>
      <c r="M79" s="555">
        <f>+G79/K79-1</f>
        <v>4.6523299272696272E-2</v>
      </c>
      <c r="N79" s="562">
        <f>SUM(N66:N78)</f>
        <v>252400249.54000002</v>
      </c>
      <c r="O79" s="90">
        <v>0.4737140529984602</v>
      </c>
      <c r="P79" s="531">
        <f>+I79/N79-1</f>
        <v>3.6254810986428021E-2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2754787665.5800004</v>
      </c>
      <c r="E80" s="209">
        <f>SUM(E6,E27,E33,E57,E65,E79)</f>
        <v>2149294939.48</v>
      </c>
      <c r="F80" s="181">
        <f t="shared" si="17"/>
        <v>0.78020348585649768</v>
      </c>
      <c r="G80" s="209">
        <f>SUM(G6,G27,G33,G57,G65,G79)</f>
        <v>2087759899.8299999</v>
      </c>
      <c r="H80" s="181">
        <f t="shared" si="11"/>
        <v>0.75786599668487964</v>
      </c>
      <c r="I80" s="209">
        <f>SUM(I6,I27,I33,I57,I65,I79)</f>
        <v>1364324838.48</v>
      </c>
      <c r="J80" s="173">
        <f t="shared" si="12"/>
        <v>0.49525589776907591</v>
      </c>
      <c r="K80" s="154">
        <f>K6+K27+K33+K57+K65+K79</f>
        <v>2109222380.3000004</v>
      </c>
      <c r="L80" s="181">
        <v>0.76725742023040866</v>
      </c>
      <c r="M80" s="603">
        <f>+G80/K80-1</f>
        <v>-1.0175541787560527E-2</v>
      </c>
      <c r="N80" s="570">
        <f>N6+N27+N33+N57+N65+N79</f>
        <v>1524472939.1299999</v>
      </c>
      <c r="O80" s="181">
        <v>0.55454710959476361</v>
      </c>
      <c r="P80" s="175">
        <f>+I80/N80-1</f>
        <v>-0.10505145518778092</v>
      </c>
      <c r="R80" s="255"/>
      <c r="S80" s="46" t="s">
        <v>148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757</v>
      </c>
      <c r="C82" s="164" t="s">
        <v>765</v>
      </c>
      <c r="D82" s="754" t="s">
        <v>782</v>
      </c>
      <c r="E82" s="752"/>
      <c r="F82" s="752"/>
      <c r="G82" s="752"/>
      <c r="H82" s="752"/>
      <c r="I82" s="752"/>
      <c r="J82" s="753"/>
      <c r="K82" s="763" t="s">
        <v>783</v>
      </c>
      <c r="L82" s="761"/>
      <c r="M82" s="761"/>
      <c r="N82" s="761"/>
      <c r="O82" s="761"/>
      <c r="P82" s="764"/>
    </row>
    <row r="83" spans="1:19" ht="12.75" customHeight="1" x14ac:dyDescent="0.25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5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7" t="s">
        <v>764</v>
      </c>
      <c r="N84" s="558" t="s">
        <v>17</v>
      </c>
      <c r="O84" s="89" t="s">
        <v>18</v>
      </c>
      <c r="P84" s="606" t="s">
        <v>764</v>
      </c>
    </row>
    <row r="85" spans="1:19" ht="14.1" customHeight="1" x14ac:dyDescent="0.25">
      <c r="A85" s="17" t="s">
        <v>546</v>
      </c>
      <c r="B85" s="13" t="s">
        <v>547</v>
      </c>
      <c r="C85" s="525">
        <v>155185000</v>
      </c>
      <c r="D85" s="512">
        <v>155185000</v>
      </c>
      <c r="E85" s="180">
        <v>51958481.590000004</v>
      </c>
      <c r="F85" s="78">
        <f t="shared" ref="F85:F117" si="18">+E85/D85</f>
        <v>0.33481639069497698</v>
      </c>
      <c r="G85" s="180">
        <v>51958481.590000004</v>
      </c>
      <c r="H85" s="78">
        <f t="shared" ref="H85:H117" si="19">+G85/D85</f>
        <v>0.33481639069497698</v>
      </c>
      <c r="I85" s="180">
        <v>51958481.590000004</v>
      </c>
      <c r="J85" s="172">
        <f t="shared" ref="J85:J117" si="20">+I85/D85</f>
        <v>0.33481639069497698</v>
      </c>
      <c r="K85" s="608">
        <v>162718927.87</v>
      </c>
      <c r="L85" s="78">
        <v>0.86566384037686561</v>
      </c>
      <c r="M85" s="245">
        <f>+G85/K85-1</f>
        <v>-0.68068569360590392</v>
      </c>
      <c r="N85" s="608">
        <v>162718927.87</v>
      </c>
      <c r="O85" s="78">
        <v>0.86566384037686561</v>
      </c>
      <c r="P85" s="245">
        <f>+I85/N85-1</f>
        <v>-0.68068569360590392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51958481.590000004</v>
      </c>
      <c r="F86" s="90">
        <f t="shared" si="18"/>
        <v>0.33481639069497698</v>
      </c>
      <c r="G86" s="203">
        <f>SUBTOTAL(9,G85:G85)</f>
        <v>51958481.590000004</v>
      </c>
      <c r="H86" s="90">
        <f t="shared" si="19"/>
        <v>0.33481639069497698</v>
      </c>
      <c r="I86" s="203">
        <f>SUBTOTAL(9,I85:I85)</f>
        <v>51958481.590000004</v>
      </c>
      <c r="J86" s="170">
        <f t="shared" si="20"/>
        <v>0.33481639069497698</v>
      </c>
      <c r="K86" s="562">
        <f>SUBTOTAL(9,K85:K85)</f>
        <v>162718927.87</v>
      </c>
      <c r="L86" s="90">
        <v>0.86566384037686561</v>
      </c>
      <c r="M86" s="213">
        <f>+G86/K86-1</f>
        <v>-0.68068569360590392</v>
      </c>
      <c r="N86" s="562">
        <f>SUBTOTAL(9,N85:N85)</f>
        <v>162718927.87</v>
      </c>
      <c r="O86" s="90">
        <v>0.86566384037686561</v>
      </c>
      <c r="P86" s="213">
        <f>+I86/N86-1</f>
        <v>-0.68068569360590392</v>
      </c>
    </row>
    <row r="87" spans="1:19" ht="14.1" customHeight="1" x14ac:dyDescent="0.25">
      <c r="A87" s="37" t="s">
        <v>548</v>
      </c>
      <c r="B87" s="38" t="s">
        <v>549</v>
      </c>
      <c r="C87" s="198">
        <v>8321253.9400000004</v>
      </c>
      <c r="D87" s="204">
        <v>21709877.760000002</v>
      </c>
      <c r="E87" s="30">
        <v>7640854.4000000004</v>
      </c>
      <c r="F87" s="48">
        <f t="shared" si="18"/>
        <v>0.35195289832898624</v>
      </c>
      <c r="G87" s="30">
        <v>7214076.6200000001</v>
      </c>
      <c r="H87" s="48">
        <f t="shared" si="19"/>
        <v>0.33229466788117001</v>
      </c>
      <c r="I87" s="30">
        <v>5731837.2800000003</v>
      </c>
      <c r="J87" s="153">
        <f t="shared" si="20"/>
        <v>0.26401978598704001</v>
      </c>
      <c r="K87" s="609">
        <v>6945169.21</v>
      </c>
      <c r="L87" s="48">
        <v>0.67405047435236176</v>
      </c>
      <c r="M87" s="210">
        <f>+G87/K87-1</f>
        <v>3.8718626122573596E-2</v>
      </c>
      <c r="N87" s="609">
        <v>6146493.9699999997</v>
      </c>
      <c r="O87" s="48">
        <v>0.59653653508068116</v>
      </c>
      <c r="P87" s="210">
        <f>+I87/N87-1</f>
        <v>-6.7462311363822858E-2</v>
      </c>
    </row>
    <row r="88" spans="1:19" ht="14.1" customHeight="1" x14ac:dyDescent="0.25">
      <c r="A88" s="39" t="s">
        <v>550</v>
      </c>
      <c r="B88" s="40" t="s">
        <v>551</v>
      </c>
      <c r="C88" s="199">
        <v>168947008.41</v>
      </c>
      <c r="D88" s="205">
        <v>168373555.40000001</v>
      </c>
      <c r="E88" s="32">
        <v>118596262</v>
      </c>
      <c r="F88" s="280">
        <f t="shared" si="18"/>
        <v>0.70436394669135793</v>
      </c>
      <c r="G88" s="32">
        <v>117213086.40000001</v>
      </c>
      <c r="H88" s="280">
        <f t="shared" si="19"/>
        <v>0.69614902483671137</v>
      </c>
      <c r="I88" s="32">
        <v>112458128.8</v>
      </c>
      <c r="J88" s="178">
        <f t="shared" si="20"/>
        <v>0.66790849984034961</v>
      </c>
      <c r="K88" s="610">
        <v>134491660.59</v>
      </c>
      <c r="L88" s="280">
        <v>0.69283433209074263</v>
      </c>
      <c r="M88" s="443">
        <f>+G88/K88-1</f>
        <v>-0.12847320134349449</v>
      </c>
      <c r="N88" s="610">
        <v>129529643.08</v>
      </c>
      <c r="O88" s="280">
        <v>0.66727247887038732</v>
      </c>
      <c r="P88" s="443">
        <f>+I88/N88-1</f>
        <v>-0.13179619640776985</v>
      </c>
      <c r="Q88" s="53"/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662424.53</v>
      </c>
      <c r="E89" s="32">
        <v>586574.61</v>
      </c>
      <c r="F89" s="280">
        <f t="shared" si="18"/>
        <v>0.88549651082516523</v>
      </c>
      <c r="G89" s="32">
        <v>517387.61</v>
      </c>
      <c r="H89" s="280">
        <f t="shared" si="19"/>
        <v>0.78105140520686933</v>
      </c>
      <c r="I89" s="32">
        <v>422880.88</v>
      </c>
      <c r="J89" s="178">
        <f t="shared" si="20"/>
        <v>0.63838348498356479</v>
      </c>
      <c r="K89" s="610">
        <v>463550.87</v>
      </c>
      <c r="L89" s="280">
        <v>0.71025118605443449</v>
      </c>
      <c r="M89" s="664">
        <f>+G89/K89-1</f>
        <v>0.11613987478871524</v>
      </c>
      <c r="N89" s="610">
        <v>331913.44</v>
      </c>
      <c r="O89" s="280">
        <v>0.50855672955032394</v>
      </c>
      <c r="P89" s="588">
        <f>+I89/N89-1</f>
        <v>0.27406976951581119</v>
      </c>
    </row>
    <row r="90" spans="1:19" ht="14.1" customHeight="1" x14ac:dyDescent="0.25">
      <c r="A90" s="39" t="s">
        <v>554</v>
      </c>
      <c r="B90" s="40" t="s">
        <v>555</v>
      </c>
      <c r="C90" s="199">
        <v>60818645.530000001</v>
      </c>
      <c r="D90" s="205">
        <v>58256595.460000001</v>
      </c>
      <c r="E90" s="32">
        <v>2009795.64</v>
      </c>
      <c r="F90" s="280">
        <f t="shared" si="18"/>
        <v>3.4499023228708257E-2</v>
      </c>
      <c r="G90" s="32">
        <v>1610681.88</v>
      </c>
      <c r="H90" s="280">
        <f t="shared" si="19"/>
        <v>2.7648060572058701E-2</v>
      </c>
      <c r="I90" s="32">
        <v>766840.81</v>
      </c>
      <c r="J90" s="178">
        <f t="shared" si="20"/>
        <v>1.3163158676626175E-2</v>
      </c>
      <c r="K90" s="610">
        <v>0</v>
      </c>
      <c r="L90" s="280">
        <v>0</v>
      </c>
      <c r="M90" s="664" t="s">
        <v>129</v>
      </c>
      <c r="N90" s="610">
        <v>0</v>
      </c>
      <c r="O90" s="280">
        <v>0</v>
      </c>
      <c r="P90" s="588" t="s">
        <v>129</v>
      </c>
    </row>
    <row r="91" spans="1:19" ht="14.1" customHeight="1" x14ac:dyDescent="0.25">
      <c r="A91" s="39">
        <v>1341</v>
      </c>
      <c r="B91" s="40" t="s">
        <v>556</v>
      </c>
      <c r="C91" s="199">
        <v>14713359.07</v>
      </c>
      <c r="D91" s="205">
        <v>16098299.9</v>
      </c>
      <c r="E91" s="32">
        <v>15135069.890000001</v>
      </c>
      <c r="F91" s="280">
        <f t="shared" si="18"/>
        <v>0.94016573079247956</v>
      </c>
      <c r="G91" s="32">
        <v>14597922.08</v>
      </c>
      <c r="H91" s="280">
        <f t="shared" si="19"/>
        <v>0.90679898937651171</v>
      </c>
      <c r="I91" s="32">
        <v>5347030.84</v>
      </c>
      <c r="J91" s="178">
        <f t="shared" si="20"/>
        <v>0.33214879044463569</v>
      </c>
      <c r="K91" s="610">
        <v>15913520.84</v>
      </c>
      <c r="L91" s="280">
        <v>0.77833511507450859</v>
      </c>
      <c r="M91" s="210">
        <f t="shared" ref="M91:M120" si="21">+G91/K91-1</f>
        <v>-8.2671759017220681E-2</v>
      </c>
      <c r="N91" s="610">
        <v>5725448.5700000003</v>
      </c>
      <c r="O91" s="280">
        <v>0.2800334204095673</v>
      </c>
      <c r="P91" s="210">
        <f t="shared" ref="P91:P120" si="22">+I91/N91-1</f>
        <v>-6.6093988160651707E-2</v>
      </c>
      <c r="R91" s="275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286106.03000000003</v>
      </c>
      <c r="F92" s="280">
        <f t="shared" si="18"/>
        <v>0.87876817665712281</v>
      </c>
      <c r="G92" s="32">
        <v>286106.03000000003</v>
      </c>
      <c r="H92" s="280">
        <f t="shared" si="19"/>
        <v>0.87876817665712281</v>
      </c>
      <c r="I92" s="32">
        <v>286106.03000000003</v>
      </c>
      <c r="J92" s="178">
        <f t="shared" si="20"/>
        <v>0.87876817665712281</v>
      </c>
      <c r="K92" s="610">
        <v>332427.62</v>
      </c>
      <c r="L92" s="280">
        <v>0.78620160540664985</v>
      </c>
      <c r="M92" s="210">
        <f t="shared" si="21"/>
        <v>-0.13934338548644054</v>
      </c>
      <c r="N92" s="610">
        <v>332427.62</v>
      </c>
      <c r="O92" s="280">
        <v>0.78620160540664985</v>
      </c>
      <c r="P92" s="210">
        <f t="shared" si="22"/>
        <v>-0.13934338548644054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41868192.539999999</v>
      </c>
      <c r="D93" s="205">
        <v>42848156.369999997</v>
      </c>
      <c r="E93" s="32">
        <v>31210600.079999998</v>
      </c>
      <c r="F93" s="280">
        <f t="shared" si="18"/>
        <v>0.72840006955006353</v>
      </c>
      <c r="G93" s="32">
        <v>30863217.260000002</v>
      </c>
      <c r="H93" s="280">
        <f t="shared" si="19"/>
        <v>0.72029277044014861</v>
      </c>
      <c r="I93" s="32">
        <v>28585001.649999999</v>
      </c>
      <c r="J93" s="178">
        <f t="shared" si="20"/>
        <v>0.66712325737341871</v>
      </c>
      <c r="K93" s="610">
        <v>33504808.530000001</v>
      </c>
      <c r="L93" s="280">
        <v>0.70135582778502248</v>
      </c>
      <c r="M93" s="211">
        <f t="shared" si="21"/>
        <v>-7.8842153884709831E-2</v>
      </c>
      <c r="N93" s="610">
        <v>30740120.449999999</v>
      </c>
      <c r="O93" s="280">
        <v>0.64348263936851235</v>
      </c>
      <c r="P93" s="211">
        <f t="shared" si="22"/>
        <v>-7.0107688859104678E-2</v>
      </c>
      <c r="R93" s="275"/>
      <c r="S93" s="275"/>
    </row>
    <row r="94" spans="1:19" ht="14.1" customHeight="1" x14ac:dyDescent="0.25">
      <c r="A94" s="39" t="s">
        <v>559</v>
      </c>
      <c r="B94" s="40" t="s">
        <v>560</v>
      </c>
      <c r="C94" s="199">
        <v>27281948.489999998</v>
      </c>
      <c r="D94" s="205">
        <v>30616983.84</v>
      </c>
      <c r="E94" s="32">
        <v>25713263.010000002</v>
      </c>
      <c r="F94" s="280">
        <f t="shared" si="18"/>
        <v>0.83983658038864495</v>
      </c>
      <c r="G94" s="32">
        <v>23131741.18</v>
      </c>
      <c r="H94" s="280">
        <f t="shared" si="19"/>
        <v>0.75551991995302958</v>
      </c>
      <c r="I94" s="32">
        <v>17582578.07</v>
      </c>
      <c r="J94" s="178">
        <f t="shared" si="20"/>
        <v>0.5742753160103572</v>
      </c>
      <c r="K94" s="610">
        <v>18853512.109999999</v>
      </c>
      <c r="L94" s="280">
        <v>0.80786685389597623</v>
      </c>
      <c r="M94" s="211">
        <f t="shared" si="21"/>
        <v>0.22691947500491461</v>
      </c>
      <c r="N94" s="610">
        <v>15871447.369999999</v>
      </c>
      <c r="O94" s="280">
        <v>0.68008635095508818</v>
      </c>
      <c r="P94" s="211">
        <f t="shared" si="22"/>
        <v>0.10781188760606408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10010221.359999999</v>
      </c>
      <c r="E95" s="32">
        <v>7447712.54</v>
      </c>
      <c r="F95" s="280">
        <f t="shared" si="18"/>
        <v>0.74401077380370739</v>
      </c>
      <c r="G95" s="32">
        <v>7347767.1699999999</v>
      </c>
      <c r="H95" s="280">
        <f t="shared" si="19"/>
        <v>0.73402644214852808</v>
      </c>
      <c r="I95" s="32">
        <v>7027288.5800000001</v>
      </c>
      <c r="J95" s="178">
        <f t="shared" si="20"/>
        <v>0.70201130697073821</v>
      </c>
      <c r="K95" s="610">
        <v>7460280.7000000002</v>
      </c>
      <c r="L95" s="280">
        <v>0.68681009610194166</v>
      </c>
      <c r="M95" s="211">
        <f t="shared" si="21"/>
        <v>-1.5081675143939322E-2</v>
      </c>
      <c r="N95" s="610">
        <v>7193836.0599999996</v>
      </c>
      <c r="O95" s="280">
        <v>0.66228060771362307</v>
      </c>
      <c r="P95" s="211">
        <f t="shared" si="22"/>
        <v>-2.3151414434651407E-2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21055570.43</v>
      </c>
      <c r="D96" s="205">
        <v>50043505.82</v>
      </c>
      <c r="E96" s="32">
        <v>22480898.850000001</v>
      </c>
      <c r="F96" s="280">
        <f t="shared" si="18"/>
        <v>0.44922709713545805</v>
      </c>
      <c r="G96" s="32">
        <v>22480898.850000001</v>
      </c>
      <c r="H96" s="280">
        <f t="shared" si="19"/>
        <v>0.44922709713545805</v>
      </c>
      <c r="I96" s="32">
        <v>15803746.34</v>
      </c>
      <c r="J96" s="178">
        <f t="shared" si="20"/>
        <v>0.31580014391565664</v>
      </c>
      <c r="K96" s="610">
        <v>43546807.100000001</v>
      </c>
      <c r="L96" s="280">
        <v>0.68997606264427713</v>
      </c>
      <c r="M96" s="211">
        <f t="shared" si="21"/>
        <v>-0.48375322217366423</v>
      </c>
      <c r="N96" s="610">
        <v>43546807.100000001</v>
      </c>
      <c r="O96" s="280">
        <v>0.68997606264427713</v>
      </c>
      <c r="P96" s="211">
        <f t="shared" si="22"/>
        <v>-0.6370859910875073</v>
      </c>
      <c r="R96" s="276"/>
    </row>
    <row r="97" spans="1:19" ht="14.1" customHeight="1" x14ac:dyDescent="0.25">
      <c r="A97" s="39" t="s">
        <v>565</v>
      </c>
      <c r="B97" s="40" t="s">
        <v>566</v>
      </c>
      <c r="C97" s="199">
        <v>173426660.56</v>
      </c>
      <c r="D97" s="205">
        <v>204033949</v>
      </c>
      <c r="E97" s="32">
        <v>143907255.80000001</v>
      </c>
      <c r="F97" s="280">
        <f t="shared" si="18"/>
        <v>0.7053103491125392</v>
      </c>
      <c r="G97" s="32">
        <v>141134939.09999999</v>
      </c>
      <c r="H97" s="280">
        <f t="shared" si="19"/>
        <v>0.69172282255831841</v>
      </c>
      <c r="I97" s="32">
        <v>100244568</v>
      </c>
      <c r="J97" s="178">
        <f t="shared" si="20"/>
        <v>0.49131317847501937</v>
      </c>
      <c r="K97" s="610">
        <v>125769683.79000001</v>
      </c>
      <c r="L97" s="280">
        <v>0.62850485849072169</v>
      </c>
      <c r="M97" s="211">
        <f t="shared" si="21"/>
        <v>0.1221697856508539</v>
      </c>
      <c r="N97" s="610">
        <v>104889436.27</v>
      </c>
      <c r="O97" s="280">
        <v>0.52416065870151707</v>
      </c>
      <c r="P97" s="211">
        <f t="shared" si="22"/>
        <v>-4.4283470625616328E-2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1012867.47</v>
      </c>
      <c r="E98" s="32">
        <v>1012798.87</v>
      </c>
      <c r="F98" s="280">
        <f t="shared" si="18"/>
        <v>0.99993227149451258</v>
      </c>
      <c r="G98" s="32">
        <v>679048.38</v>
      </c>
      <c r="H98" s="280">
        <f t="shared" si="19"/>
        <v>0.6704217482668291</v>
      </c>
      <c r="I98" s="32">
        <v>436148.59</v>
      </c>
      <c r="J98" s="178">
        <f t="shared" si="20"/>
        <v>0.43060775759734887</v>
      </c>
      <c r="K98" s="610">
        <v>2164792.5</v>
      </c>
      <c r="L98" s="280">
        <v>0.80576831015261241</v>
      </c>
      <c r="M98" s="211">
        <f t="shared" si="21"/>
        <v>-0.68632172367559474</v>
      </c>
      <c r="N98" s="610">
        <v>1248386.19</v>
      </c>
      <c r="O98" s="280">
        <v>0.4646681059427904</v>
      </c>
      <c r="P98" s="211">
        <f t="shared" si="22"/>
        <v>-0.65063007465662526</v>
      </c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156435.57</v>
      </c>
      <c r="F99" s="280">
        <f t="shared" si="18"/>
        <v>0.45390864449738133</v>
      </c>
      <c r="G99" s="32">
        <v>116719.36</v>
      </c>
      <c r="H99" s="280">
        <f t="shared" si="19"/>
        <v>0.33866930957071889</v>
      </c>
      <c r="I99" s="32">
        <v>74953.789999999994</v>
      </c>
      <c r="J99" s="178">
        <f t="shared" si="20"/>
        <v>0.21748361462064777</v>
      </c>
      <c r="K99" s="610">
        <v>228174.25</v>
      </c>
      <c r="L99" s="280">
        <v>0.53864025624606393</v>
      </c>
      <c r="M99" s="211">
        <f t="shared" si="21"/>
        <v>-0.4884639261441639</v>
      </c>
      <c r="N99" s="610">
        <v>160577.60000000001</v>
      </c>
      <c r="O99" s="280">
        <v>0.37906801320209421</v>
      </c>
      <c r="P99" s="211">
        <f t="shared" si="22"/>
        <v>-0.53322387431372742</v>
      </c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7733227.4699999997</v>
      </c>
      <c r="F100" s="280">
        <f t="shared" si="18"/>
        <v>0.965672783381748</v>
      </c>
      <c r="G100" s="32">
        <v>7733227.4699999997</v>
      </c>
      <c r="H100" s="280">
        <f t="shared" si="19"/>
        <v>0.965672783381748</v>
      </c>
      <c r="I100" s="32">
        <v>4745291.4400000004</v>
      </c>
      <c r="J100" s="178">
        <f t="shared" si="20"/>
        <v>0.59255967971964796</v>
      </c>
      <c r="K100" s="610">
        <v>7562307.9699999997</v>
      </c>
      <c r="L100" s="280">
        <v>0.91871576250439591</v>
      </c>
      <c r="M100" s="211">
        <f t="shared" si="21"/>
        <v>2.2601499526076596E-2</v>
      </c>
      <c r="N100" s="610">
        <v>4574371.9400000004</v>
      </c>
      <c r="O100" s="280">
        <v>0.55572288532912173</v>
      </c>
      <c r="P100" s="211">
        <f t="shared" si="22"/>
        <v>3.7364582994534601E-2</v>
      </c>
    </row>
    <row r="101" spans="1:19" ht="14.1" customHeight="1" x14ac:dyDescent="0.25">
      <c r="A101" s="39">
        <v>1521</v>
      </c>
      <c r="B101" s="40" t="s">
        <v>573</v>
      </c>
      <c r="C101" s="199">
        <v>32800946.870000001</v>
      </c>
      <c r="D101" s="205">
        <v>21950815.489999998</v>
      </c>
      <c r="E101" s="32">
        <v>16258634.109999999</v>
      </c>
      <c r="F101" s="280">
        <f t="shared" si="18"/>
        <v>0.74068474209565693</v>
      </c>
      <c r="G101" s="32">
        <v>16258634.109999999</v>
      </c>
      <c r="H101" s="280">
        <f t="shared" si="19"/>
        <v>0.74068474209565693</v>
      </c>
      <c r="I101" s="32">
        <v>6569470.1100000003</v>
      </c>
      <c r="J101" s="178">
        <f t="shared" si="20"/>
        <v>0.29928136897660201</v>
      </c>
      <c r="K101" s="610">
        <v>13134310.75</v>
      </c>
      <c r="L101" s="280">
        <v>0.71356469555613566</v>
      </c>
      <c r="M101" s="211">
        <f t="shared" si="21"/>
        <v>0.23787493835563467</v>
      </c>
      <c r="N101" s="610">
        <v>10800296.75</v>
      </c>
      <c r="O101" s="280">
        <v>0.58676169682749979</v>
      </c>
      <c r="P101" s="211">
        <f t="shared" si="22"/>
        <v>-0.39173244383308259</v>
      </c>
    </row>
    <row r="102" spans="1:19" ht="14.1" customHeight="1" x14ac:dyDescent="0.25">
      <c r="A102" s="39" t="s">
        <v>574</v>
      </c>
      <c r="B102" s="40" t="s">
        <v>575</v>
      </c>
      <c r="C102" s="199">
        <v>17147962.52</v>
      </c>
      <c r="D102" s="205">
        <v>29841787.010000002</v>
      </c>
      <c r="E102" s="32">
        <v>29789372.48</v>
      </c>
      <c r="F102" s="280">
        <f t="shared" si="18"/>
        <v>0.99824358608341934</v>
      </c>
      <c r="G102" s="32">
        <v>29715030.07</v>
      </c>
      <c r="H102" s="280">
        <f t="shared" si="19"/>
        <v>0.99575236764616259</v>
      </c>
      <c r="I102" s="32">
        <v>7039899.5800000001</v>
      </c>
      <c r="J102" s="178">
        <f t="shared" si="20"/>
        <v>0.23590744004844366</v>
      </c>
      <c r="K102" s="608">
        <v>20337298.940000001</v>
      </c>
      <c r="L102" s="280">
        <v>0.99261515284827262</v>
      </c>
      <c r="M102" s="211">
        <f t="shared" si="21"/>
        <v>0.4611099614391565</v>
      </c>
      <c r="N102" s="608">
        <v>14687043.84</v>
      </c>
      <c r="O102" s="280">
        <v>0.71683965059181454</v>
      </c>
      <c r="P102" s="211">
        <f t="shared" si="22"/>
        <v>-0.52067280136885596</v>
      </c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8218661.21</v>
      </c>
      <c r="E103" s="32">
        <v>7818234.7000000002</v>
      </c>
      <c r="F103" s="280">
        <f t="shared" si="18"/>
        <v>0.95127837736968845</v>
      </c>
      <c r="G103" s="32">
        <v>7779886.2999999998</v>
      </c>
      <c r="H103" s="280">
        <f t="shared" si="19"/>
        <v>0.94661236194209786</v>
      </c>
      <c r="I103" s="32">
        <v>2453634.69</v>
      </c>
      <c r="J103" s="178">
        <f t="shared" si="20"/>
        <v>0.29854432824345606</v>
      </c>
      <c r="K103" s="610">
        <v>7535335.3200000003</v>
      </c>
      <c r="L103" s="280">
        <v>0.92326005662058463</v>
      </c>
      <c r="M103" s="211">
        <f t="shared" si="21"/>
        <v>3.2453894832114694E-2</v>
      </c>
      <c r="N103" s="610">
        <v>3894313.52</v>
      </c>
      <c r="O103" s="280">
        <v>0.47714719628077651</v>
      </c>
      <c r="P103" s="211">
        <f t="shared" si="22"/>
        <v>-0.36994423345760818</v>
      </c>
    </row>
    <row r="104" spans="1:19" ht="14.1" customHeight="1" x14ac:dyDescent="0.25">
      <c r="A104" s="39" t="s">
        <v>578</v>
      </c>
      <c r="B104" s="40" t="s">
        <v>579</v>
      </c>
      <c r="C104" s="199">
        <v>78451100.349999994</v>
      </c>
      <c r="D104" s="205">
        <v>31475507</v>
      </c>
      <c r="E104" s="32">
        <v>10615619</v>
      </c>
      <c r="F104" s="280">
        <f t="shared" si="18"/>
        <v>0.33726602084598667</v>
      </c>
      <c r="G104" s="32">
        <v>9997440.9299999997</v>
      </c>
      <c r="H104" s="280">
        <f t="shared" si="19"/>
        <v>0.3176260490418788</v>
      </c>
      <c r="I104" s="32">
        <v>4558144.01</v>
      </c>
      <c r="J104" s="178">
        <f t="shared" si="20"/>
        <v>0.14481558660834279</v>
      </c>
      <c r="K104" s="610">
        <v>6263899.1799999997</v>
      </c>
      <c r="L104" s="280">
        <v>0.69729916702110484</v>
      </c>
      <c r="M104" s="211">
        <f t="shared" si="21"/>
        <v>0.59604116265485607</v>
      </c>
      <c r="N104" s="610">
        <v>2823592.44</v>
      </c>
      <c r="O104" s="280">
        <v>0.31432317153276551</v>
      </c>
      <c r="P104" s="211">
        <f t="shared" si="22"/>
        <v>0.61430663484847692</v>
      </c>
    </row>
    <row r="105" spans="1:19" ht="14.1" customHeight="1" x14ac:dyDescent="0.25">
      <c r="A105" s="39" t="s">
        <v>580</v>
      </c>
      <c r="B105" s="40" t="s">
        <v>581</v>
      </c>
      <c r="C105" s="199">
        <v>21790501.289999999</v>
      </c>
      <c r="D105" s="205">
        <v>24119651.760000002</v>
      </c>
      <c r="E105" s="32">
        <v>20587531.93</v>
      </c>
      <c r="F105" s="280">
        <f t="shared" si="18"/>
        <v>0.85355842343222943</v>
      </c>
      <c r="G105" s="32">
        <v>19399152.579999998</v>
      </c>
      <c r="H105" s="280">
        <f t="shared" si="19"/>
        <v>0.8042882531236013</v>
      </c>
      <c r="I105" s="32">
        <v>9160139.3900000006</v>
      </c>
      <c r="J105" s="178">
        <f t="shared" si="20"/>
        <v>0.37977908972927893</v>
      </c>
      <c r="K105" s="610">
        <v>19768172.68</v>
      </c>
      <c r="L105" s="280">
        <v>0.5544229016992348</v>
      </c>
      <c r="M105" s="211">
        <f t="shared" si="21"/>
        <v>-1.8667385497565414E-2</v>
      </c>
      <c r="N105" s="610">
        <v>11310741.720000001</v>
      </c>
      <c r="O105" s="280">
        <v>0.31722376904960314</v>
      </c>
      <c r="P105" s="211">
        <f t="shared" si="22"/>
        <v>-0.1901380460484956</v>
      </c>
    </row>
    <row r="106" spans="1:19" ht="14.1" customHeight="1" x14ac:dyDescent="0.25">
      <c r="A106" s="39" t="s">
        <v>582</v>
      </c>
      <c r="B106" s="40" t="s">
        <v>583</v>
      </c>
      <c r="C106" s="199">
        <v>672247.24</v>
      </c>
      <c r="D106" s="205">
        <v>1669133</v>
      </c>
      <c r="E106" s="32">
        <v>404192.73</v>
      </c>
      <c r="F106" s="280">
        <f t="shared" si="18"/>
        <v>0.24215729363687613</v>
      </c>
      <c r="G106" s="32">
        <v>331711.77</v>
      </c>
      <c r="H106" s="280">
        <f t="shared" si="19"/>
        <v>0.19873297694072312</v>
      </c>
      <c r="I106" s="32">
        <v>331711.77</v>
      </c>
      <c r="J106" s="178">
        <f t="shared" si="20"/>
        <v>0.19873297694072312</v>
      </c>
      <c r="K106" s="610">
        <v>837566.77</v>
      </c>
      <c r="L106" s="280">
        <v>0.2590869570537917</v>
      </c>
      <c r="M106" s="211">
        <f t="shared" si="21"/>
        <v>-0.60395781938674564</v>
      </c>
      <c r="N106" s="610">
        <v>532239.48</v>
      </c>
      <c r="O106" s="280">
        <v>0.16463918130024718</v>
      </c>
      <c r="P106" s="211">
        <f t="shared" si="22"/>
        <v>-0.37676218607458423</v>
      </c>
    </row>
    <row r="107" spans="1:19" ht="14.1" customHeight="1" x14ac:dyDescent="0.25">
      <c r="A107" s="39">
        <v>1536</v>
      </c>
      <c r="B107" s="40" t="s">
        <v>768</v>
      </c>
      <c r="C107" s="199">
        <v>19631487</v>
      </c>
      <c r="D107" s="205">
        <v>18823514.59</v>
      </c>
      <c r="E107" s="32">
        <v>5437886.6299999999</v>
      </c>
      <c r="F107" s="280">
        <f t="shared" si="18"/>
        <v>0.28888795469093109</v>
      </c>
      <c r="G107" s="32">
        <v>5437886.6299999999</v>
      </c>
      <c r="H107" s="280">
        <f t="shared" si="19"/>
        <v>0.28888795469093109</v>
      </c>
      <c r="I107" s="32">
        <v>1779592.68</v>
      </c>
      <c r="J107" s="178">
        <f t="shared" si="20"/>
        <v>9.4540935567123549E-2</v>
      </c>
      <c r="K107" s="709"/>
      <c r="L107" s="280"/>
      <c r="M107" s="211" t="s">
        <v>129</v>
      </c>
      <c r="N107" s="610"/>
      <c r="O107" s="280"/>
      <c r="P107" s="211" t="s">
        <v>129</v>
      </c>
    </row>
    <row r="108" spans="1:19" ht="14.1" customHeight="1" x14ac:dyDescent="0.25">
      <c r="A108" s="39">
        <v>1601</v>
      </c>
      <c r="B108" s="40" t="s">
        <v>584</v>
      </c>
      <c r="C108" s="199">
        <v>18375699.07</v>
      </c>
      <c r="D108" s="205">
        <v>18878142.190000001</v>
      </c>
      <c r="E108" s="32">
        <v>18503777.260000002</v>
      </c>
      <c r="F108" s="280">
        <f t="shared" si="18"/>
        <v>0.98016939769643718</v>
      </c>
      <c r="G108" s="32">
        <v>18389537.68</v>
      </c>
      <c r="H108" s="280">
        <f t="shared" si="19"/>
        <v>0.97411797701900871</v>
      </c>
      <c r="I108" s="32">
        <v>10566258.609999999</v>
      </c>
      <c r="J108" s="178">
        <f t="shared" si="20"/>
        <v>0.55970860393228128</v>
      </c>
      <c r="K108" s="610">
        <v>19349633.260000002</v>
      </c>
      <c r="L108" s="280">
        <v>0.96239247672669814</v>
      </c>
      <c r="M108" s="211">
        <f t="shared" si="21"/>
        <v>-4.961828304956728E-2</v>
      </c>
      <c r="N108" s="610">
        <v>12248450.35</v>
      </c>
      <c r="O108" s="280">
        <v>0.60920102774084783</v>
      </c>
      <c r="P108" s="211">
        <f t="shared" si="22"/>
        <v>-0.13733914837643113</v>
      </c>
    </row>
    <row r="109" spans="1:19" ht="14.1" customHeight="1" x14ac:dyDescent="0.25">
      <c r="A109" s="39" t="s">
        <v>585</v>
      </c>
      <c r="B109" s="40" t="s">
        <v>586</v>
      </c>
      <c r="C109" s="199">
        <v>8493454.4900000002</v>
      </c>
      <c r="D109" s="205">
        <v>8433895.9100000001</v>
      </c>
      <c r="E109" s="32">
        <v>7092847.8799999999</v>
      </c>
      <c r="F109" s="280">
        <f t="shared" si="18"/>
        <v>0.84099305418152825</v>
      </c>
      <c r="G109" s="32">
        <v>6369492.29</v>
      </c>
      <c r="H109" s="280">
        <f t="shared" si="19"/>
        <v>0.75522538551225726</v>
      </c>
      <c r="I109" s="32">
        <v>3097747.39</v>
      </c>
      <c r="J109" s="178">
        <f t="shared" si="20"/>
        <v>0.36729732297585355</v>
      </c>
      <c r="K109" s="610">
        <v>6159912.9800000004</v>
      </c>
      <c r="L109" s="280">
        <v>0.99895762002704147</v>
      </c>
      <c r="M109" s="211">
        <f t="shared" si="21"/>
        <v>3.4023095891202004E-2</v>
      </c>
      <c r="N109" s="610">
        <v>1515486.63</v>
      </c>
      <c r="O109" s="280">
        <v>0.24576758178288444</v>
      </c>
      <c r="P109" s="211">
        <f t="shared" si="22"/>
        <v>1.0440611805331468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 t="shared" si="18"/>
        <v>0.9262526642881167</v>
      </c>
      <c r="G110" s="32">
        <v>87650000</v>
      </c>
      <c r="H110" s="280">
        <f t="shared" si="19"/>
        <v>0.9262526642881167</v>
      </c>
      <c r="I110" s="32">
        <v>41730838.329999998</v>
      </c>
      <c r="J110" s="178">
        <f t="shared" si="20"/>
        <v>0.44099600896907204</v>
      </c>
      <c r="K110" s="610">
        <v>85241375.739999995</v>
      </c>
      <c r="L110" s="280">
        <v>1</v>
      </c>
      <c r="M110" s="211">
        <f t="shared" si="21"/>
        <v>2.8256515560550088E-2</v>
      </c>
      <c r="N110" s="610">
        <v>38863887.149999999</v>
      </c>
      <c r="O110" s="280">
        <v>0.45592749779803121</v>
      </c>
      <c r="P110" s="211">
        <f t="shared" si="22"/>
        <v>7.376902801653995E-2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si="18"/>
        <v>0.99614037707759551</v>
      </c>
      <c r="G111" s="32">
        <v>4767846.51</v>
      </c>
      <c r="H111" s="280">
        <f t="shared" si="19"/>
        <v>0.99614037707759551</v>
      </c>
      <c r="I111" s="32">
        <v>1712893.44</v>
      </c>
      <c r="J111" s="178">
        <f t="shared" si="20"/>
        <v>0.35787274477830028</v>
      </c>
      <c r="K111" s="610">
        <v>4663415.2699999996</v>
      </c>
      <c r="L111" s="280">
        <v>0.99323074379987786</v>
      </c>
      <c r="M111" s="211">
        <f t="shared" si="21"/>
        <v>2.2393725189307601E-2</v>
      </c>
      <c r="N111" s="610">
        <v>1839247.67</v>
      </c>
      <c r="O111" s="280">
        <v>0.39172949984921512</v>
      </c>
      <c r="P111" s="211">
        <f t="shared" si="22"/>
        <v>-6.8698866422921667E-2</v>
      </c>
    </row>
    <row r="112" spans="1:19" ht="14.1" customHeight="1" x14ac:dyDescent="0.25">
      <c r="A112" s="39" t="s">
        <v>591</v>
      </c>
      <c r="B112" s="40" t="s">
        <v>592</v>
      </c>
      <c r="C112" s="199">
        <v>5470927.3399999999</v>
      </c>
      <c r="D112" s="205">
        <v>4008890.51</v>
      </c>
      <c r="E112" s="32">
        <v>680081.39</v>
      </c>
      <c r="F112" s="280">
        <f t="shared" si="18"/>
        <v>0.1696432936503422</v>
      </c>
      <c r="G112" s="32">
        <v>680081.39</v>
      </c>
      <c r="H112" s="280">
        <f t="shared" si="19"/>
        <v>0.1696432936503422</v>
      </c>
      <c r="I112" s="32">
        <v>680081.39</v>
      </c>
      <c r="J112" s="178">
        <f t="shared" si="20"/>
        <v>0.1696432936503422</v>
      </c>
      <c r="K112" s="610">
        <v>4068409.01</v>
      </c>
      <c r="L112" s="280">
        <v>0.47598035684754697</v>
      </c>
      <c r="M112" s="211">
        <f t="shared" si="21"/>
        <v>-0.83283849083797012</v>
      </c>
      <c r="N112" s="610">
        <v>4068409.01</v>
      </c>
      <c r="O112" s="280">
        <v>0.47598035684754697</v>
      </c>
      <c r="P112" s="211">
        <f t="shared" si="22"/>
        <v>-0.83283849083797012</v>
      </c>
    </row>
    <row r="113" spans="1:18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174535316.69999999</v>
      </c>
      <c r="E113" s="32">
        <v>174256515.80000001</v>
      </c>
      <c r="F113" s="280">
        <f t="shared" si="18"/>
        <v>0.99840261039844913</v>
      </c>
      <c r="G113" s="32">
        <v>174255608.30000001</v>
      </c>
      <c r="H113" s="280">
        <f t="shared" si="19"/>
        <v>0.99839741087770362</v>
      </c>
      <c r="I113" s="32">
        <v>88850999.019999996</v>
      </c>
      <c r="J113" s="178">
        <f t="shared" si="20"/>
        <v>0.50907174948850908</v>
      </c>
      <c r="K113" s="610">
        <v>175864036.86000001</v>
      </c>
      <c r="L113" s="280">
        <v>0.99019300768479412</v>
      </c>
      <c r="M113" s="211">
        <f t="shared" si="21"/>
        <v>-9.1458639794582686E-3</v>
      </c>
      <c r="N113" s="610">
        <v>85640135.349999994</v>
      </c>
      <c r="O113" s="280">
        <v>0.48219217933827058</v>
      </c>
      <c r="P113" s="211">
        <f t="shared" si="22"/>
        <v>3.7492510455262806E-2</v>
      </c>
      <c r="R113"/>
    </row>
    <row r="114" spans="1:18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0">
        <v>0</v>
      </c>
      <c r="L114" s="280">
        <v>0</v>
      </c>
      <c r="M114" s="211" t="s">
        <v>129</v>
      </c>
      <c r="N114" s="610">
        <v>0</v>
      </c>
      <c r="O114" s="280">
        <v>0</v>
      </c>
      <c r="P114" s="211" t="s">
        <v>129</v>
      </c>
      <c r="R114"/>
    </row>
    <row r="115" spans="1:18" ht="14.1" customHeight="1" x14ac:dyDescent="0.25">
      <c r="A115" s="39" t="s">
        <v>596</v>
      </c>
      <c r="B115" s="40" t="s">
        <v>597</v>
      </c>
      <c r="C115" s="199">
        <v>31920925.68</v>
      </c>
      <c r="D115" s="205">
        <v>32792034.949999999</v>
      </c>
      <c r="E115" s="32">
        <v>32137205.859999999</v>
      </c>
      <c r="F115" s="280">
        <f t="shared" si="18"/>
        <v>0.98003084922913575</v>
      </c>
      <c r="G115" s="32">
        <v>29703531.52</v>
      </c>
      <c r="H115" s="280">
        <f t="shared" si="19"/>
        <v>0.90581543857497016</v>
      </c>
      <c r="I115" s="32">
        <v>10844371.359999999</v>
      </c>
      <c r="J115" s="178">
        <f t="shared" si="20"/>
        <v>0.33070138454460263</v>
      </c>
      <c r="K115" s="610">
        <v>26178944.710000001</v>
      </c>
      <c r="L115" s="280">
        <v>0.81152661514490021</v>
      </c>
      <c r="M115" s="211">
        <f t="shared" si="21"/>
        <v>0.13463441131963028</v>
      </c>
      <c r="N115" s="610">
        <v>11666214.57</v>
      </c>
      <c r="O115" s="280">
        <v>0.36164344004018556</v>
      </c>
      <c r="P115" s="211">
        <f t="shared" si="22"/>
        <v>-7.0446433594097746E-2</v>
      </c>
      <c r="R115"/>
    </row>
    <row r="116" spans="1:18" ht="14.1" customHeight="1" x14ac:dyDescent="0.25">
      <c r="A116" s="39" t="s">
        <v>598</v>
      </c>
      <c r="B116" s="40" t="s">
        <v>599</v>
      </c>
      <c r="C116" s="199">
        <v>2348598.2599999998</v>
      </c>
      <c r="D116" s="205">
        <v>2640800.67</v>
      </c>
      <c r="E116" s="32">
        <v>2611647.61</v>
      </c>
      <c r="F116" s="280">
        <f t="shared" si="18"/>
        <v>0.98896052234037035</v>
      </c>
      <c r="G116" s="32">
        <v>2127330.15</v>
      </c>
      <c r="H116" s="280">
        <f t="shared" si="19"/>
        <v>0.80556256069111043</v>
      </c>
      <c r="I116" s="32">
        <v>1476267.61</v>
      </c>
      <c r="J116" s="178">
        <f t="shared" si="20"/>
        <v>0.5590227338135294</v>
      </c>
      <c r="K116" s="610">
        <v>1580401.2</v>
      </c>
      <c r="L116" s="280">
        <v>0.69794612329909322</v>
      </c>
      <c r="M116" s="211">
        <f t="shared" si="21"/>
        <v>0.3460696878741929</v>
      </c>
      <c r="N116" s="610">
        <v>1140068.96</v>
      </c>
      <c r="O116" s="280">
        <v>0.50348399566238566</v>
      </c>
      <c r="P116" s="211">
        <f t="shared" si="22"/>
        <v>0.29489325803590005</v>
      </c>
    </row>
    <row r="117" spans="1:18" ht="14.1" customHeight="1" x14ac:dyDescent="0.25">
      <c r="A117" s="39" t="s">
        <v>600</v>
      </c>
      <c r="B117" s="40" t="s">
        <v>601</v>
      </c>
      <c r="C117" s="199">
        <v>56423741.060000002</v>
      </c>
      <c r="D117" s="205">
        <v>52175800.899999999</v>
      </c>
      <c r="E117" s="32">
        <v>48909499.600000001</v>
      </c>
      <c r="F117" s="280">
        <f t="shared" si="18"/>
        <v>0.93739815692987294</v>
      </c>
      <c r="G117" s="32">
        <v>48893979.600000001</v>
      </c>
      <c r="H117" s="280">
        <f t="shared" si="19"/>
        <v>0.93710070102632581</v>
      </c>
      <c r="I117" s="32">
        <v>26129716.969999999</v>
      </c>
      <c r="J117" s="178">
        <f t="shared" si="20"/>
        <v>0.50080145430024436</v>
      </c>
      <c r="K117" s="610">
        <v>49758138.969999999</v>
      </c>
      <c r="L117" s="280">
        <v>0.95255699875641986</v>
      </c>
      <c r="M117" s="211">
        <f t="shared" si="21"/>
        <v>-1.7367196359996728E-2</v>
      </c>
      <c r="N117" s="610">
        <v>28369847.390000001</v>
      </c>
      <c r="O117" s="280">
        <v>0.5431050526485568</v>
      </c>
      <c r="P117" s="211">
        <f t="shared" si="22"/>
        <v>-7.8961666208666959E-2</v>
      </c>
      <c r="R117"/>
    </row>
    <row r="118" spans="1:18" ht="14.1" customHeight="1" x14ac:dyDescent="0.25">
      <c r="A118" s="41">
        <v>1721</v>
      </c>
      <c r="B118" s="42" t="s">
        <v>602</v>
      </c>
      <c r="C118" s="199">
        <v>13754086.91</v>
      </c>
      <c r="D118" s="205">
        <v>5480410.3200000003</v>
      </c>
      <c r="E118" s="32">
        <v>2731532.97</v>
      </c>
      <c r="F118" s="280">
        <f t="shared" ref="F118:F144" si="23">+E118/D118</f>
        <v>0.49841760206013191</v>
      </c>
      <c r="G118" s="32">
        <v>2589684.64</v>
      </c>
      <c r="H118" s="280">
        <f t="shared" ref="H118:H144" si="24">+G118/D118</f>
        <v>0.47253480830610506</v>
      </c>
      <c r="I118" s="32">
        <v>447710.06</v>
      </c>
      <c r="J118" s="178">
        <f t="shared" ref="J118:J144" si="25">+I118/D118</f>
        <v>8.1692799235514174E-2</v>
      </c>
      <c r="K118" s="574">
        <v>1035692.94</v>
      </c>
      <c r="L118" s="390">
        <v>0.61124565945195342</v>
      </c>
      <c r="M118" s="211">
        <f t="shared" si="21"/>
        <v>1.5004367027933978</v>
      </c>
      <c r="N118" s="574">
        <v>362742.95</v>
      </c>
      <c r="O118" s="390">
        <v>0.21408377437070969</v>
      </c>
      <c r="P118" s="211">
        <f t="shared" si="22"/>
        <v>0.2342350416458816</v>
      </c>
      <c r="R118"/>
    </row>
    <row r="119" spans="1:18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3013063.16</v>
      </c>
      <c r="E119" s="34">
        <v>2613743.2999999998</v>
      </c>
      <c r="F119" s="280">
        <f t="shared" si="23"/>
        <v>0.86747046484083645</v>
      </c>
      <c r="G119" s="34">
        <v>2376237.67</v>
      </c>
      <c r="H119" s="280">
        <f t="shared" si="24"/>
        <v>0.78864515737532692</v>
      </c>
      <c r="I119" s="34">
        <v>1151507.22</v>
      </c>
      <c r="J119" s="178">
        <f t="shared" si="25"/>
        <v>0.3821716170065283</v>
      </c>
      <c r="K119" s="574">
        <v>1076354.5</v>
      </c>
      <c r="L119" s="390">
        <v>0.7360167438168681</v>
      </c>
      <c r="M119" s="211">
        <f t="shared" si="21"/>
        <v>1.2076719798170585</v>
      </c>
      <c r="N119" s="574">
        <v>652554.65</v>
      </c>
      <c r="O119" s="390">
        <v>0.44622022638039421</v>
      </c>
      <c r="P119" s="211">
        <f t="shared" si="22"/>
        <v>0.76461422809568513</v>
      </c>
      <c r="R119"/>
    </row>
    <row r="120" spans="1:18" ht="14.1" customHeight="1" x14ac:dyDescent="0.25">
      <c r="A120" s="41" t="s">
        <v>605</v>
      </c>
      <c r="B120" s="42" t="s">
        <v>606</v>
      </c>
      <c r="C120" s="655">
        <v>3772412.45</v>
      </c>
      <c r="D120" s="397">
        <v>3445164.17</v>
      </c>
      <c r="E120" s="398">
        <v>2926588</v>
      </c>
      <c r="F120" s="412">
        <f t="shared" si="23"/>
        <v>0.84947708021705104</v>
      </c>
      <c r="G120" s="398">
        <v>2682595.2799999998</v>
      </c>
      <c r="H120" s="412">
        <f t="shared" si="24"/>
        <v>0.77865528248542071</v>
      </c>
      <c r="I120" s="398">
        <v>1663364.85</v>
      </c>
      <c r="J120" s="427">
        <f t="shared" si="25"/>
        <v>0.48281149109942129</v>
      </c>
      <c r="K120" s="658">
        <v>2046913.46</v>
      </c>
      <c r="L120" s="412">
        <v>0.53295331331034823</v>
      </c>
      <c r="M120" s="211">
        <f t="shared" si="21"/>
        <v>0.31055627530047114</v>
      </c>
      <c r="N120" s="658">
        <v>1091893.1299999999</v>
      </c>
      <c r="O120" s="412">
        <v>0.28429539049213476</v>
      </c>
      <c r="P120" s="211">
        <f t="shared" si="22"/>
        <v>0.52337697188368626</v>
      </c>
      <c r="R120"/>
    </row>
    <row r="121" spans="1:18" ht="14.1" customHeight="1" x14ac:dyDescent="0.25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1165126463.4500005</v>
      </c>
      <c r="E121" s="203">
        <f>SUBTOTAL(9,E87:E120)</f>
        <v>859709612.5200001</v>
      </c>
      <c r="F121" s="90">
        <f t="shared" si="23"/>
        <v>0.73786806796436055</v>
      </c>
      <c r="G121" s="203">
        <f>SUBTOTAL(9,G87:G120)</f>
        <v>844332486.80999994</v>
      </c>
      <c r="H121" s="90">
        <f t="shared" si="24"/>
        <v>0.72467025108148964</v>
      </c>
      <c r="I121" s="203">
        <f>SUBTOTAL(9,I87:I120)</f>
        <v>519756749.57999998</v>
      </c>
      <c r="J121" s="170">
        <f t="shared" si="25"/>
        <v>0.44609470807226625</v>
      </c>
      <c r="K121" s="562">
        <f>SUM(K87:K120)</f>
        <v>842136508.62000024</v>
      </c>
      <c r="L121" s="90">
        <v>0.73574650935197083</v>
      </c>
      <c r="M121" s="213">
        <f t="shared" ref="M121:M147" si="26">+G121/K121-1</f>
        <v>2.6076273472555034E-3</v>
      </c>
      <c r="N121" s="562">
        <f>SUM(N87:N120)</f>
        <v>581798075.22000015</v>
      </c>
      <c r="O121" s="90">
        <v>0.50829752493721103</v>
      </c>
      <c r="P121" s="213">
        <f t="shared" ref="P121:P147" si="27">+I121/N121-1</f>
        <v>-0.10663721363557277</v>
      </c>
      <c r="R121"/>
    </row>
    <row r="122" spans="1:18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336774.17</v>
      </c>
      <c r="F122" s="48">
        <f t="shared" si="23"/>
        <v>0.60101865842061031</v>
      </c>
      <c r="G122" s="30">
        <v>336774.17</v>
      </c>
      <c r="H122" s="48">
        <f t="shared" si="24"/>
        <v>0.60101865842061031</v>
      </c>
      <c r="I122" s="30">
        <v>336774.17</v>
      </c>
      <c r="J122" s="153">
        <f t="shared" si="25"/>
        <v>0.60101865842061031</v>
      </c>
      <c r="K122" s="609">
        <v>373012.29</v>
      </c>
      <c r="L122" s="48">
        <v>0.6475509051551982</v>
      </c>
      <c r="M122" s="210">
        <f t="shared" si="26"/>
        <v>-9.7149935729999637E-2</v>
      </c>
      <c r="N122" s="609">
        <v>373012.29</v>
      </c>
      <c r="O122" s="48">
        <v>0.6475509051551982</v>
      </c>
      <c r="P122" s="210">
        <f t="shared" si="27"/>
        <v>-9.7149935729999637E-2</v>
      </c>
      <c r="R122"/>
    </row>
    <row r="123" spans="1:18" ht="14.1" customHeight="1" x14ac:dyDescent="0.25">
      <c r="A123" s="39" t="s">
        <v>608</v>
      </c>
      <c r="B123" s="40" t="s">
        <v>609</v>
      </c>
      <c r="C123" s="199">
        <v>9281481.3800000008</v>
      </c>
      <c r="D123" s="205">
        <v>8726073.3200000003</v>
      </c>
      <c r="E123" s="32">
        <v>6116322.5199999996</v>
      </c>
      <c r="F123" s="280">
        <f t="shared" si="23"/>
        <v>0.70092495165970015</v>
      </c>
      <c r="G123" s="32">
        <v>5476899.7300000004</v>
      </c>
      <c r="H123" s="48">
        <f t="shared" si="24"/>
        <v>0.62764768632496437</v>
      </c>
      <c r="I123" s="32">
        <v>4777178.8</v>
      </c>
      <c r="J123" s="178">
        <f t="shared" si="25"/>
        <v>0.54746030944420254</v>
      </c>
      <c r="K123" s="610">
        <v>5888886.3499999996</v>
      </c>
      <c r="L123" s="280">
        <v>0.63789114162096161</v>
      </c>
      <c r="M123" s="211">
        <f t="shared" si="26"/>
        <v>-6.9960022237481101E-2</v>
      </c>
      <c r="N123" s="610">
        <v>4883346.4000000004</v>
      </c>
      <c r="O123" s="280">
        <v>0.52896986372077182</v>
      </c>
      <c r="P123" s="211">
        <f t="shared" si="27"/>
        <v>-2.1740747287556816E-2</v>
      </c>
      <c r="R123"/>
    </row>
    <row r="124" spans="1:18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9336062.8399999999</v>
      </c>
      <c r="E124" s="32">
        <v>6388135.2400000002</v>
      </c>
      <c r="F124" s="280">
        <f t="shared" si="23"/>
        <v>0.68424295653091383</v>
      </c>
      <c r="G124" s="32">
        <v>6356300.2000000002</v>
      </c>
      <c r="H124" s="48">
        <f t="shared" si="24"/>
        <v>0.68083305660354787</v>
      </c>
      <c r="I124" s="32">
        <v>6305317.7000000002</v>
      </c>
      <c r="J124" s="178">
        <f t="shared" si="25"/>
        <v>0.67537224288863085</v>
      </c>
      <c r="K124" s="612">
        <v>7254058.3700000001</v>
      </c>
      <c r="L124" s="280">
        <v>0.69842529557139454</v>
      </c>
      <c r="M124" s="211">
        <f t="shared" si="26"/>
        <v>-0.12375943564402281</v>
      </c>
      <c r="N124" s="612">
        <v>7204936.1900000004</v>
      </c>
      <c r="O124" s="280">
        <v>0.6936957812311878</v>
      </c>
      <c r="P124" s="211">
        <f t="shared" si="27"/>
        <v>-0.12486140977190252</v>
      </c>
      <c r="R124"/>
    </row>
    <row r="125" spans="1:18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7895707.4199999999</v>
      </c>
      <c r="E125" s="32">
        <v>4582815.1100000003</v>
      </c>
      <c r="F125" s="280">
        <f t="shared" si="23"/>
        <v>0.58041855735328152</v>
      </c>
      <c r="G125" s="32">
        <v>3951539.71</v>
      </c>
      <c r="H125" s="48">
        <f t="shared" si="24"/>
        <v>0.50046683594058505</v>
      </c>
      <c r="I125" s="32">
        <v>2691428.47</v>
      </c>
      <c r="J125" s="178">
        <f t="shared" si="25"/>
        <v>0.34087236606343252</v>
      </c>
      <c r="K125" s="612">
        <v>2619771.98</v>
      </c>
      <c r="L125" s="280">
        <v>0.49707145355808402</v>
      </c>
      <c r="M125" s="211">
        <f t="shared" si="26"/>
        <v>0.50835253608598419</v>
      </c>
      <c r="N125" s="612">
        <v>1900608.48</v>
      </c>
      <c r="O125" s="280">
        <v>0.36061849161331233</v>
      </c>
      <c r="P125" s="211">
        <f t="shared" si="27"/>
        <v>0.4160877941573744</v>
      </c>
      <c r="R125"/>
    </row>
    <row r="126" spans="1:18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6484166.7400000002</v>
      </c>
      <c r="F126" s="280">
        <f t="shared" si="23"/>
        <v>0.71504723907472112</v>
      </c>
      <c r="G126" s="32">
        <v>5851779.8099999996</v>
      </c>
      <c r="H126" s="48">
        <f t="shared" si="24"/>
        <v>0.64531020940613493</v>
      </c>
      <c r="I126" s="32">
        <v>5346188.53</v>
      </c>
      <c r="J126" s="178">
        <f t="shared" si="25"/>
        <v>0.58955568251618429</v>
      </c>
      <c r="K126" s="612">
        <v>6642158.0199999996</v>
      </c>
      <c r="L126" s="280">
        <v>0.75757998080411892</v>
      </c>
      <c r="M126" s="211">
        <f t="shared" si="26"/>
        <v>-0.1189941894818094</v>
      </c>
      <c r="N126" s="612">
        <v>4784934.21</v>
      </c>
      <c r="O126" s="280">
        <v>0.54575190112095107</v>
      </c>
      <c r="P126" s="211">
        <f t="shared" si="27"/>
        <v>0.11729614146565259</v>
      </c>
      <c r="R126"/>
    </row>
    <row r="127" spans="1:18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567096.75</v>
      </c>
      <c r="F127" s="280">
        <f t="shared" si="23"/>
        <v>0.41569912769388651</v>
      </c>
      <c r="G127" s="32">
        <v>233572.75</v>
      </c>
      <c r="H127" s="48">
        <f t="shared" si="24"/>
        <v>0.17121591408884329</v>
      </c>
      <c r="I127" s="32">
        <v>172647.31</v>
      </c>
      <c r="J127" s="178">
        <f t="shared" si="25"/>
        <v>0.12655571763671017</v>
      </c>
      <c r="K127" s="612">
        <v>163212.31</v>
      </c>
      <c r="L127" s="280">
        <v>0.11452849980082876</v>
      </c>
      <c r="M127" s="211">
        <f t="shared" si="26"/>
        <v>0.43109762982951483</v>
      </c>
      <c r="N127" s="612">
        <v>78770.89</v>
      </c>
      <c r="O127" s="280">
        <v>5.5274702378001417E-2</v>
      </c>
      <c r="P127" s="211">
        <f t="shared" si="27"/>
        <v>1.1917653843951745</v>
      </c>
      <c r="R127"/>
    </row>
    <row r="128" spans="1:18" ht="14.1" customHeight="1" x14ac:dyDescent="0.25">
      <c r="A128" s="39" t="s">
        <v>618</v>
      </c>
      <c r="B128" s="40" t="s">
        <v>619</v>
      </c>
      <c r="C128" s="199">
        <v>33334210.969999999</v>
      </c>
      <c r="D128" s="205">
        <v>33928278.310000002</v>
      </c>
      <c r="E128" s="32">
        <v>29538753.879999999</v>
      </c>
      <c r="F128" s="280">
        <f t="shared" si="23"/>
        <v>0.87062342539479121</v>
      </c>
      <c r="G128" s="32">
        <v>25206097.920000002</v>
      </c>
      <c r="H128" s="48">
        <f t="shared" si="24"/>
        <v>0.74292298859652928</v>
      </c>
      <c r="I128" s="32">
        <v>12711949.039999999</v>
      </c>
      <c r="J128" s="178">
        <f t="shared" si="25"/>
        <v>0.37467120859631969</v>
      </c>
      <c r="K128" s="612">
        <v>27810640.48</v>
      </c>
      <c r="L128" s="280">
        <v>0.88116746016297853</v>
      </c>
      <c r="M128" s="211">
        <f t="shared" si="26"/>
        <v>-9.3652735609345394E-2</v>
      </c>
      <c r="N128" s="612">
        <v>17287430.030000001</v>
      </c>
      <c r="O128" s="280">
        <v>0.54774433631743191</v>
      </c>
      <c r="P128" s="211">
        <f t="shared" si="27"/>
        <v>-0.26467097666106953</v>
      </c>
      <c r="R128"/>
    </row>
    <row r="129" spans="1:19" ht="14.1" customHeight="1" x14ac:dyDescent="0.25">
      <c r="A129" s="39" t="s">
        <v>620</v>
      </c>
      <c r="B129" s="40" t="s">
        <v>623</v>
      </c>
      <c r="C129" s="199">
        <v>36709256.140000001</v>
      </c>
      <c r="D129" s="205">
        <v>36835235.530000001</v>
      </c>
      <c r="E129" s="32">
        <v>30317138.370000001</v>
      </c>
      <c r="F129" s="280">
        <f t="shared" si="23"/>
        <v>0.82304722458767998</v>
      </c>
      <c r="G129" s="32">
        <v>30232838.370000001</v>
      </c>
      <c r="H129" s="48">
        <f t="shared" si="24"/>
        <v>0.82075865499427147</v>
      </c>
      <c r="I129" s="32">
        <v>15238141.460000001</v>
      </c>
      <c r="J129" s="178">
        <f t="shared" si="25"/>
        <v>0.41368383399067682</v>
      </c>
      <c r="K129" s="612">
        <v>24766182.059999999</v>
      </c>
      <c r="L129" s="280">
        <v>0.88334222585672073</v>
      </c>
      <c r="M129" s="211">
        <f t="shared" si="26"/>
        <v>0.22073068415455244</v>
      </c>
      <c r="N129" s="612">
        <v>14288512.039999999</v>
      </c>
      <c r="O129" s="280">
        <v>0.50963228805377492</v>
      </c>
      <c r="P129" s="211">
        <f t="shared" si="27"/>
        <v>6.6461043483153404E-2</v>
      </c>
    </row>
    <row r="130" spans="1:19" ht="14.1" customHeight="1" x14ac:dyDescent="0.25">
      <c r="A130" s="39" t="s">
        <v>621</v>
      </c>
      <c r="B130" s="40" t="s">
        <v>622</v>
      </c>
      <c r="C130" s="199">
        <v>140973391.11000001</v>
      </c>
      <c r="D130" s="205">
        <v>146659031.80000001</v>
      </c>
      <c r="E130" s="32">
        <v>145730952.19999999</v>
      </c>
      <c r="F130" s="280">
        <f t="shared" si="23"/>
        <v>0.99367185512812017</v>
      </c>
      <c r="G130" s="32">
        <v>142230952.19999999</v>
      </c>
      <c r="H130" s="48">
        <f t="shared" si="24"/>
        <v>0.96980697645652925</v>
      </c>
      <c r="I130" s="32">
        <v>107723340.40000001</v>
      </c>
      <c r="J130" s="178">
        <f t="shared" si="25"/>
        <v>0.73451555678414071</v>
      </c>
      <c r="K130" s="657">
        <v>125100353.87</v>
      </c>
      <c r="L130" s="280">
        <v>0.97214516582290122</v>
      </c>
      <c r="M130" s="211">
        <f t="shared" si="26"/>
        <v>0.13693485110203207</v>
      </c>
      <c r="N130" s="658">
        <v>97393462.709999993</v>
      </c>
      <c r="O130" s="280">
        <v>0.75683705942725232</v>
      </c>
      <c r="P130" s="211">
        <f t="shared" si="27"/>
        <v>0.10606335787401244</v>
      </c>
    </row>
    <row r="131" spans="1:19" ht="14.4" thickBot="1" x14ac:dyDescent="0.3">
      <c r="A131" s="7" t="s">
        <v>19</v>
      </c>
      <c r="L131" s="680"/>
      <c r="N131" s="97"/>
      <c r="O131" s="680"/>
    </row>
    <row r="132" spans="1:19" ht="12.75" customHeight="1" x14ac:dyDescent="0.25">
      <c r="A132" s="8" t="s">
        <v>757</v>
      </c>
      <c r="C132" s="164" t="s">
        <v>765</v>
      </c>
      <c r="D132" s="754" t="s">
        <v>782</v>
      </c>
      <c r="E132" s="752"/>
      <c r="F132" s="752"/>
      <c r="G132" s="752"/>
      <c r="H132" s="752"/>
      <c r="I132" s="752"/>
      <c r="J132" s="753"/>
      <c r="K132" s="763" t="s">
        <v>783</v>
      </c>
      <c r="L132" s="761"/>
      <c r="M132" s="761"/>
      <c r="N132" s="761"/>
      <c r="O132" s="761"/>
      <c r="P132" s="764"/>
    </row>
    <row r="133" spans="1:19" ht="12.75" customHeight="1" x14ac:dyDescent="0.25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5" t="s">
        <v>362</v>
      </c>
    </row>
    <row r="134" spans="1:19" ht="14.1" customHeight="1" x14ac:dyDescent="0.25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07" t="s">
        <v>764</v>
      </c>
      <c r="N134" s="558" t="s">
        <v>17</v>
      </c>
      <c r="O134" s="89" t="s">
        <v>18</v>
      </c>
      <c r="P134" s="606" t="s">
        <v>764</v>
      </c>
    </row>
    <row r="135" spans="1:19" ht="14.1" customHeight="1" x14ac:dyDescent="0.25">
      <c r="A135" s="39" t="s">
        <v>624</v>
      </c>
      <c r="B135" s="40" t="s">
        <v>625</v>
      </c>
      <c r="C135" s="199">
        <v>7411204.5599999996</v>
      </c>
      <c r="D135" s="204">
        <v>7960544.3200000003</v>
      </c>
      <c r="E135" s="30">
        <v>6501348.4100000001</v>
      </c>
      <c r="F135" s="48">
        <f t="shared" si="23"/>
        <v>0.81669646555023512</v>
      </c>
      <c r="G135" s="30">
        <v>6104221.1100000003</v>
      </c>
      <c r="H135" s="48">
        <f t="shared" si="24"/>
        <v>0.76680951259373176</v>
      </c>
      <c r="I135" s="30">
        <v>3028400.86</v>
      </c>
      <c r="J135" s="153">
        <f t="shared" si="25"/>
        <v>0.38042635506613193</v>
      </c>
      <c r="K135" s="608">
        <v>4234254.16</v>
      </c>
      <c r="L135" s="48">
        <v>0.74685916287627085</v>
      </c>
      <c r="M135" s="210">
        <f t="shared" si="26"/>
        <v>0.44162841419986942</v>
      </c>
      <c r="N135" s="608">
        <v>2083884.73</v>
      </c>
      <c r="O135" s="48">
        <v>0.3675661276266996</v>
      </c>
      <c r="P135" s="210">
        <f t="shared" si="27"/>
        <v>0.45324778112846964</v>
      </c>
    </row>
    <row r="136" spans="1:19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11813645.300000001</v>
      </c>
      <c r="E136" s="32">
        <v>8229781.0599999996</v>
      </c>
      <c r="F136" s="280">
        <f t="shared" si="23"/>
        <v>0.69663349889132009</v>
      </c>
      <c r="G136" s="32">
        <v>7656891.4100000001</v>
      </c>
      <c r="H136" s="48">
        <f t="shared" si="24"/>
        <v>0.64813960598596942</v>
      </c>
      <c r="I136" s="32">
        <v>3033892.85</v>
      </c>
      <c r="J136" s="178">
        <f t="shared" si="25"/>
        <v>0.25681259026796749</v>
      </c>
      <c r="K136" s="612">
        <v>7545807.6799999997</v>
      </c>
      <c r="L136" s="280">
        <v>0.82837782457896325</v>
      </c>
      <c r="M136" s="211">
        <f t="shared" si="26"/>
        <v>1.4721251151738945E-2</v>
      </c>
      <c r="N136" s="612">
        <v>5861799.29</v>
      </c>
      <c r="O136" s="280">
        <v>0.64350759387081435</v>
      </c>
      <c r="P136" s="211">
        <f t="shared" si="27"/>
        <v>-0.48242976261986614</v>
      </c>
    </row>
    <row r="137" spans="1:19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23"/>
        <v>0.92256039680735857</v>
      </c>
      <c r="G137" s="32">
        <v>120378.08</v>
      </c>
      <c r="H137" s="48">
        <f t="shared" si="24"/>
        <v>0.20117464604195356</v>
      </c>
      <c r="I137" s="32">
        <v>95285.08</v>
      </c>
      <c r="J137" s="178">
        <f t="shared" si="25"/>
        <v>0.15923947484524781</v>
      </c>
      <c r="K137" s="612">
        <v>83026.41</v>
      </c>
      <c r="L137" s="280">
        <v>0.12888297112697922</v>
      </c>
      <c r="M137" s="211">
        <f t="shared" si="26"/>
        <v>0.44987697288127948</v>
      </c>
      <c r="N137" s="612">
        <v>59531.41</v>
      </c>
      <c r="O137" s="280">
        <v>9.2411378453896312E-2</v>
      </c>
      <c r="P137" s="211">
        <f t="shared" si="27"/>
        <v>0.60058496850654119</v>
      </c>
    </row>
    <row r="138" spans="1:19" ht="14.1" customHeight="1" x14ac:dyDescent="0.25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23"/>
        <v>0.85906605867088348</v>
      </c>
      <c r="G138" s="32">
        <v>3400527.31</v>
      </c>
      <c r="H138" s="48">
        <f t="shared" si="24"/>
        <v>0.85906605867088348</v>
      </c>
      <c r="I138" s="32">
        <v>1603466.39</v>
      </c>
      <c r="J138" s="178">
        <f t="shared" si="25"/>
        <v>0.405079396897574</v>
      </c>
      <c r="K138" s="612">
        <v>3124214.51</v>
      </c>
      <c r="L138" s="280">
        <v>0.84797674738155271</v>
      </c>
      <c r="M138" s="211">
        <f t="shared" si="26"/>
        <v>8.8442326580193908E-2</v>
      </c>
      <c r="N138" s="612">
        <v>1798938.81</v>
      </c>
      <c r="O138" s="280">
        <v>0.48826937969833617</v>
      </c>
      <c r="P138" s="211">
        <f t="shared" si="27"/>
        <v>-0.10865984930304562</v>
      </c>
    </row>
    <row r="139" spans="1:19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8091578.6600000001</v>
      </c>
      <c r="E139" s="32">
        <v>7158118.5099999998</v>
      </c>
      <c r="F139" s="280">
        <f t="shared" si="23"/>
        <v>0.88463806764748176</v>
      </c>
      <c r="G139" s="32">
        <v>3432556.5</v>
      </c>
      <c r="H139" s="48">
        <f t="shared" si="24"/>
        <v>0.42421345008589462</v>
      </c>
      <c r="I139" s="32">
        <v>2071726.48</v>
      </c>
      <c r="J139" s="178">
        <f t="shared" si="25"/>
        <v>0.25603489344315411</v>
      </c>
      <c r="K139" s="610">
        <v>3172415</v>
      </c>
      <c r="L139" s="280">
        <v>0.54467314568712233</v>
      </c>
      <c r="M139" s="211">
        <f t="shared" si="26"/>
        <v>8.2001093803931724E-2</v>
      </c>
      <c r="N139" s="610">
        <v>1673021.43</v>
      </c>
      <c r="O139" s="280">
        <v>0.28724168971590025</v>
      </c>
      <c r="P139" s="211">
        <f t="shared" si="27"/>
        <v>0.23831437114347076</v>
      </c>
    </row>
    <row r="140" spans="1:19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7088107.79</v>
      </c>
      <c r="E140" s="32">
        <v>5607315.2800000003</v>
      </c>
      <c r="F140" s="280">
        <f t="shared" si="23"/>
        <v>0.79108775517083385</v>
      </c>
      <c r="G140" s="32">
        <v>5169132.26</v>
      </c>
      <c r="H140" s="48">
        <f t="shared" si="24"/>
        <v>0.72926829178482344</v>
      </c>
      <c r="I140" s="32">
        <v>3018793.59</v>
      </c>
      <c r="J140" s="178">
        <f t="shared" si="25"/>
        <v>0.42589555343091079</v>
      </c>
      <c r="K140" s="610">
        <v>4492034.3099999996</v>
      </c>
      <c r="L140" s="390">
        <v>0.70009277576681084</v>
      </c>
      <c r="M140" s="211">
        <f t="shared" si="26"/>
        <v>0.15073303168960006</v>
      </c>
      <c r="N140" s="610">
        <v>2814684.75</v>
      </c>
      <c r="O140" s="390">
        <v>0.43867440084980391</v>
      </c>
      <c r="P140" s="211">
        <f t="shared" si="27"/>
        <v>7.2515701802839505E-2</v>
      </c>
    </row>
    <row r="141" spans="1:19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5843677.9800000004</v>
      </c>
      <c r="E141" s="32">
        <v>3905961.07</v>
      </c>
      <c r="F141" s="280">
        <f t="shared" si="23"/>
        <v>0.66840799294009001</v>
      </c>
      <c r="G141" s="32">
        <v>3739031.74</v>
      </c>
      <c r="H141" s="48">
        <f t="shared" si="24"/>
        <v>0.63984219404232123</v>
      </c>
      <c r="I141" s="32">
        <v>2385124.2000000002</v>
      </c>
      <c r="J141" s="178">
        <f t="shared" si="25"/>
        <v>0.4081546259330327</v>
      </c>
      <c r="K141" s="610">
        <v>3470047.6</v>
      </c>
      <c r="L141" s="390">
        <v>0.54965226995424887</v>
      </c>
      <c r="M141" s="211">
        <f t="shared" si="26"/>
        <v>7.7515979896068288E-2</v>
      </c>
      <c r="N141" s="610">
        <v>2523198.79</v>
      </c>
      <c r="O141" s="390">
        <v>0.39967231068222636</v>
      </c>
      <c r="P141" s="211">
        <f t="shared" si="27"/>
        <v>-5.472204193629937E-2</v>
      </c>
    </row>
    <row r="142" spans="1:19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1183375.6499999999</v>
      </c>
      <c r="E142" s="32">
        <v>744892.82</v>
      </c>
      <c r="F142" s="280">
        <f t="shared" si="23"/>
        <v>0.6294643801399834</v>
      </c>
      <c r="G142" s="32">
        <v>503047.69</v>
      </c>
      <c r="H142" s="48">
        <f t="shared" si="24"/>
        <v>0.42509552228829456</v>
      </c>
      <c r="I142" s="32">
        <v>280312.95</v>
      </c>
      <c r="J142" s="178">
        <f t="shared" si="25"/>
        <v>0.236875712289669</v>
      </c>
      <c r="K142" s="610">
        <v>548374.29</v>
      </c>
      <c r="L142" s="390">
        <v>0.59005841185025409</v>
      </c>
      <c r="M142" s="211">
        <f t="shared" si="26"/>
        <v>-8.265631855206057E-2</v>
      </c>
      <c r="N142" s="610">
        <v>302559.2</v>
      </c>
      <c r="O142" s="390">
        <v>0.32555793423992108</v>
      </c>
      <c r="P142" s="211">
        <f t="shared" si="27"/>
        <v>-7.3526932910980669E-2</v>
      </c>
    </row>
    <row r="143" spans="1:19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2341043.89</v>
      </c>
      <c r="F143" s="280">
        <f t="shared" si="23"/>
        <v>0.73473777389763728</v>
      </c>
      <c r="G143" s="32">
        <v>1775249.95</v>
      </c>
      <c r="H143" s="48">
        <f t="shared" si="24"/>
        <v>0.55716306812807836</v>
      </c>
      <c r="I143" s="32">
        <v>1166846.32</v>
      </c>
      <c r="J143" s="178">
        <f t="shared" si="25"/>
        <v>0.36621529023851407</v>
      </c>
      <c r="K143" s="610">
        <v>981299.84</v>
      </c>
      <c r="L143" s="390">
        <v>0.39677587465137654</v>
      </c>
      <c r="M143" s="211">
        <f t="shared" si="26"/>
        <v>0.80908003612840695</v>
      </c>
      <c r="N143" s="610">
        <v>583344.27</v>
      </c>
      <c r="O143" s="390">
        <v>0.23586769661770121</v>
      </c>
      <c r="P143" s="211">
        <f t="shared" si="27"/>
        <v>1.0002704749289815</v>
      </c>
    </row>
    <row r="144" spans="1:19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3884310.59</v>
      </c>
      <c r="E144" s="32">
        <v>3383804.25</v>
      </c>
      <c r="F144" s="280">
        <f t="shared" si="23"/>
        <v>0.87114667367523768</v>
      </c>
      <c r="G144" s="32">
        <v>2898125.94</v>
      </c>
      <c r="H144" s="48">
        <f t="shared" si="24"/>
        <v>0.74611076350616956</v>
      </c>
      <c r="I144" s="32">
        <v>1990831.39</v>
      </c>
      <c r="J144" s="178">
        <f t="shared" si="25"/>
        <v>0.51253146314440323</v>
      </c>
      <c r="K144" s="610">
        <v>2399019.6</v>
      </c>
      <c r="L144" s="390">
        <v>0.63984399775957757</v>
      </c>
      <c r="M144" s="211">
        <f t="shared" si="26"/>
        <v>0.20804596177538515</v>
      </c>
      <c r="N144" s="610">
        <v>1626436.48</v>
      </c>
      <c r="O144" s="390">
        <v>0.43378787712497852</v>
      </c>
      <c r="P144" s="211">
        <f t="shared" si="27"/>
        <v>0.22404496854374534</v>
      </c>
      <c r="R144" s="275"/>
      <c r="S144" s="275"/>
    </row>
    <row r="145" spans="1:19" ht="14.1" customHeight="1" x14ac:dyDescent="0.25">
      <c r="A145" s="39" t="s">
        <v>646</v>
      </c>
      <c r="B145" s="40" t="s">
        <v>647</v>
      </c>
      <c r="C145" s="199">
        <v>543815.78</v>
      </c>
      <c r="D145" s="205">
        <v>704940.24</v>
      </c>
      <c r="E145" s="32">
        <v>630362.25</v>
      </c>
      <c r="F145" s="280">
        <f t="shared" ref="F145:F174" si="28">+E145/D145</f>
        <v>0.89420664934661698</v>
      </c>
      <c r="G145" s="32">
        <v>624876.5</v>
      </c>
      <c r="H145" s="48">
        <f>+G145/D145</f>
        <v>0.88642478403559433</v>
      </c>
      <c r="I145" s="32">
        <v>421982.15</v>
      </c>
      <c r="J145" s="178">
        <f>+I145/D145</f>
        <v>0.59860698262876866</v>
      </c>
      <c r="K145" s="610">
        <v>461811.03</v>
      </c>
      <c r="L145" s="390">
        <v>0.81858804556757048</v>
      </c>
      <c r="M145" s="211">
        <f t="shared" si="26"/>
        <v>0.35309998983783464</v>
      </c>
      <c r="N145" s="610">
        <v>319425.93</v>
      </c>
      <c r="O145" s="390">
        <v>0.56620182446119471</v>
      </c>
      <c r="P145" s="211">
        <f t="shared" si="27"/>
        <v>0.32106416658159231</v>
      </c>
      <c r="R145" s="275"/>
      <c r="S145" s="275"/>
    </row>
    <row r="146" spans="1:19" ht="14.1" customHeight="1" x14ac:dyDescent="0.25">
      <c r="A146" s="39" t="s">
        <v>648</v>
      </c>
      <c r="B146" s="40" t="s">
        <v>649</v>
      </c>
      <c r="C146" s="199">
        <v>10158466.529999999</v>
      </c>
      <c r="D146" s="205">
        <v>10155736.529999999</v>
      </c>
      <c r="E146" s="32">
        <v>8585855.3800000008</v>
      </c>
      <c r="F146" s="280">
        <f t="shared" si="28"/>
        <v>0.84541927162421193</v>
      </c>
      <c r="G146" s="32">
        <v>3411190.99</v>
      </c>
      <c r="H146" s="48">
        <f>+G146/D146</f>
        <v>0.33588809437142819</v>
      </c>
      <c r="I146" s="32">
        <v>679002.55</v>
      </c>
      <c r="J146" s="178">
        <f>+I146/D146</f>
        <v>6.6859015886659684E-2</v>
      </c>
      <c r="K146" s="610">
        <v>2662363.61</v>
      </c>
      <c r="L146" s="390">
        <v>0.29218094171081743</v>
      </c>
      <c r="M146" s="211">
        <f t="shared" si="26"/>
        <v>0.28126412830590053</v>
      </c>
      <c r="N146" s="610">
        <v>419407.73</v>
      </c>
      <c r="O146" s="390">
        <v>4.6027877278639731E-2</v>
      </c>
      <c r="P146" s="211">
        <f t="shared" si="27"/>
        <v>0.61895573550826088</v>
      </c>
    </row>
    <row r="147" spans="1:19" ht="14.1" customHeight="1" x14ac:dyDescent="0.25">
      <c r="A147" s="253">
        <v>2341</v>
      </c>
      <c r="B147" s="40" t="s">
        <v>431</v>
      </c>
      <c r="C147" s="199">
        <v>10668077.699999999</v>
      </c>
      <c r="D147" s="205">
        <v>10738140.09</v>
      </c>
      <c r="E147" s="32">
        <v>10614619.6</v>
      </c>
      <c r="F147" s="280">
        <f t="shared" si="28"/>
        <v>0.98849703123960642</v>
      </c>
      <c r="G147" s="32">
        <v>10581915.199999999</v>
      </c>
      <c r="H147" s="48">
        <f>+G147/D147</f>
        <v>0.98545140138882281</v>
      </c>
      <c r="I147" s="32">
        <v>6269864.7800000003</v>
      </c>
      <c r="J147" s="178">
        <f>+I147/D147</f>
        <v>0.58388740763764801</v>
      </c>
      <c r="K147" s="610">
        <v>10638823.890000001</v>
      </c>
      <c r="L147" s="390">
        <v>0.97981630647972984</v>
      </c>
      <c r="M147" s="211">
        <f t="shared" si="26"/>
        <v>-5.3491523676308939E-3</v>
      </c>
      <c r="N147" s="610">
        <v>5894331.6600000001</v>
      </c>
      <c r="O147" s="390">
        <v>0.5428572120360321</v>
      </c>
      <c r="P147" s="211">
        <f t="shared" si="27"/>
        <v>6.3710890676280663E-2</v>
      </c>
    </row>
    <row r="148" spans="1:19" ht="14.1" customHeight="1" x14ac:dyDescent="0.25">
      <c r="A148" s="527">
        <v>2</v>
      </c>
      <c r="B148" s="514" t="s">
        <v>125</v>
      </c>
      <c r="C148" s="201">
        <f>SUM(C122:C130,C135:C147)</f>
        <v>322762317.93999994</v>
      </c>
      <c r="D148" s="207">
        <f>SUM(D122:D130,D135:D147)</f>
        <v>329580157.62</v>
      </c>
      <c r="E148" s="203">
        <f>SUM(E122:E130,E135:E147)</f>
        <v>291717822.81</v>
      </c>
      <c r="F148" s="263">
        <f t="shared" si="28"/>
        <v>0.8851194954107201</v>
      </c>
      <c r="G148" s="203">
        <f>SUM(G122:G130,G135:G147)</f>
        <v>269293899.54000002</v>
      </c>
      <c r="H148" s="232">
        <f>G148/D148</f>
        <v>0.81708165165237601</v>
      </c>
      <c r="I148" s="203">
        <f>SUM(I122:I130,I135:I147)</f>
        <v>181348495.46999997</v>
      </c>
      <c r="J148" s="277">
        <f>I148/D148</f>
        <v>0.55024093919844386</v>
      </c>
      <c r="K148" s="562">
        <f>SUM(K122:K147)</f>
        <v>244431767.66000003</v>
      </c>
      <c r="L148" s="90">
        <v>0.82</v>
      </c>
      <c r="M148" s="213">
        <f t="shared" ref="M148:M172" si="29">+G148/K148-1</f>
        <v>0.10171399617165444</v>
      </c>
      <c r="N148" s="562">
        <f>SUM(N122:N147)</f>
        <v>174155577.71999997</v>
      </c>
      <c r="O148" s="90">
        <v>0.57999999999999996</v>
      </c>
      <c r="P148" s="213">
        <f>+I148/N148-1</f>
        <v>4.1301678902093242E-2</v>
      </c>
    </row>
    <row r="149" spans="1:19" ht="14.1" customHeight="1" x14ac:dyDescent="0.25">
      <c r="A149" s="37">
        <v>3111</v>
      </c>
      <c r="B149" s="38" t="s">
        <v>651</v>
      </c>
      <c r="C149" s="198">
        <v>19998074.850000001</v>
      </c>
      <c r="D149" s="512">
        <v>19328914.66</v>
      </c>
      <c r="E149" s="180">
        <v>18454755.210000001</v>
      </c>
      <c r="F149" s="48">
        <f t="shared" si="28"/>
        <v>0.95477451965738058</v>
      </c>
      <c r="G149" s="180">
        <v>18337180.050000001</v>
      </c>
      <c r="H149" s="48">
        <f t="shared" ref="H149:H198" si="30">+G149/D149</f>
        <v>0.94869165561311453</v>
      </c>
      <c r="I149" s="180">
        <v>11814437.699999999</v>
      </c>
      <c r="J149" s="153">
        <f t="shared" ref="J149:J198" si="31">+I149/D149</f>
        <v>0.61123130335141118</v>
      </c>
      <c r="K149" s="609">
        <v>17280768.239999998</v>
      </c>
      <c r="L149" s="48">
        <v>0.98568577682738534</v>
      </c>
      <c r="M149" s="210">
        <f t="shared" si="29"/>
        <v>6.1132224871502716E-2</v>
      </c>
      <c r="N149" s="609">
        <v>14145764.359999999</v>
      </c>
      <c r="O149" s="48">
        <v>0.80686683244377233</v>
      </c>
      <c r="P149" s="210">
        <f>+I149/N149-1</f>
        <v>-0.16480740104736202</v>
      </c>
    </row>
    <row r="150" spans="1:19" ht="14.1" customHeight="1" x14ac:dyDescent="0.25">
      <c r="A150" s="37" t="s">
        <v>650</v>
      </c>
      <c r="B150" s="38" t="s">
        <v>652</v>
      </c>
      <c r="C150" s="200">
        <v>2248848</v>
      </c>
      <c r="D150" s="206">
        <v>4057577.19</v>
      </c>
      <c r="E150" s="34">
        <v>4057577.19</v>
      </c>
      <c r="F150" s="48">
        <f t="shared" si="28"/>
        <v>1</v>
      </c>
      <c r="G150" s="34">
        <v>4057577.19</v>
      </c>
      <c r="H150" s="48">
        <f t="shared" si="30"/>
        <v>1</v>
      </c>
      <c r="I150" s="34">
        <v>2248848</v>
      </c>
      <c r="J150" s="153">
        <f t="shared" si="31"/>
        <v>0.55423418821023096</v>
      </c>
      <c r="K150" s="609">
        <v>2248848</v>
      </c>
      <c r="L150" s="48">
        <v>1</v>
      </c>
      <c r="M150" s="210">
        <f t="shared" si="29"/>
        <v>0.8042914372158545</v>
      </c>
      <c r="N150" s="609">
        <v>2248848</v>
      </c>
      <c r="O150" s="48">
        <v>1</v>
      </c>
      <c r="P150" s="210">
        <f>+I150/N150-1</f>
        <v>0</v>
      </c>
    </row>
    <row r="151" spans="1:19" ht="14.1" customHeight="1" x14ac:dyDescent="0.25">
      <c r="A151" s="37">
        <v>3131</v>
      </c>
      <c r="B151" s="38" t="s">
        <v>761</v>
      </c>
      <c r="C151" s="200">
        <v>9000</v>
      </c>
      <c r="D151" s="206">
        <v>6000</v>
      </c>
      <c r="E151" s="34">
        <v>6000</v>
      </c>
      <c r="F151" s="48">
        <f t="shared" si="28"/>
        <v>1</v>
      </c>
      <c r="G151" s="34">
        <v>5190</v>
      </c>
      <c r="H151" s="48">
        <f t="shared" si="30"/>
        <v>0.86499999999999999</v>
      </c>
      <c r="I151" s="34">
        <v>5190</v>
      </c>
      <c r="J151" s="153">
        <f t="shared" si="31"/>
        <v>0.86499999999999999</v>
      </c>
      <c r="K151" s="609">
        <v>0</v>
      </c>
      <c r="L151" s="48">
        <v>0</v>
      </c>
      <c r="M151" s="210" t="s">
        <v>129</v>
      </c>
      <c r="N151" s="609">
        <v>0</v>
      </c>
      <c r="O151" s="48">
        <v>0</v>
      </c>
      <c r="P151" s="210" t="s">
        <v>129</v>
      </c>
    </row>
    <row r="152" spans="1:19" ht="14.1" customHeight="1" x14ac:dyDescent="0.25">
      <c r="A152" s="39" t="s">
        <v>653</v>
      </c>
      <c r="B152" s="40" t="s">
        <v>654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7100000</v>
      </c>
      <c r="J152" s="178">
        <f t="shared" si="31"/>
        <v>0.66510933096690805</v>
      </c>
      <c r="K152" s="610">
        <v>22965790.039999999</v>
      </c>
      <c r="L152" s="280">
        <v>1</v>
      </c>
      <c r="M152" s="212">
        <f t="shared" si="29"/>
        <v>-0.53518095082262629</v>
      </c>
      <c r="N152" s="610">
        <v>6406181.4900000002</v>
      </c>
      <c r="O152" s="280">
        <v>0.27894452918197976</v>
      </c>
      <c r="P152" s="210">
        <f t="shared" ref="P152:P171" si="32">+I152/N152-1</f>
        <v>0.10830453540584895</v>
      </c>
    </row>
    <row r="153" spans="1:19" ht="14.1" customHeight="1" x14ac:dyDescent="0.25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34681050</v>
      </c>
      <c r="J153" s="178">
        <f t="shared" si="31"/>
        <v>0.85421642876288206</v>
      </c>
      <c r="K153" s="573">
        <v>37980210.549999997</v>
      </c>
      <c r="L153" s="604">
        <v>1</v>
      </c>
      <c r="M153" s="211">
        <f t="shared" si="29"/>
        <v>6.8973526530384133E-2</v>
      </c>
      <c r="N153" s="573">
        <v>37980210.549999997</v>
      </c>
      <c r="O153" s="604">
        <v>1</v>
      </c>
      <c r="P153" s="210">
        <f t="shared" si="32"/>
        <v>-8.686525172515136E-2</v>
      </c>
    </row>
    <row r="154" spans="1:19" ht="14.1" customHeight="1" x14ac:dyDescent="0.25">
      <c r="A154" s="253" t="s">
        <v>655</v>
      </c>
      <c r="B154" s="40" t="s">
        <v>656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3">
        <v>1326943.5</v>
      </c>
      <c r="L154" s="604">
        <v>1</v>
      </c>
      <c r="M154" s="211">
        <f t="shared" si="29"/>
        <v>0.18840289733511639</v>
      </c>
      <c r="N154" s="573">
        <v>0</v>
      </c>
      <c r="O154" s="604">
        <v>0</v>
      </c>
      <c r="P154" s="210" t="s">
        <v>129</v>
      </c>
    </row>
    <row r="155" spans="1:19" ht="14.1" customHeight="1" x14ac:dyDescent="0.25">
      <c r="A155" s="39" t="s">
        <v>657</v>
      </c>
      <c r="B155" s="40" t="s">
        <v>658</v>
      </c>
      <c r="C155" s="200">
        <v>8163831</v>
      </c>
      <c r="D155" s="206">
        <v>8163831</v>
      </c>
      <c r="E155" s="34">
        <v>8163831</v>
      </c>
      <c r="F155" s="280">
        <f t="shared" si="28"/>
        <v>1</v>
      </c>
      <c r="G155" s="34">
        <v>8163831</v>
      </c>
      <c r="H155" s="280">
        <f t="shared" si="30"/>
        <v>1</v>
      </c>
      <c r="I155" s="34">
        <v>5416531</v>
      </c>
      <c r="J155" s="178">
        <f t="shared" si="31"/>
        <v>0.66347907005914253</v>
      </c>
      <c r="K155" s="573">
        <v>7493661</v>
      </c>
      <c r="L155" s="280">
        <v>1</v>
      </c>
      <c r="M155" s="211">
        <f t="shared" si="29"/>
        <v>8.9431587577820881E-2</v>
      </c>
      <c r="N155" s="573">
        <v>2077130</v>
      </c>
      <c r="O155" s="280">
        <v>0.27718494338081212</v>
      </c>
      <c r="P155" s="210">
        <f t="shared" si="32"/>
        <v>1.6076995662284017</v>
      </c>
    </row>
    <row r="156" spans="1:19" ht="14.1" customHeight="1" x14ac:dyDescent="0.25">
      <c r="A156" s="39" t="s">
        <v>659</v>
      </c>
      <c r="B156" s="40" t="s">
        <v>114</v>
      </c>
      <c r="C156" s="200">
        <v>9096798.4100000001</v>
      </c>
      <c r="D156" s="206">
        <v>9101019.4399999995</v>
      </c>
      <c r="E156" s="34">
        <v>8930530.9100000001</v>
      </c>
      <c r="F156" s="280">
        <f t="shared" si="28"/>
        <v>0.98126709528267975</v>
      </c>
      <c r="G156" s="34">
        <v>8847683.3599999994</v>
      </c>
      <c r="H156" s="280">
        <f t="shared" si="30"/>
        <v>0.97216398869707277</v>
      </c>
      <c r="I156" s="34">
        <v>6641386.9199999999</v>
      </c>
      <c r="J156" s="178">
        <f t="shared" si="31"/>
        <v>0.72974098822494116</v>
      </c>
      <c r="K156" s="573">
        <v>6743038.1799999997</v>
      </c>
      <c r="L156" s="280">
        <v>0.94366711481947441</v>
      </c>
      <c r="M156" s="211">
        <f t="shared" si="29"/>
        <v>0.31212120172215907</v>
      </c>
      <c r="N156" s="573">
        <v>420620.64</v>
      </c>
      <c r="O156" s="280">
        <v>5.8864543724461135E-2</v>
      </c>
      <c r="P156" s="210">
        <f t="shared" si="32"/>
        <v>14.789493639684443</v>
      </c>
    </row>
    <row r="157" spans="1:19" ht="14.1" customHeight="1" x14ac:dyDescent="0.25">
      <c r="A157" s="39" t="s">
        <v>660</v>
      </c>
      <c r="B157" s="40" t="s">
        <v>661</v>
      </c>
      <c r="C157" s="200">
        <v>8827393.0999999996</v>
      </c>
      <c r="D157" s="206">
        <v>8809766.0999999996</v>
      </c>
      <c r="E157" s="34">
        <v>8744700.8900000006</v>
      </c>
      <c r="F157" s="280">
        <f t="shared" si="28"/>
        <v>0.99261442253273913</v>
      </c>
      <c r="G157" s="34">
        <v>8744700.8900000006</v>
      </c>
      <c r="H157" s="280">
        <f t="shared" si="30"/>
        <v>0.99261442253273913</v>
      </c>
      <c r="I157" s="34">
        <v>0</v>
      </c>
      <c r="J157" s="178">
        <f t="shared" si="31"/>
        <v>0</v>
      </c>
      <c r="K157" s="573">
        <v>8147393.0999999996</v>
      </c>
      <c r="L157" s="280">
        <v>0.83328889578961496</v>
      </c>
      <c r="M157" s="211">
        <f t="shared" si="29"/>
        <v>7.3312749571393665E-2</v>
      </c>
      <c r="N157" s="573">
        <v>3679022</v>
      </c>
      <c r="O157" s="280">
        <v>0.37627841719895666</v>
      </c>
      <c r="P157" s="210">
        <f t="shared" si="32"/>
        <v>-1</v>
      </c>
    </row>
    <row r="158" spans="1:19" ht="14.1" customHeight="1" x14ac:dyDescent="0.25">
      <c r="A158" s="39">
        <v>3281</v>
      </c>
      <c r="B158" s="40" t="s">
        <v>664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3">
        <v>5155750.58</v>
      </c>
      <c r="L158" s="280">
        <v>1</v>
      </c>
      <c r="M158" s="211">
        <f t="shared" si="29"/>
        <v>1.9400573873377569E-2</v>
      </c>
      <c r="N158" s="573">
        <v>3995890.58</v>
      </c>
      <c r="O158" s="280">
        <v>0.77503566512715205</v>
      </c>
      <c r="P158" s="210">
        <f t="shared" si="32"/>
        <v>-1</v>
      </c>
    </row>
    <row r="159" spans="1:19" ht="14.1" customHeight="1" x14ac:dyDescent="0.25">
      <c r="A159" s="39" t="s">
        <v>662</v>
      </c>
      <c r="B159" s="40" t="s">
        <v>665</v>
      </c>
      <c r="C159" s="200">
        <v>2919606</v>
      </c>
      <c r="D159" s="206">
        <v>3019606</v>
      </c>
      <c r="E159" s="34">
        <v>2919606</v>
      </c>
      <c r="F159" s="280">
        <f t="shared" si="28"/>
        <v>0.96688309666890315</v>
      </c>
      <c r="G159" s="34">
        <v>2919606</v>
      </c>
      <c r="H159" s="280">
        <f t="shared" si="30"/>
        <v>0.96688309666890315</v>
      </c>
      <c r="I159" s="34">
        <v>0</v>
      </c>
      <c r="J159" s="178">
        <f t="shared" si="31"/>
        <v>0</v>
      </c>
      <c r="K159" s="573">
        <v>2919606</v>
      </c>
      <c r="L159" s="280">
        <v>1</v>
      </c>
      <c r="M159" s="211">
        <f t="shared" si="29"/>
        <v>0</v>
      </c>
      <c r="N159" s="573">
        <v>0</v>
      </c>
      <c r="O159" s="280">
        <v>0</v>
      </c>
      <c r="P159" s="210" t="s">
        <v>129</v>
      </c>
    </row>
    <row r="160" spans="1:19" ht="14.1" customHeight="1" x14ac:dyDescent="0.25">
      <c r="A160" s="39" t="s">
        <v>663</v>
      </c>
      <c r="B160" s="40" t="s">
        <v>666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3">
        <v>1326943.5</v>
      </c>
      <c r="L160" s="280">
        <v>1</v>
      </c>
      <c r="M160" s="211">
        <f t="shared" si="29"/>
        <v>0</v>
      </c>
      <c r="N160" s="573">
        <v>183170.45</v>
      </c>
      <c r="O160" s="280">
        <v>0.13803937394470828</v>
      </c>
      <c r="P160" s="210">
        <f t="shared" si="32"/>
        <v>-1</v>
      </c>
    </row>
    <row r="161" spans="1:19" ht="14.1" customHeight="1" x14ac:dyDescent="0.25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26200000</v>
      </c>
      <c r="J161" s="178">
        <f t="shared" si="31"/>
        <v>0.78499070165930063</v>
      </c>
      <c r="K161" s="573">
        <v>30377801.829999998</v>
      </c>
      <c r="L161" s="604">
        <v>1</v>
      </c>
      <c r="M161" s="211">
        <f t="shared" si="29"/>
        <v>9.8703313254183689E-2</v>
      </c>
      <c r="N161" s="573">
        <v>24137661.829999998</v>
      </c>
      <c r="O161" s="604">
        <v>0.79458224018574419</v>
      </c>
      <c r="P161" s="210">
        <f t="shared" si="32"/>
        <v>8.5440677084835936E-2</v>
      </c>
    </row>
    <row r="162" spans="1:19" ht="14.1" customHeight="1" x14ac:dyDescent="0.25">
      <c r="A162" s="253" t="s">
        <v>667</v>
      </c>
      <c r="B162" s="40" t="s">
        <v>668</v>
      </c>
      <c r="C162" s="200">
        <v>28640778.239999998</v>
      </c>
      <c r="D162" s="206">
        <v>22684621.100000001</v>
      </c>
      <c r="E162" s="34">
        <v>20472746.260000002</v>
      </c>
      <c r="F162" s="280">
        <f t="shared" si="28"/>
        <v>0.90249452127723662</v>
      </c>
      <c r="G162" s="34">
        <v>20472746.260000002</v>
      </c>
      <c r="H162" s="280">
        <f t="shared" si="30"/>
        <v>0.90249452127723662</v>
      </c>
      <c r="I162" s="34">
        <v>9292890.2200000007</v>
      </c>
      <c r="J162" s="178">
        <f t="shared" si="31"/>
        <v>0.40965595938474814</v>
      </c>
      <c r="K162" s="573">
        <v>16608497.810000001</v>
      </c>
      <c r="L162" s="280">
        <v>0.97497884431821236</v>
      </c>
      <c r="M162" s="211">
        <f t="shared" si="29"/>
        <v>0.23266694521122377</v>
      </c>
      <c r="N162" s="573">
        <v>9243589.9700000007</v>
      </c>
      <c r="O162" s="280">
        <v>0.54263213743964833</v>
      </c>
      <c r="P162" s="210">
        <f t="shared" si="32"/>
        <v>5.3334527126369657E-3</v>
      </c>
    </row>
    <row r="163" spans="1:19" s="6" customFormat="1" ht="14.1" customHeight="1" x14ac:dyDescent="0.25">
      <c r="A163" s="39" t="s">
        <v>669</v>
      </c>
      <c r="B163" s="40" t="s">
        <v>670</v>
      </c>
      <c r="C163" s="200">
        <v>12623127.310000001</v>
      </c>
      <c r="D163" s="206">
        <v>12910548.640000001</v>
      </c>
      <c r="E163" s="34">
        <v>12607679.33</v>
      </c>
      <c r="F163" s="280">
        <f t="shared" si="28"/>
        <v>0.97654094195024077</v>
      </c>
      <c r="G163" s="34">
        <v>12553628.58</v>
      </c>
      <c r="H163" s="280">
        <f t="shared" si="30"/>
        <v>0.97235438477849223</v>
      </c>
      <c r="I163" s="34">
        <v>7081193.5199999996</v>
      </c>
      <c r="J163" s="178">
        <f t="shared" si="31"/>
        <v>0.5484812239551734</v>
      </c>
      <c r="K163" s="573">
        <v>12547145.189999999</v>
      </c>
      <c r="L163" s="280">
        <v>0.9836913443622326</v>
      </c>
      <c r="M163" s="211">
        <f t="shared" si="29"/>
        <v>5.16722322235319E-4</v>
      </c>
      <c r="N163" s="573">
        <v>12415376.720000001</v>
      </c>
      <c r="O163" s="280">
        <v>0.97336074712787846</v>
      </c>
      <c r="P163" s="210">
        <f t="shared" si="32"/>
        <v>-0.42964328189954437</v>
      </c>
      <c r="R163" s="255"/>
    </row>
    <row r="164" spans="1:19" s="272" customFormat="1" ht="14.1" customHeight="1" x14ac:dyDescent="0.25">
      <c r="A164" s="39" t="s">
        <v>671</v>
      </c>
      <c r="B164" s="40" t="s">
        <v>672</v>
      </c>
      <c r="C164" s="200">
        <v>48067327.659999996</v>
      </c>
      <c r="D164" s="206">
        <v>51847827.659999996</v>
      </c>
      <c r="E164" s="34">
        <v>48067327.659999996</v>
      </c>
      <c r="F164" s="280">
        <f t="shared" si="28"/>
        <v>0.9270846982289942</v>
      </c>
      <c r="G164" s="34">
        <v>48067327.659999996</v>
      </c>
      <c r="H164" s="280">
        <f t="shared" si="30"/>
        <v>0.9270846982289942</v>
      </c>
      <c r="I164" s="34">
        <v>40000000</v>
      </c>
      <c r="J164" s="178">
        <f t="shared" si="31"/>
        <v>0.77148844619500889</v>
      </c>
      <c r="K164" s="573">
        <v>48905673.659999996</v>
      </c>
      <c r="L164" s="280">
        <v>1</v>
      </c>
      <c r="M164" s="211">
        <f t="shared" si="29"/>
        <v>-1.7142101054129499E-2</v>
      </c>
      <c r="N164" s="573">
        <v>47370497.799999997</v>
      </c>
      <c r="O164" s="280">
        <v>0.96860945274626442</v>
      </c>
      <c r="P164" s="210">
        <f t="shared" si="32"/>
        <v>-0.15559257644111135</v>
      </c>
      <c r="R164" s="273"/>
      <c r="S164" s="274"/>
    </row>
    <row r="165" spans="1:19" x14ac:dyDescent="0.25">
      <c r="A165" s="39" t="s">
        <v>673</v>
      </c>
      <c r="B165" s="40" t="s">
        <v>674</v>
      </c>
      <c r="C165" s="200">
        <v>17219551.329999998</v>
      </c>
      <c r="D165" s="206">
        <v>18169551.329999998</v>
      </c>
      <c r="E165" s="34">
        <v>17219551.329999998</v>
      </c>
      <c r="F165" s="280">
        <f t="shared" si="28"/>
        <v>0.94771472433491288</v>
      </c>
      <c r="G165" s="34">
        <v>17219551.329999998</v>
      </c>
      <c r="H165" s="280">
        <f t="shared" si="30"/>
        <v>0.94771472433491288</v>
      </c>
      <c r="I165" s="34">
        <v>13500000</v>
      </c>
      <c r="J165" s="178">
        <f t="shared" si="31"/>
        <v>0.74300128576702729</v>
      </c>
      <c r="K165" s="573">
        <v>17284551.329999998</v>
      </c>
      <c r="L165" s="280">
        <v>1</v>
      </c>
      <c r="M165" s="211">
        <f t="shared" si="29"/>
        <v>-3.7605835846709068E-3</v>
      </c>
      <c r="N165" s="573">
        <v>11265000</v>
      </c>
      <c r="O165" s="280">
        <v>0.6517380627895073</v>
      </c>
      <c r="P165" s="210">
        <f t="shared" si="32"/>
        <v>0.19840213049267641</v>
      </c>
    </row>
    <row r="166" spans="1:19" x14ac:dyDescent="0.25">
      <c r="A166" s="39" t="s">
        <v>675</v>
      </c>
      <c r="B166" s="40" t="s">
        <v>102</v>
      </c>
      <c r="C166" s="200">
        <v>17748245.370000001</v>
      </c>
      <c r="D166" s="206">
        <v>20626145.18</v>
      </c>
      <c r="E166" s="34">
        <v>17799364.100000001</v>
      </c>
      <c r="F166" s="280">
        <f t="shared" si="28"/>
        <v>0.86295155709749549</v>
      </c>
      <c r="G166" s="34">
        <v>17481627.039999999</v>
      </c>
      <c r="H166" s="280">
        <f t="shared" si="30"/>
        <v>0.84754697920728972</v>
      </c>
      <c r="I166" s="34">
        <v>15990246.060000001</v>
      </c>
      <c r="J166" s="178">
        <f t="shared" si="31"/>
        <v>0.77524161303319217</v>
      </c>
      <c r="K166" s="573">
        <v>15873381.609999999</v>
      </c>
      <c r="L166" s="604">
        <v>0.96376719604282679</v>
      </c>
      <c r="M166" s="211">
        <f t="shared" si="29"/>
        <v>0.10131712759849654</v>
      </c>
      <c r="N166" s="573">
        <v>1856734.55</v>
      </c>
      <c r="O166" s="604">
        <v>0.11273337307798398</v>
      </c>
      <c r="P166" s="210">
        <f t="shared" si="32"/>
        <v>7.6120259139896973</v>
      </c>
    </row>
    <row r="167" spans="1:19" x14ac:dyDescent="0.25">
      <c r="A167" s="253">
        <v>3361</v>
      </c>
      <c r="B167" s="40" t="s">
        <v>676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3">
        <v>211322.62</v>
      </c>
      <c r="L167" s="280">
        <v>1</v>
      </c>
      <c r="M167" s="212">
        <f t="shared" si="29"/>
        <v>0</v>
      </c>
      <c r="N167" s="573">
        <v>0</v>
      </c>
      <c r="O167" s="280">
        <v>0</v>
      </c>
      <c r="P167" s="210" t="s">
        <v>129</v>
      </c>
    </row>
    <row r="168" spans="1:19" x14ac:dyDescent="0.25">
      <c r="A168" s="253">
        <v>3371</v>
      </c>
      <c r="B168" s="40" t="s">
        <v>677</v>
      </c>
      <c r="C168" s="200">
        <v>15245118.1</v>
      </c>
      <c r="D168" s="206">
        <v>15961850.99</v>
      </c>
      <c r="E168" s="34">
        <v>14768633.91</v>
      </c>
      <c r="F168" s="280">
        <f t="shared" si="28"/>
        <v>0.92524569482903063</v>
      </c>
      <c r="G168" s="34">
        <v>14352081.09</v>
      </c>
      <c r="H168" s="280">
        <f t="shared" si="30"/>
        <v>0.89914892069794972</v>
      </c>
      <c r="I168" s="34">
        <v>8897816.4100000001</v>
      </c>
      <c r="J168" s="178">
        <f t="shared" si="31"/>
        <v>0.55744264343617955</v>
      </c>
      <c r="K168" s="573">
        <v>13690626.720000001</v>
      </c>
      <c r="L168" s="280">
        <v>0.92334012849085134</v>
      </c>
      <c r="M168" s="211">
        <f t="shared" si="29"/>
        <v>4.8314396669197901E-2</v>
      </c>
      <c r="N168" s="573">
        <v>7797979.71</v>
      </c>
      <c r="O168" s="280">
        <v>0.52592096290829637</v>
      </c>
      <c r="P168" s="210">
        <f t="shared" si="32"/>
        <v>0.14104123643584088</v>
      </c>
    </row>
    <row r="169" spans="1:19" x14ac:dyDescent="0.25">
      <c r="A169" s="253">
        <v>3381</v>
      </c>
      <c r="B169" s="40" t="s">
        <v>678</v>
      </c>
      <c r="C169" s="200">
        <v>8127724.7699999996</v>
      </c>
      <c r="D169" s="206">
        <v>8567515.1500000004</v>
      </c>
      <c r="E169" s="34">
        <v>7842454.3099999996</v>
      </c>
      <c r="F169" s="280">
        <f t="shared" si="28"/>
        <v>0.91537092992476343</v>
      </c>
      <c r="G169" s="34">
        <v>7612729.8399999999</v>
      </c>
      <c r="H169" s="280">
        <f t="shared" si="30"/>
        <v>0.8885574996619644</v>
      </c>
      <c r="I169" s="34">
        <v>2558034.31</v>
      </c>
      <c r="J169" s="178">
        <f t="shared" si="31"/>
        <v>0.29857365469613439</v>
      </c>
      <c r="K169" s="573">
        <v>7130776.8099999996</v>
      </c>
      <c r="L169" s="280">
        <v>0.91673133107398797</v>
      </c>
      <c r="M169" s="211">
        <f t="shared" si="29"/>
        <v>6.7587731721475697E-2</v>
      </c>
      <c r="N169" s="573">
        <v>5133974.8</v>
      </c>
      <c r="O169" s="280">
        <v>0.66002283867643741</v>
      </c>
      <c r="P169" s="210">
        <f t="shared" si="32"/>
        <v>-0.5017438905231868</v>
      </c>
      <c r="R169"/>
    </row>
    <row r="170" spans="1:19" x14ac:dyDescent="0.25">
      <c r="A170" s="253" t="s">
        <v>679</v>
      </c>
      <c r="B170" s="40" t="s">
        <v>680</v>
      </c>
      <c r="C170" s="200">
        <v>14042820.529999999</v>
      </c>
      <c r="D170" s="206">
        <v>13085983.560000001</v>
      </c>
      <c r="E170" s="34">
        <v>12609912.76</v>
      </c>
      <c r="F170" s="390">
        <f t="shared" si="28"/>
        <v>0.96361979229018679</v>
      </c>
      <c r="G170" s="34">
        <v>12499572.58</v>
      </c>
      <c r="H170" s="390">
        <f t="shared" si="30"/>
        <v>0.95518785597496192</v>
      </c>
      <c r="I170" s="34">
        <v>6959772.5800000001</v>
      </c>
      <c r="J170" s="392">
        <f t="shared" si="31"/>
        <v>0.53184940574692263</v>
      </c>
      <c r="K170" s="573">
        <v>12422023.470000001</v>
      </c>
      <c r="L170" s="390">
        <v>0.97508529817660383</v>
      </c>
      <c r="M170" s="211">
        <f t="shared" si="29"/>
        <v>6.2428726034278181E-3</v>
      </c>
      <c r="N170" s="573">
        <v>10343982.640000001</v>
      </c>
      <c r="O170" s="390">
        <v>0.81196637739551891</v>
      </c>
      <c r="P170" s="210">
        <f t="shared" si="32"/>
        <v>-0.32716702819215093</v>
      </c>
    </row>
    <row r="171" spans="1:19" x14ac:dyDescent="0.25">
      <c r="A171" s="253">
        <v>3421</v>
      </c>
      <c r="B171" s="40" t="s">
        <v>484</v>
      </c>
      <c r="C171" s="200">
        <v>5455050.5800000001</v>
      </c>
      <c r="D171" s="206">
        <v>6467254.8399999999</v>
      </c>
      <c r="E171" s="34">
        <v>6456013.3300000001</v>
      </c>
      <c r="F171" s="390">
        <f t="shared" si="28"/>
        <v>0.9982617802640974</v>
      </c>
      <c r="G171" s="34">
        <v>6456013.3300000001</v>
      </c>
      <c r="H171" s="390">
        <f t="shared" si="30"/>
        <v>0.9982617802640974</v>
      </c>
      <c r="I171" s="34">
        <v>1433683.53</v>
      </c>
      <c r="J171" s="392">
        <f t="shared" si="31"/>
        <v>0.22168347551926684</v>
      </c>
      <c r="K171" s="573">
        <v>6362437.7199999997</v>
      </c>
      <c r="L171" s="390">
        <v>0.9980841898224021</v>
      </c>
      <c r="M171" s="211">
        <f t="shared" si="29"/>
        <v>1.4707508995467355E-2</v>
      </c>
      <c r="N171" s="573">
        <v>83803.34</v>
      </c>
      <c r="O171" s="390">
        <v>1.3146343019654942E-2</v>
      </c>
      <c r="P171" s="210">
        <f t="shared" si="32"/>
        <v>16.10771348731447</v>
      </c>
      <c r="R171"/>
    </row>
    <row r="172" spans="1:19" x14ac:dyDescent="0.25">
      <c r="A172" s="663">
        <v>3431</v>
      </c>
      <c r="B172" s="662" t="s">
        <v>435</v>
      </c>
      <c r="C172" s="655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29">
        <v>7608676.7199999997</v>
      </c>
      <c r="L172" s="412">
        <v>1</v>
      </c>
      <c r="M172" s="659">
        <f t="shared" si="29"/>
        <v>-0.14322142208192024</v>
      </c>
      <c r="N172" s="629">
        <v>0</v>
      </c>
      <c r="O172" s="412">
        <v>0</v>
      </c>
      <c r="P172" s="210" t="s">
        <v>129</v>
      </c>
    </row>
    <row r="173" spans="1:19" x14ac:dyDescent="0.25">
      <c r="A173" s="527">
        <v>3</v>
      </c>
      <c r="B173" s="2" t="s">
        <v>124</v>
      </c>
      <c r="C173" s="201">
        <f>SUBTOTAL(9,C149:C172)</f>
        <v>317974199.00999999</v>
      </c>
      <c r="D173" s="207">
        <f>SUBTOTAL(9,D149:D172)</f>
        <v>322348916.60000002</v>
      </c>
      <c r="E173" s="203">
        <f>SUBTOTAL(9,E149:E172)</f>
        <v>308661587.94999999</v>
      </c>
      <c r="F173" s="90">
        <f t="shared" si="28"/>
        <v>0.95753877880413496</v>
      </c>
      <c r="G173" s="203">
        <f>SUBTOTAL(9,G149:G172)</f>
        <v>307331949.95999998</v>
      </c>
      <c r="H173" s="90">
        <f t="shared" si="30"/>
        <v>0.95341393792046003</v>
      </c>
      <c r="I173" s="203">
        <f>SUBTOTAL(9,I149:I172)</f>
        <v>199821080.25000003</v>
      </c>
      <c r="J173" s="170">
        <f t="shared" si="31"/>
        <v>0.61989065251910336</v>
      </c>
      <c r="K173" s="562">
        <f>SUM(K149:K172)</f>
        <v>302611868.18000013</v>
      </c>
      <c r="L173" s="90">
        <v>0.97623201317975916</v>
      </c>
      <c r="M173" s="213">
        <f t="shared" ref="M173:M179" si="33">+G173/K173-1</f>
        <v>1.5597807873127589E-2</v>
      </c>
      <c r="N173" s="562">
        <f>SUBTOTAL(9,N149:N172)</f>
        <v>200785439.43000004</v>
      </c>
      <c r="O173" s="90">
        <v>0.6477378925381031</v>
      </c>
      <c r="P173" s="213">
        <f t="shared" ref="P173:P179" si="34">+I173/N173-1</f>
        <v>-4.8029338319436343E-3</v>
      </c>
    </row>
    <row r="174" spans="1:19" x14ac:dyDescent="0.25">
      <c r="A174" s="37">
        <v>4301</v>
      </c>
      <c r="B174" s="529" t="s">
        <v>681</v>
      </c>
      <c r="C174" s="198">
        <v>4583248.97</v>
      </c>
      <c r="D174" s="512">
        <v>5239143.75</v>
      </c>
      <c r="E174" s="180">
        <v>3175495.1</v>
      </c>
      <c r="F174" s="78">
        <f t="shared" si="28"/>
        <v>0.6061095575016433</v>
      </c>
      <c r="G174" s="180">
        <v>3086802.74</v>
      </c>
      <c r="H174" s="78">
        <f t="shared" si="30"/>
        <v>0.58918076832688548</v>
      </c>
      <c r="I174" s="180">
        <v>3061170.56</v>
      </c>
      <c r="J174" s="153">
        <f t="shared" si="31"/>
        <v>0.58428833146637749</v>
      </c>
      <c r="K174" s="609">
        <v>3189759.11</v>
      </c>
      <c r="L174" s="48">
        <v>0.66922743258876993</v>
      </c>
      <c r="M174" s="210">
        <f t="shared" si="33"/>
        <v>-3.2277161518946107E-2</v>
      </c>
      <c r="N174" s="609">
        <v>3042445.62</v>
      </c>
      <c r="O174" s="48">
        <v>0.63832032477949363</v>
      </c>
      <c r="P174" s="210">
        <f t="shared" si="34"/>
        <v>6.1545685079491541E-3</v>
      </c>
    </row>
    <row r="175" spans="1:19" x14ac:dyDescent="0.25">
      <c r="A175" s="37" t="s">
        <v>682</v>
      </c>
      <c r="B175" s="38" t="s">
        <v>684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10024817.98</v>
      </c>
      <c r="J175" s="153">
        <f t="shared" si="31"/>
        <v>0.38728272424632032</v>
      </c>
      <c r="K175" s="609">
        <v>11979709.35</v>
      </c>
      <c r="L175" s="48">
        <v>0.94755196364007788</v>
      </c>
      <c r="M175" s="210">
        <f t="shared" si="33"/>
        <v>1.1607379013748775</v>
      </c>
      <c r="N175" s="609">
        <v>2363487.25</v>
      </c>
      <c r="O175" s="48">
        <v>0.18694334890318418</v>
      </c>
      <c r="P175" s="210">
        <f t="shared" si="34"/>
        <v>3.241536729254622</v>
      </c>
    </row>
    <row r="176" spans="1:19" x14ac:dyDescent="0.25">
      <c r="A176" s="37" t="s">
        <v>683</v>
      </c>
      <c r="B176" s="38" t="s">
        <v>685</v>
      </c>
      <c r="C176" s="200">
        <v>7512544.6100000003</v>
      </c>
      <c r="D176" s="206">
        <v>7348611.75</v>
      </c>
      <c r="E176" s="34">
        <v>4158191.23</v>
      </c>
      <c r="F176" s="48">
        <f t="shared" si="35"/>
        <v>0.5658471792308255</v>
      </c>
      <c r="G176" s="34">
        <v>2527311.3199999998</v>
      </c>
      <c r="H176" s="48">
        <f t="shared" si="30"/>
        <v>0.34391683844230847</v>
      </c>
      <c r="I176" s="34">
        <v>1630880.84</v>
      </c>
      <c r="J176" s="153">
        <f t="shared" si="31"/>
        <v>0.22193046734303251</v>
      </c>
      <c r="K176" s="609">
        <v>2900558.46</v>
      </c>
      <c r="L176" s="48">
        <v>0.39533422067869234</v>
      </c>
      <c r="M176" s="210">
        <f t="shared" si="33"/>
        <v>-0.12868112990903147</v>
      </c>
      <c r="N176" s="609">
        <v>2301809.58</v>
      </c>
      <c r="O176" s="48">
        <v>0.31372720426398448</v>
      </c>
      <c r="P176" s="210">
        <f t="shared" si="34"/>
        <v>-0.29147881989438928</v>
      </c>
    </row>
    <row r="177" spans="1:16" x14ac:dyDescent="0.25">
      <c r="A177" s="39" t="s">
        <v>686</v>
      </c>
      <c r="B177" s="40" t="s">
        <v>687</v>
      </c>
      <c r="C177" s="200">
        <v>2743104</v>
      </c>
      <c r="D177" s="206">
        <v>8354904.0099999998</v>
      </c>
      <c r="E177" s="34">
        <v>4839351.43</v>
      </c>
      <c r="F177" s="280">
        <f t="shared" si="35"/>
        <v>0.57922286410565238</v>
      </c>
      <c r="G177" s="34">
        <v>4101218.84</v>
      </c>
      <c r="H177" s="280">
        <f t="shared" si="30"/>
        <v>0.49087563843836429</v>
      </c>
      <c r="I177" s="34">
        <v>3233229.62</v>
      </c>
      <c r="J177" s="178">
        <f t="shared" si="31"/>
        <v>0.38698584880570042</v>
      </c>
      <c r="K177" s="610">
        <v>5007211.08</v>
      </c>
      <c r="L177" s="280">
        <v>0.62343681691326658</v>
      </c>
      <c r="M177" s="211">
        <f t="shared" si="33"/>
        <v>-0.18093749704675921</v>
      </c>
      <c r="N177" s="610">
        <v>4210453.38</v>
      </c>
      <c r="O177" s="280">
        <v>0.52423427154361224</v>
      </c>
      <c r="P177" s="211">
        <f t="shared" si="34"/>
        <v>-0.23209466340178309</v>
      </c>
    </row>
    <row r="178" spans="1:16" x14ac:dyDescent="0.25">
      <c r="A178" s="39" t="s">
        <v>688</v>
      </c>
      <c r="B178" s="40" t="s">
        <v>689</v>
      </c>
      <c r="C178" s="200">
        <v>36360768.060000002</v>
      </c>
      <c r="D178" s="206">
        <v>40237330.359999999</v>
      </c>
      <c r="E178" s="34">
        <v>27615865.460000001</v>
      </c>
      <c r="F178" s="280">
        <f t="shared" si="35"/>
        <v>0.68632449551009433</v>
      </c>
      <c r="G178" s="34">
        <v>23803287.629999999</v>
      </c>
      <c r="H178" s="280">
        <f t="shared" si="30"/>
        <v>0.59157223943621495</v>
      </c>
      <c r="I178" s="34">
        <v>23018763.629999999</v>
      </c>
      <c r="J178" s="178">
        <f t="shared" si="31"/>
        <v>0.57207482265978049</v>
      </c>
      <c r="K178" s="610">
        <v>16538596.33</v>
      </c>
      <c r="L178" s="280">
        <v>0.39045699791181787</v>
      </c>
      <c r="M178" s="211">
        <f t="shared" si="33"/>
        <v>0.43925682416120737</v>
      </c>
      <c r="N178" s="610">
        <v>15718596.33</v>
      </c>
      <c r="O178" s="280">
        <v>0.37109775291308039</v>
      </c>
      <c r="P178" s="211">
        <f t="shared" si="34"/>
        <v>0.4644287025850482</v>
      </c>
    </row>
    <row r="179" spans="1:16" x14ac:dyDescent="0.25">
      <c r="A179" s="660" t="s">
        <v>690</v>
      </c>
      <c r="B179" s="656" t="s">
        <v>691</v>
      </c>
      <c r="C179" s="655">
        <v>1922280</v>
      </c>
      <c r="D179" s="397">
        <v>1922280</v>
      </c>
      <c r="E179" s="398">
        <v>1602411.47</v>
      </c>
      <c r="F179" s="412">
        <f t="shared" si="35"/>
        <v>0.83359940799467303</v>
      </c>
      <c r="G179" s="398">
        <v>1602411.47</v>
      </c>
      <c r="H179" s="412">
        <f t="shared" si="30"/>
        <v>0.83359940799467303</v>
      </c>
      <c r="I179" s="398">
        <v>112500</v>
      </c>
      <c r="J179" s="427">
        <f t="shared" si="31"/>
        <v>5.8524252450215371E-2</v>
      </c>
      <c r="K179" s="658">
        <v>129500</v>
      </c>
      <c r="L179" s="412">
        <v>0.14677880038083149</v>
      </c>
      <c r="M179" s="211">
        <f t="shared" si="33"/>
        <v>11.373833745173744</v>
      </c>
      <c r="N179" s="658">
        <v>129500</v>
      </c>
      <c r="O179" s="412">
        <v>0.14677880038083149</v>
      </c>
      <c r="P179" s="211">
        <f t="shared" si="34"/>
        <v>-0.13127413127413123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757</v>
      </c>
      <c r="C181" s="164" t="s">
        <v>765</v>
      </c>
      <c r="D181" s="754" t="s">
        <v>782</v>
      </c>
      <c r="E181" s="752"/>
      <c r="F181" s="752"/>
      <c r="G181" s="752"/>
      <c r="H181" s="752"/>
      <c r="I181" s="752"/>
      <c r="J181" s="753"/>
      <c r="K181" s="763" t="s">
        <v>783</v>
      </c>
      <c r="L181" s="761"/>
      <c r="M181" s="761"/>
      <c r="N181" s="761"/>
      <c r="O181" s="761"/>
      <c r="P181" s="764"/>
    </row>
    <row r="182" spans="1:16" ht="12.75" customHeight="1" x14ac:dyDescent="0.25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543</v>
      </c>
      <c r="L182" s="88" t="s">
        <v>544</v>
      </c>
      <c r="M182" s="88" t="s">
        <v>545</v>
      </c>
      <c r="N182" s="87" t="s">
        <v>39</v>
      </c>
      <c r="O182" s="88" t="s">
        <v>40</v>
      </c>
      <c r="P182" s="605" t="s">
        <v>362</v>
      </c>
    </row>
    <row r="183" spans="1:16" ht="14.1" customHeight="1" x14ac:dyDescent="0.25">
      <c r="A183" s="674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07" t="s">
        <v>764</v>
      </c>
      <c r="N183" s="558" t="s">
        <v>17</v>
      </c>
      <c r="O183" s="89" t="s">
        <v>18</v>
      </c>
      <c r="P183" s="606" t="s">
        <v>764</v>
      </c>
    </row>
    <row r="184" spans="1:16" x14ac:dyDescent="0.25">
      <c r="A184" s="37" t="s">
        <v>692</v>
      </c>
      <c r="B184" s="40" t="s">
        <v>693</v>
      </c>
      <c r="C184" s="525">
        <v>10510570.890000001</v>
      </c>
      <c r="D184" s="512">
        <v>12064771.609999999</v>
      </c>
      <c r="E184" s="180">
        <v>6142614.2699999996</v>
      </c>
      <c r="F184" s="48">
        <f t="shared" si="35"/>
        <v>0.50913639052301962</v>
      </c>
      <c r="G184" s="180">
        <v>6142614.2699999996</v>
      </c>
      <c r="H184" s="48">
        <f t="shared" si="30"/>
        <v>0.50913639052301962</v>
      </c>
      <c r="I184" s="180">
        <v>5853293.3700000001</v>
      </c>
      <c r="J184" s="153">
        <f t="shared" si="31"/>
        <v>0.48515575422484108</v>
      </c>
      <c r="K184" s="609">
        <v>9489313.5500000007</v>
      </c>
      <c r="L184" s="48">
        <v>0.78065552295915241</v>
      </c>
      <c r="M184" s="210">
        <f>+G184/K184-1</f>
        <v>-0.3526808617257674</v>
      </c>
      <c r="N184" s="609">
        <v>9360093.3699999992</v>
      </c>
      <c r="O184" s="48">
        <v>0.77002499139717484</v>
      </c>
      <c r="P184" s="210">
        <f>+I184/N184-1</f>
        <v>-0.37465438232054726</v>
      </c>
    </row>
    <row r="185" spans="1:16" x14ac:dyDescent="0.25">
      <c r="A185" s="39" t="s">
        <v>694</v>
      </c>
      <c r="B185" s="40" t="s">
        <v>695</v>
      </c>
      <c r="C185" s="200">
        <v>1031566.99</v>
      </c>
      <c r="D185" s="206">
        <v>1171983.49</v>
      </c>
      <c r="E185" s="34">
        <v>797341.84</v>
      </c>
      <c r="F185" s="280">
        <f t="shared" si="35"/>
        <v>0.68033538595326115</v>
      </c>
      <c r="G185" s="34">
        <v>549905.30000000005</v>
      </c>
      <c r="H185" s="280">
        <f t="shared" si="30"/>
        <v>0.4692090841655116</v>
      </c>
      <c r="I185" s="34">
        <v>339514.12</v>
      </c>
      <c r="J185" s="178">
        <f t="shared" si="31"/>
        <v>0.28969189659830447</v>
      </c>
      <c r="K185" s="610">
        <v>630564.82999999996</v>
      </c>
      <c r="L185" s="280">
        <v>0.56617372266876453</v>
      </c>
      <c r="M185" s="211">
        <f>+G185/K185-1</f>
        <v>-0.12791631591631891</v>
      </c>
      <c r="N185" s="610">
        <v>245281.95</v>
      </c>
      <c r="O185" s="280">
        <v>0.22023460257838007</v>
      </c>
      <c r="P185" s="211">
        <f t="shared" ref="P185:P191" si="36">+I185/N185-1</f>
        <v>0.38417898259533567</v>
      </c>
    </row>
    <row r="186" spans="1:16" x14ac:dyDescent="0.25">
      <c r="A186" s="39" t="s">
        <v>696</v>
      </c>
      <c r="B186" s="40" t="s">
        <v>697</v>
      </c>
      <c r="C186" s="200">
        <v>4649794.68</v>
      </c>
      <c r="D186" s="206">
        <v>5433609.5800000001</v>
      </c>
      <c r="E186" s="34">
        <v>2916958.32</v>
      </c>
      <c r="F186" s="280">
        <f t="shared" si="35"/>
        <v>0.5368362001452448</v>
      </c>
      <c r="G186" s="34">
        <v>1916204.34</v>
      </c>
      <c r="H186" s="280">
        <f t="shared" si="30"/>
        <v>0.35265771524202888</v>
      </c>
      <c r="I186" s="34">
        <v>530178.85</v>
      </c>
      <c r="J186" s="178">
        <f t="shared" si="31"/>
        <v>9.7573968499959834E-2</v>
      </c>
      <c r="K186" s="685">
        <v>676577.2</v>
      </c>
      <c r="L186" s="418">
        <v>0.1691443</v>
      </c>
      <c r="M186" s="211">
        <f>+G186/K186-1</f>
        <v>1.8322035386353548</v>
      </c>
      <c r="N186" s="685">
        <v>476728.62</v>
      </c>
      <c r="O186" s="280">
        <v>0.119182155</v>
      </c>
      <c r="P186" s="211">
        <f t="shared" si="36"/>
        <v>0.11211877734548437</v>
      </c>
    </row>
    <row r="187" spans="1:16" x14ac:dyDescent="0.25">
      <c r="A187" s="39" t="s">
        <v>698</v>
      </c>
      <c r="B187" s="40" t="s">
        <v>700</v>
      </c>
      <c r="C187" s="200">
        <v>145653002</v>
      </c>
      <c r="D187" s="206">
        <v>144084197.09999999</v>
      </c>
      <c r="E187" s="34">
        <v>114261720.3</v>
      </c>
      <c r="F187" s="280">
        <f t="shared" si="35"/>
        <v>0.79302048801852953</v>
      </c>
      <c r="G187" s="34">
        <v>114122637.5</v>
      </c>
      <c r="H187" s="280">
        <f t="shared" si="30"/>
        <v>0.79205519964687376</v>
      </c>
      <c r="I187" s="34">
        <v>81706666.150000006</v>
      </c>
      <c r="J187" s="178">
        <f t="shared" si="31"/>
        <v>0.56707583339824852</v>
      </c>
      <c r="K187" s="685">
        <v>110924325</v>
      </c>
      <c r="L187" s="418">
        <v>0.75384541844215103</v>
      </c>
      <c r="M187" s="211">
        <f t="shared" ref="M187:M191" si="37">+G187/K187-1</f>
        <v>2.8833283411911603E-2</v>
      </c>
      <c r="N187" s="685">
        <v>96706164.079999998</v>
      </c>
      <c r="O187" s="280">
        <v>0.65721832183177953</v>
      </c>
      <c r="P187" s="211">
        <f t="shared" si="36"/>
        <v>-0.15510384547557576</v>
      </c>
    </row>
    <row r="188" spans="1:16" x14ac:dyDescent="0.25">
      <c r="A188" s="39" t="s">
        <v>699</v>
      </c>
      <c r="B188" s="40" t="s">
        <v>701</v>
      </c>
      <c r="C188" s="200">
        <v>16809054</v>
      </c>
      <c r="D188" s="206">
        <v>15734854</v>
      </c>
      <c r="E188" s="34">
        <v>14327012</v>
      </c>
      <c r="F188" s="280">
        <f t="shared" si="35"/>
        <v>0.91052716472615502</v>
      </c>
      <c r="G188" s="34">
        <v>14327012</v>
      </c>
      <c r="H188" s="280">
        <f t="shared" si="30"/>
        <v>0.91052716472615502</v>
      </c>
      <c r="I188" s="34">
        <v>7744750.4800000004</v>
      </c>
      <c r="J188" s="178">
        <f t="shared" si="31"/>
        <v>0.49220351710921501</v>
      </c>
      <c r="K188" s="610">
        <v>16692043</v>
      </c>
      <c r="L188" s="280">
        <v>0.99303881110739489</v>
      </c>
      <c r="M188" s="211">
        <f t="shared" si="37"/>
        <v>-0.14168613152985532</v>
      </c>
      <c r="N188" s="610">
        <v>9205263.1999999993</v>
      </c>
      <c r="O188" s="280">
        <v>0.54763719600163097</v>
      </c>
      <c r="P188" s="211">
        <f t="shared" si="36"/>
        <v>-0.15866061494037442</v>
      </c>
    </row>
    <row r="189" spans="1:16" x14ac:dyDescent="0.25">
      <c r="A189" s="39">
        <v>4591</v>
      </c>
      <c r="B189" s="40" t="s">
        <v>760</v>
      </c>
      <c r="C189" s="200">
        <v>0</v>
      </c>
      <c r="D189" s="643">
        <v>0</v>
      </c>
      <c r="E189" s="719">
        <v>0</v>
      </c>
      <c r="F189" s="280" t="s">
        <v>129</v>
      </c>
      <c r="G189" s="719">
        <v>0</v>
      </c>
      <c r="H189" s="280" t="s">
        <v>129</v>
      </c>
      <c r="I189" s="719">
        <v>0</v>
      </c>
      <c r="J189" s="178" t="s">
        <v>129</v>
      </c>
      <c r="K189" s="610">
        <v>0</v>
      </c>
      <c r="L189" s="280">
        <v>0</v>
      </c>
      <c r="M189" s="211" t="s">
        <v>129</v>
      </c>
      <c r="N189" s="610">
        <v>0</v>
      </c>
      <c r="O189" s="280">
        <v>0</v>
      </c>
      <c r="P189" s="211" t="s">
        <v>129</v>
      </c>
    </row>
    <row r="190" spans="1:16" x14ac:dyDescent="0.25">
      <c r="A190" s="39">
        <v>4911</v>
      </c>
      <c r="B190" s="40" t="s">
        <v>702</v>
      </c>
      <c r="C190" s="200">
        <v>34765352.369999997</v>
      </c>
      <c r="D190" s="206">
        <v>37919457.909999996</v>
      </c>
      <c r="E190" s="34">
        <v>36647054.609999999</v>
      </c>
      <c r="F190" s="280">
        <f t="shared" si="35"/>
        <v>0.96644458095840968</v>
      </c>
      <c r="G190" s="34">
        <v>36578865.229999997</v>
      </c>
      <c r="H190" s="280">
        <f t="shared" si="30"/>
        <v>0.96464631210757723</v>
      </c>
      <c r="I190" s="34">
        <v>11847208.66</v>
      </c>
      <c r="J190" s="178">
        <f t="shared" si="31"/>
        <v>0.31243085510659929</v>
      </c>
      <c r="K190" s="610">
        <v>15669752</v>
      </c>
      <c r="L190" s="280">
        <v>1</v>
      </c>
      <c r="M190" s="211">
        <f t="shared" si="37"/>
        <v>1.3343614646868693</v>
      </c>
      <c r="N190" s="610">
        <v>7900000</v>
      </c>
      <c r="O190" s="280">
        <v>0.50415603259068809</v>
      </c>
      <c r="P190" s="211">
        <f t="shared" si="36"/>
        <v>0.49964666582278472</v>
      </c>
    </row>
    <row r="191" spans="1:16" x14ac:dyDescent="0.25">
      <c r="A191" s="660" t="s">
        <v>703</v>
      </c>
      <c r="B191" s="656" t="s">
        <v>704</v>
      </c>
      <c r="C191" s="655">
        <v>1548192.01</v>
      </c>
      <c r="D191" s="397">
        <v>1470667.36</v>
      </c>
      <c r="E191" s="398">
        <v>1032886.47</v>
      </c>
      <c r="F191" s="412">
        <f t="shared" si="35"/>
        <v>0.70232501114324042</v>
      </c>
      <c r="G191" s="398">
        <v>839530.57</v>
      </c>
      <c r="H191" s="412">
        <f t="shared" si="30"/>
        <v>0.57085007312598535</v>
      </c>
      <c r="I191" s="398">
        <v>786084.39</v>
      </c>
      <c r="J191" s="427">
        <f t="shared" si="31"/>
        <v>0.53450862607027594</v>
      </c>
      <c r="K191" s="610">
        <v>999628.55</v>
      </c>
      <c r="L191" s="280">
        <v>0.57784273075356851</v>
      </c>
      <c r="M191" s="211">
        <f t="shared" si="37"/>
        <v>-0.16015747049241447</v>
      </c>
      <c r="N191" s="610">
        <v>954845.97</v>
      </c>
      <c r="O191" s="412">
        <v>0.55195582674568455</v>
      </c>
      <c r="P191" s="211">
        <f t="shared" si="36"/>
        <v>-0.1767422027240686</v>
      </c>
    </row>
    <row r="192" spans="1:16" x14ac:dyDescent="0.25">
      <c r="A192" s="18">
        <v>4</v>
      </c>
      <c r="B192" s="514" t="s">
        <v>123</v>
      </c>
      <c r="C192" s="201">
        <f>SUM(C174:C179,C184:C191)</f>
        <v>298186053.5</v>
      </c>
      <c r="D192" s="207">
        <f>SUM(D174:D179,D184:D191)</f>
        <v>306866822.96000004</v>
      </c>
      <c r="E192" s="203">
        <f>SUM(E174:E179,E184:E191)</f>
        <v>243401914.53999999</v>
      </c>
      <c r="F192" s="90">
        <f t="shared" si="35"/>
        <v>0.79318419694959119</v>
      </c>
      <c r="G192" s="203">
        <f>SUM(G174:G179,G184:G191)</f>
        <v>235482813.24999997</v>
      </c>
      <c r="H192" s="90">
        <f t="shared" si="30"/>
        <v>0.76737788392554596</v>
      </c>
      <c r="I192" s="203">
        <f>SUM(I174:I179,I184:I191)</f>
        <v>149889058.64999998</v>
      </c>
      <c r="J192" s="170">
        <f t="shared" si="31"/>
        <v>0.48844986631069581</v>
      </c>
      <c r="K192" s="562">
        <f>SUM(K174:K191)</f>
        <v>194827538.46000001</v>
      </c>
      <c r="L192" s="90">
        <v>0.70916073309447714</v>
      </c>
      <c r="M192" s="213">
        <f t="shared" ref="M192:M198" si="38">+G192/K192-1</f>
        <v>0.20867314298254036</v>
      </c>
      <c r="N192" s="562">
        <f>SUBTOTAL(9,N174:N191)</f>
        <v>152614669.34999999</v>
      </c>
      <c r="O192" s="90">
        <v>0.55600000000000005</v>
      </c>
      <c r="P192" s="213">
        <f t="shared" ref="P192:P198" si="39">+I192/N192-1</f>
        <v>-1.7859428006551714E-2</v>
      </c>
    </row>
    <row r="193" spans="1:16" x14ac:dyDescent="0.25">
      <c r="A193" s="37" t="s">
        <v>705</v>
      </c>
      <c r="B193" s="38" t="s">
        <v>113</v>
      </c>
      <c r="C193" s="198">
        <v>22797084.350000001</v>
      </c>
      <c r="D193" s="512">
        <v>23207316.52</v>
      </c>
      <c r="E193" s="180">
        <v>16282043.220000001</v>
      </c>
      <c r="F193" s="48">
        <f t="shared" si="35"/>
        <v>0.70159094895647167</v>
      </c>
      <c r="G193" s="472">
        <v>15757043.220000001</v>
      </c>
      <c r="H193" s="48">
        <f t="shared" si="30"/>
        <v>0.67896877290489943</v>
      </c>
      <c r="I193" s="30">
        <v>15082569.91</v>
      </c>
      <c r="J193" s="153">
        <f t="shared" si="31"/>
        <v>0.64990581297936301</v>
      </c>
      <c r="K193" s="609">
        <v>16153474.779999999</v>
      </c>
      <c r="L193" s="48">
        <v>0.70994680524458487</v>
      </c>
      <c r="M193" s="210">
        <f t="shared" si="38"/>
        <v>-2.4541565539250465E-2</v>
      </c>
      <c r="N193" s="609">
        <v>15453337.859999999</v>
      </c>
      <c r="O193" s="48">
        <v>0.67917571875344762</v>
      </c>
      <c r="P193" s="210">
        <f t="shared" si="39"/>
        <v>-2.3992742109114729E-2</v>
      </c>
    </row>
    <row r="194" spans="1:16" x14ac:dyDescent="0.25">
      <c r="A194" s="37" t="s">
        <v>706</v>
      </c>
      <c r="B194" s="38" t="s">
        <v>707</v>
      </c>
      <c r="C194" s="525">
        <v>7386447.1399999997</v>
      </c>
      <c r="D194" s="690">
        <v>7146896.0199999996</v>
      </c>
      <c r="E194" s="691">
        <v>4516955.8499999996</v>
      </c>
      <c r="F194" s="48">
        <f t="shared" si="35"/>
        <v>0.63201644984895133</v>
      </c>
      <c r="G194" s="180">
        <v>3933030.96</v>
      </c>
      <c r="H194" s="48">
        <f t="shared" si="30"/>
        <v>0.55031316378379325</v>
      </c>
      <c r="I194" s="180">
        <v>3639214.31</v>
      </c>
      <c r="J194" s="153">
        <f t="shared" si="31"/>
        <v>0.50920207875082535</v>
      </c>
      <c r="K194" s="609">
        <v>5116106.34</v>
      </c>
      <c r="L194" s="48">
        <v>0.63776874306905262</v>
      </c>
      <c r="M194" s="210">
        <f>+G194/K194-1</f>
        <v>-0.23124526766580067</v>
      </c>
      <c r="N194" s="609">
        <v>4854507.6100000003</v>
      </c>
      <c r="O194" s="48">
        <v>0.60515810479593179</v>
      </c>
      <c r="P194" s="210">
        <f t="shared" si="39"/>
        <v>-0.25034326807863427</v>
      </c>
    </row>
    <row r="195" spans="1:16" x14ac:dyDescent="0.25">
      <c r="A195" s="39" t="s">
        <v>708</v>
      </c>
      <c r="B195" s="40" t="s">
        <v>709</v>
      </c>
      <c r="C195" s="200">
        <v>53388679.920000002</v>
      </c>
      <c r="D195" s="206">
        <v>53545084.310000002</v>
      </c>
      <c r="E195" s="34">
        <v>37099748.090000004</v>
      </c>
      <c r="F195" s="48">
        <f t="shared" si="35"/>
        <v>0.69286935613380496</v>
      </c>
      <c r="G195" s="34">
        <v>33531929.32</v>
      </c>
      <c r="H195" s="48">
        <f t="shared" si="30"/>
        <v>0.62623730548011525</v>
      </c>
      <c r="I195" s="34">
        <v>27201432.600000001</v>
      </c>
      <c r="J195" s="153">
        <f t="shared" si="31"/>
        <v>0.50800989391513385</v>
      </c>
      <c r="K195" s="610">
        <v>34856400.630000003</v>
      </c>
      <c r="L195" s="280">
        <v>0.61627040170912606</v>
      </c>
      <c r="M195" s="211">
        <f t="shared" si="38"/>
        <v>-3.7997936851232539E-2</v>
      </c>
      <c r="N195" s="610">
        <v>29241606.059999999</v>
      </c>
      <c r="O195" s="280">
        <v>0.51699934552927507</v>
      </c>
      <c r="P195" s="211">
        <f t="shared" si="39"/>
        <v>-6.9769541926453127E-2</v>
      </c>
    </row>
    <row r="196" spans="1:16" x14ac:dyDescent="0.25">
      <c r="A196" s="39" t="s">
        <v>710</v>
      </c>
      <c r="B196" s="40" t="s">
        <v>711</v>
      </c>
      <c r="C196" s="200">
        <v>877692.04</v>
      </c>
      <c r="D196" s="206">
        <v>884664.91</v>
      </c>
      <c r="E196" s="34">
        <v>603709.63</v>
      </c>
      <c r="F196" s="48">
        <f t="shared" si="35"/>
        <v>0.68241615913080578</v>
      </c>
      <c r="G196" s="34">
        <v>595312.36</v>
      </c>
      <c r="H196" s="48">
        <f t="shared" si="30"/>
        <v>0.67292412445747396</v>
      </c>
      <c r="I196" s="34">
        <v>582424.75</v>
      </c>
      <c r="J196" s="153">
        <f t="shared" si="31"/>
        <v>0.65835633742950195</v>
      </c>
      <c r="K196" s="610">
        <v>666331.37</v>
      </c>
      <c r="L196" s="280">
        <v>0.70757762652066802</v>
      </c>
      <c r="M196" s="211">
        <f t="shared" si="38"/>
        <v>-0.10658211994431543</v>
      </c>
      <c r="N196" s="610">
        <v>643353.31999999995</v>
      </c>
      <c r="O196" s="280">
        <v>0.68317722333827957</v>
      </c>
      <c r="P196" s="211">
        <f t="shared" si="39"/>
        <v>-9.4704679537520597E-2</v>
      </c>
    </row>
    <row r="197" spans="1:16" x14ac:dyDescent="0.25">
      <c r="A197" s="39" t="s">
        <v>712</v>
      </c>
      <c r="B197" s="40" t="s">
        <v>713</v>
      </c>
      <c r="C197" s="200">
        <v>4144550.55</v>
      </c>
      <c r="D197" s="206">
        <v>4318955.24</v>
      </c>
      <c r="E197" s="34">
        <v>3169572.92</v>
      </c>
      <c r="F197" s="48">
        <f t="shared" si="35"/>
        <v>0.73387491739784727</v>
      </c>
      <c r="G197" s="34">
        <v>2950128.55</v>
      </c>
      <c r="H197" s="48">
        <f t="shared" si="30"/>
        <v>0.68306532160310129</v>
      </c>
      <c r="I197" s="34">
        <v>2550521.64</v>
      </c>
      <c r="J197" s="153">
        <f t="shared" si="31"/>
        <v>0.59054134582788587</v>
      </c>
      <c r="K197" s="610">
        <v>3230743.65</v>
      </c>
      <c r="L197" s="280">
        <v>0.70320577795008765</v>
      </c>
      <c r="M197" s="211">
        <f t="shared" si="38"/>
        <v>-8.6857742489101608E-2</v>
      </c>
      <c r="N197" s="610">
        <v>2853565.16</v>
      </c>
      <c r="O197" s="280">
        <v>0.6211088608868941</v>
      </c>
      <c r="P197" s="211">
        <f t="shared" si="39"/>
        <v>-0.10619821276483488</v>
      </c>
    </row>
    <row r="198" spans="1:16" x14ac:dyDescent="0.25">
      <c r="A198" s="39" t="s">
        <v>714</v>
      </c>
      <c r="B198" s="40" t="s">
        <v>715</v>
      </c>
      <c r="C198" s="200">
        <v>7218581.6100000003</v>
      </c>
      <c r="D198" s="206">
        <v>7260705.21</v>
      </c>
      <c r="E198" s="34">
        <v>5534112.0800000001</v>
      </c>
      <c r="F198" s="48">
        <f t="shared" si="35"/>
        <v>0.76220035381384121</v>
      </c>
      <c r="G198" s="34">
        <v>5170633.22</v>
      </c>
      <c r="H198" s="48">
        <f t="shared" si="30"/>
        <v>0.71213925788897303</v>
      </c>
      <c r="I198" s="34">
        <v>4682932.3600000003</v>
      </c>
      <c r="J198" s="153">
        <f t="shared" si="31"/>
        <v>0.64496935553178869</v>
      </c>
      <c r="K198" s="610">
        <v>4397259.41</v>
      </c>
      <c r="L198" s="280">
        <v>0.58517508755137448</v>
      </c>
      <c r="M198" s="211">
        <f t="shared" si="38"/>
        <v>0.1758763215654815</v>
      </c>
      <c r="N198" s="610">
        <v>4219793.66</v>
      </c>
      <c r="O198" s="280">
        <v>0.56155843769954772</v>
      </c>
      <c r="P198" s="211">
        <f t="shared" si="39"/>
        <v>0.10975387360527966</v>
      </c>
    </row>
    <row r="199" spans="1:16" x14ac:dyDescent="0.25">
      <c r="A199" s="39" t="s">
        <v>716</v>
      </c>
      <c r="B199" s="40" t="s">
        <v>717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0">
        <v>0</v>
      </c>
      <c r="L199" s="418" t="s">
        <v>129</v>
      </c>
      <c r="M199" s="212" t="s">
        <v>129</v>
      </c>
      <c r="N199" s="610">
        <v>0</v>
      </c>
      <c r="O199" s="418" t="s">
        <v>129</v>
      </c>
      <c r="P199" s="211" t="s">
        <v>129</v>
      </c>
    </row>
    <row r="200" spans="1:16" x14ac:dyDescent="0.25">
      <c r="A200" s="39" t="s">
        <v>718</v>
      </c>
      <c r="B200" s="40" t="s">
        <v>719</v>
      </c>
      <c r="C200" s="200">
        <v>2204546.69</v>
      </c>
      <c r="D200" s="206">
        <v>2409129.67</v>
      </c>
      <c r="E200" s="34">
        <v>1726480.71</v>
      </c>
      <c r="F200" s="48">
        <f t="shared" ref="F200:F214" si="40">+E200/D200</f>
        <v>0.71664083984321192</v>
      </c>
      <c r="G200" s="34">
        <v>1628948.21</v>
      </c>
      <c r="H200" s="48">
        <f t="shared" ref="H200:H214" si="41">+G200/D200</f>
        <v>0.67615630253725612</v>
      </c>
      <c r="I200" s="34">
        <v>1523728.2</v>
      </c>
      <c r="J200" s="153">
        <f t="shared" ref="J200:J214" si="42">+I200/D200</f>
        <v>0.63248077468573949</v>
      </c>
      <c r="K200" s="610">
        <v>1668053.31</v>
      </c>
      <c r="L200" s="280">
        <v>0.6977673396941857</v>
      </c>
      <c r="M200" s="211">
        <f>+G200/K200-1</f>
        <v>-2.3443555290208362E-2</v>
      </c>
      <c r="N200" s="610">
        <v>1514211.64</v>
      </c>
      <c r="O200" s="280">
        <v>0.63341346553052913</v>
      </c>
      <c r="P200" s="211">
        <f>+I200/N200-1</f>
        <v>6.2848281895389047E-3</v>
      </c>
    </row>
    <row r="201" spans="1:16" x14ac:dyDescent="0.25">
      <c r="A201" s="39" t="s">
        <v>720</v>
      </c>
      <c r="B201" s="40" t="s">
        <v>721</v>
      </c>
      <c r="C201" s="200">
        <v>14812972.529999999</v>
      </c>
      <c r="D201" s="206">
        <v>14050872.23</v>
      </c>
      <c r="E201" s="34">
        <v>11090981.1</v>
      </c>
      <c r="F201" s="48">
        <f t="shared" si="40"/>
        <v>0.78934466974368034</v>
      </c>
      <c r="G201" s="34">
        <v>9937894.1999999993</v>
      </c>
      <c r="H201" s="48">
        <f t="shared" si="41"/>
        <v>0.7072795223901911</v>
      </c>
      <c r="I201" s="34">
        <v>7515320.6299999999</v>
      </c>
      <c r="J201" s="153">
        <f t="shared" si="42"/>
        <v>0.53486506082903862</v>
      </c>
      <c r="K201" s="610">
        <v>9146487.3000000007</v>
      </c>
      <c r="L201" s="280">
        <v>0.63116119702216511</v>
      </c>
      <c r="M201" s="211">
        <f>+G201/K201-1</f>
        <v>8.6525774763826391E-2</v>
      </c>
      <c r="N201" s="610">
        <v>7366924.5599999996</v>
      </c>
      <c r="O201" s="280">
        <v>0.50836094460674386</v>
      </c>
      <c r="P201" s="211">
        <f>+I201/N201-1</f>
        <v>2.0143557707342774E-2</v>
      </c>
    </row>
    <row r="202" spans="1:16" x14ac:dyDescent="0.25">
      <c r="A202" s="39" t="s">
        <v>722</v>
      </c>
      <c r="B202" s="40" t="s">
        <v>723</v>
      </c>
      <c r="C202" s="200">
        <v>871764.12</v>
      </c>
      <c r="D202" s="206">
        <v>943301.14</v>
      </c>
      <c r="E202" s="34">
        <v>61187.46</v>
      </c>
      <c r="F202" s="48">
        <f t="shared" si="40"/>
        <v>6.4865245471875499E-2</v>
      </c>
      <c r="G202" s="34">
        <v>46126.97</v>
      </c>
      <c r="H202" s="48">
        <f t="shared" si="41"/>
        <v>4.8899516860543599E-2</v>
      </c>
      <c r="I202" s="34">
        <v>46126.97</v>
      </c>
      <c r="J202" s="153">
        <f t="shared" si="42"/>
        <v>4.8899516860543599E-2</v>
      </c>
      <c r="K202" s="685">
        <v>380000</v>
      </c>
      <c r="L202" s="418">
        <v>1</v>
      </c>
      <c r="M202" s="211" t="s">
        <v>129</v>
      </c>
      <c r="N202" s="685">
        <v>380000</v>
      </c>
      <c r="O202" s="418">
        <v>1</v>
      </c>
      <c r="P202" s="211" t="s">
        <v>129</v>
      </c>
    </row>
    <row r="203" spans="1:16" x14ac:dyDescent="0.25">
      <c r="A203" s="39" t="s">
        <v>724</v>
      </c>
      <c r="B203" s="40" t="s">
        <v>725</v>
      </c>
      <c r="C203" s="200">
        <v>16719312.35</v>
      </c>
      <c r="D203" s="206">
        <v>17223968.010000002</v>
      </c>
      <c r="E203" s="34">
        <v>14079860.74</v>
      </c>
      <c r="F203" s="48">
        <f t="shared" si="40"/>
        <v>0.81745743674311433</v>
      </c>
      <c r="G203" s="34">
        <v>14046135.560000001</v>
      </c>
      <c r="H203" s="48">
        <f t="shared" si="41"/>
        <v>0.81549939896805457</v>
      </c>
      <c r="I203" s="34">
        <v>9781329.3800000008</v>
      </c>
      <c r="J203" s="153">
        <f t="shared" si="42"/>
        <v>0.56789059143172438</v>
      </c>
      <c r="K203" s="685">
        <v>12701971.68</v>
      </c>
      <c r="L203" s="280">
        <v>0.75515350656719837</v>
      </c>
      <c r="M203" s="211">
        <f t="shared" ref="M203:M212" si="43">+G203/K203-1</f>
        <v>0.10582324648987096</v>
      </c>
      <c r="N203" s="610">
        <v>9943090.8699999992</v>
      </c>
      <c r="O203" s="280">
        <v>0.59113341816211595</v>
      </c>
      <c r="P203" s="211">
        <f>+I203/N203-1</f>
        <v>-1.6268732943803266E-2</v>
      </c>
    </row>
    <row r="204" spans="1:16" x14ac:dyDescent="0.25">
      <c r="A204" s="39" t="s">
        <v>726</v>
      </c>
      <c r="B204" s="40" t="s">
        <v>727</v>
      </c>
      <c r="C204" s="200">
        <v>22448323.75</v>
      </c>
      <c r="D204" s="206">
        <v>21798881.219999999</v>
      </c>
      <c r="E204" s="34">
        <v>19825242.780000001</v>
      </c>
      <c r="F204" s="48">
        <f t="shared" si="40"/>
        <v>0.90946148015205353</v>
      </c>
      <c r="G204" s="34">
        <v>15307086.34</v>
      </c>
      <c r="H204" s="48">
        <f t="shared" si="41"/>
        <v>0.70219596067875634</v>
      </c>
      <c r="I204" s="34">
        <v>9726276.2100000009</v>
      </c>
      <c r="J204" s="153">
        <f t="shared" si="42"/>
        <v>0.44618235733475875</v>
      </c>
      <c r="K204" s="610">
        <v>11340914.109999999</v>
      </c>
      <c r="L204" s="280">
        <v>0.50097789673550697</v>
      </c>
      <c r="M204" s="211">
        <f t="shared" si="43"/>
        <v>0.34972244666792562</v>
      </c>
      <c r="N204" s="610">
        <v>7167811.2599999998</v>
      </c>
      <c r="O204" s="280">
        <v>0.31663364825817242</v>
      </c>
      <c r="P204" s="211">
        <f>+I204/N204-1</f>
        <v>0.35693810246895374</v>
      </c>
    </row>
    <row r="205" spans="1:16" x14ac:dyDescent="0.25">
      <c r="A205" s="39" t="s">
        <v>728</v>
      </c>
      <c r="B205" s="40" t="s">
        <v>729</v>
      </c>
      <c r="C205" s="200">
        <v>49281328.299999997</v>
      </c>
      <c r="D205" s="206">
        <v>52058574.170000002</v>
      </c>
      <c r="E205" s="34">
        <v>49321709.460000001</v>
      </c>
      <c r="F205" s="48">
        <f t="shared" si="40"/>
        <v>0.94742720572671424</v>
      </c>
      <c r="G205" s="34">
        <v>48879243.920000002</v>
      </c>
      <c r="H205" s="48">
        <f t="shared" si="41"/>
        <v>0.93892782695857691</v>
      </c>
      <c r="I205" s="34">
        <v>37558932.140000001</v>
      </c>
      <c r="J205" s="153">
        <f t="shared" si="42"/>
        <v>0.72147446868885301</v>
      </c>
      <c r="K205" s="610">
        <v>50294527.640000001</v>
      </c>
      <c r="L205" s="280">
        <v>0.87431507919776397</v>
      </c>
      <c r="M205" s="211">
        <f t="shared" si="43"/>
        <v>-2.8139914746398764E-2</v>
      </c>
      <c r="N205" s="610">
        <v>26908729.09</v>
      </c>
      <c r="O205" s="280">
        <v>0.46777867711244547</v>
      </c>
      <c r="P205" s="211">
        <f t="shared" ref="P205" si="44">+I205/N205-1</f>
        <v>0.39578989458695402</v>
      </c>
    </row>
    <row r="206" spans="1:16" x14ac:dyDescent="0.25">
      <c r="A206" s="39" t="s">
        <v>730</v>
      </c>
      <c r="B206" s="40" t="s">
        <v>731</v>
      </c>
      <c r="C206" s="200">
        <v>13647818.9</v>
      </c>
      <c r="D206" s="206">
        <v>6908292.3700000001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0">
        <v>0</v>
      </c>
      <c r="L206" s="280">
        <v>0</v>
      </c>
      <c r="M206" s="212" t="s">
        <v>129</v>
      </c>
      <c r="N206" s="610">
        <v>0</v>
      </c>
      <c r="O206" s="280">
        <v>0</v>
      </c>
      <c r="P206" s="211" t="s">
        <v>129</v>
      </c>
    </row>
    <row r="207" spans="1:16" x14ac:dyDescent="0.25">
      <c r="A207" s="39" t="s">
        <v>732</v>
      </c>
      <c r="B207" s="40" t="s">
        <v>733</v>
      </c>
      <c r="C207" s="200">
        <v>30916505.399999999</v>
      </c>
      <c r="D207" s="206">
        <v>12025614.550000001</v>
      </c>
      <c r="E207" s="34">
        <v>11528.1</v>
      </c>
      <c r="F207" s="48">
        <f t="shared" si="40"/>
        <v>9.5862876296829249E-4</v>
      </c>
      <c r="G207" s="34">
        <v>11528.1</v>
      </c>
      <c r="H207" s="48">
        <f t="shared" si="41"/>
        <v>9.5862876296829249E-4</v>
      </c>
      <c r="I207" s="34">
        <v>11528.1</v>
      </c>
      <c r="J207" s="153">
        <f t="shared" si="42"/>
        <v>9.5862876296829249E-4</v>
      </c>
      <c r="K207" s="610">
        <v>9410582.3200000003</v>
      </c>
      <c r="L207" s="280">
        <v>0.16841847591205167</v>
      </c>
      <c r="M207" s="211">
        <f t="shared" si="43"/>
        <v>-0.99877498547826316</v>
      </c>
      <c r="N207" s="610">
        <v>9410582.3200000003</v>
      </c>
      <c r="O207" s="280">
        <v>0.16841847591205167</v>
      </c>
      <c r="P207" s="211">
        <f t="shared" ref="P207:P212" si="45">+I207/N207-1</f>
        <v>-0.99877498547826316</v>
      </c>
    </row>
    <row r="208" spans="1:16" x14ac:dyDescent="0.25">
      <c r="A208" s="253">
        <v>9311</v>
      </c>
      <c r="B208" s="40" t="s">
        <v>734</v>
      </c>
      <c r="C208" s="200">
        <v>5805408.6299999999</v>
      </c>
      <c r="D208" s="206">
        <v>5750047.5999999996</v>
      </c>
      <c r="E208" s="34">
        <v>4172522.75</v>
      </c>
      <c r="F208" s="280">
        <f t="shared" si="40"/>
        <v>0.72565012331376189</v>
      </c>
      <c r="G208" s="34">
        <v>4094092.39</v>
      </c>
      <c r="H208" s="280">
        <f t="shared" si="41"/>
        <v>0.71201017362012797</v>
      </c>
      <c r="I208" s="34">
        <v>3824753.04</v>
      </c>
      <c r="J208" s="178">
        <f t="shared" si="42"/>
        <v>0.66516893529716181</v>
      </c>
      <c r="K208" s="610">
        <v>3357166.25</v>
      </c>
      <c r="L208" s="280">
        <v>0.69287382018430166</v>
      </c>
      <c r="M208" s="211">
        <f t="shared" si="43"/>
        <v>0.21950838448944854</v>
      </c>
      <c r="N208" s="610">
        <v>3054361.55</v>
      </c>
      <c r="O208" s="280">
        <v>0.63037901544868225</v>
      </c>
      <c r="P208" s="211">
        <f t="shared" si="45"/>
        <v>0.25222668547539828</v>
      </c>
    </row>
    <row r="209" spans="1:16" x14ac:dyDescent="0.25">
      <c r="A209" s="39" t="s">
        <v>735</v>
      </c>
      <c r="B209" s="40" t="s">
        <v>736</v>
      </c>
      <c r="C209" s="200">
        <v>30138334.93</v>
      </c>
      <c r="D209" s="206">
        <v>30342042.02</v>
      </c>
      <c r="E209" s="34">
        <v>28151156.629999999</v>
      </c>
      <c r="F209" s="280">
        <f t="shared" si="40"/>
        <v>0.92779373950652777</v>
      </c>
      <c r="G209" s="34">
        <v>28065451.579999998</v>
      </c>
      <c r="H209" s="280">
        <f t="shared" si="41"/>
        <v>0.92496910924784215</v>
      </c>
      <c r="I209" s="34">
        <v>17570052.960000001</v>
      </c>
      <c r="J209" s="178">
        <f t="shared" si="42"/>
        <v>0.57906626549454632</v>
      </c>
      <c r="K209" s="610">
        <v>28454365.600000001</v>
      </c>
      <c r="L209" s="280">
        <v>0.94913751617129727</v>
      </c>
      <c r="M209" s="211">
        <f t="shared" si="43"/>
        <v>-1.3667991248415112E-2</v>
      </c>
      <c r="N209" s="610">
        <v>19965920.300000001</v>
      </c>
      <c r="O209" s="280">
        <v>0.66599284861989971</v>
      </c>
      <c r="P209" s="211">
        <f t="shared" si="45"/>
        <v>-0.11999784152198578</v>
      </c>
    </row>
    <row r="210" spans="1:16" x14ac:dyDescent="0.25">
      <c r="A210" s="39" t="s">
        <v>737</v>
      </c>
      <c r="B210" s="40" t="s">
        <v>738</v>
      </c>
      <c r="C210" s="200">
        <v>113561295.48999999</v>
      </c>
      <c r="D210" s="206">
        <v>117102119.5</v>
      </c>
      <c r="E210" s="34">
        <v>99975831.010000005</v>
      </c>
      <c r="F210" s="280">
        <f t="shared" si="40"/>
        <v>0.85374911604396708</v>
      </c>
      <c r="G210" s="34">
        <v>97182806.209999993</v>
      </c>
      <c r="H210" s="280">
        <f t="shared" si="41"/>
        <v>0.82989792691156195</v>
      </c>
      <c r="I210" s="34">
        <v>55457237.159999996</v>
      </c>
      <c r="J210" s="178">
        <f t="shared" si="42"/>
        <v>0.47358013157054768</v>
      </c>
      <c r="K210" s="610">
        <v>86435336.670000002</v>
      </c>
      <c r="L210" s="280">
        <v>0.83818230911988034</v>
      </c>
      <c r="M210" s="211">
        <f t="shared" si="43"/>
        <v>0.12434115437107129</v>
      </c>
      <c r="N210" s="610">
        <v>44848422.549999997</v>
      </c>
      <c r="O210" s="280">
        <v>0.43490493381036666</v>
      </c>
      <c r="P210" s="211">
        <f t="shared" si="45"/>
        <v>0.23654822191733915</v>
      </c>
    </row>
    <row r="211" spans="1:16" x14ac:dyDescent="0.25">
      <c r="A211" s="39" t="s">
        <v>739</v>
      </c>
      <c r="B211" s="40" t="s">
        <v>117</v>
      </c>
      <c r="C211" s="200">
        <v>799840.54</v>
      </c>
      <c r="D211" s="206">
        <v>801333.05</v>
      </c>
      <c r="E211" s="34">
        <v>535531.34</v>
      </c>
      <c r="F211" s="280">
        <f t="shared" si="40"/>
        <v>0.66830057739413085</v>
      </c>
      <c r="G211" s="34">
        <v>535531.34</v>
      </c>
      <c r="H211" s="280">
        <f t="shared" si="41"/>
        <v>0.66830057739413085</v>
      </c>
      <c r="I211" s="34">
        <v>535531.34</v>
      </c>
      <c r="J211" s="178">
        <f t="shared" si="42"/>
        <v>0.66830057739413085</v>
      </c>
      <c r="K211" s="610">
        <v>611647.24</v>
      </c>
      <c r="L211" s="280">
        <v>0.73048221012513226</v>
      </c>
      <c r="M211" s="211">
        <f t="shared" si="43"/>
        <v>-0.12444411585998494</v>
      </c>
      <c r="N211" s="610">
        <v>611647.24</v>
      </c>
      <c r="O211" s="280">
        <v>0.73048221012513226</v>
      </c>
      <c r="P211" s="211">
        <f t="shared" si="45"/>
        <v>-0.12444411585998494</v>
      </c>
    </row>
    <row r="212" spans="1:16" x14ac:dyDescent="0.25">
      <c r="A212" s="660">
        <v>9431</v>
      </c>
      <c r="B212" s="656" t="s">
        <v>740</v>
      </c>
      <c r="C212" s="655">
        <v>98287346.239999995</v>
      </c>
      <c r="D212" s="397">
        <v>97902507.239999995</v>
      </c>
      <c r="E212" s="398">
        <v>97687346.230000004</v>
      </c>
      <c r="F212" s="412">
        <f t="shared" si="40"/>
        <v>0.99780229315810531</v>
      </c>
      <c r="G212" s="398">
        <v>97687346.230000004</v>
      </c>
      <c r="H212" s="412">
        <f t="shared" si="41"/>
        <v>0.99780229315810531</v>
      </c>
      <c r="I212" s="398">
        <v>64261061.18</v>
      </c>
      <c r="J212" s="427">
        <f t="shared" si="42"/>
        <v>0.65637809481701281</v>
      </c>
      <c r="K212" s="610">
        <v>84274401.209999993</v>
      </c>
      <c r="L212" s="412">
        <v>0.7444128037021408</v>
      </c>
      <c r="M212" s="211">
        <f t="shared" si="43"/>
        <v>0.15915799848374879</v>
      </c>
      <c r="N212" s="658">
        <v>63962384.490000002</v>
      </c>
      <c r="O212" s="412">
        <v>0.56499265834030399</v>
      </c>
      <c r="P212" s="443">
        <f t="shared" si="45"/>
        <v>4.6695677839636573E-3</v>
      </c>
    </row>
    <row r="213" spans="1:16" ht="13.8" thickBot="1" x14ac:dyDescent="0.3">
      <c r="A213" s="18">
        <v>9</v>
      </c>
      <c r="B213" s="2" t="s">
        <v>534</v>
      </c>
      <c r="C213" s="201">
        <f>SUBTOTAL(9,DTProg!C66:C78)</f>
        <v>496436210.86000007</v>
      </c>
      <c r="D213" s="207">
        <f>SUBTOTAL(9,DTProg!D66:D78)</f>
        <v>475680304.98000002</v>
      </c>
      <c r="E213" s="203">
        <f>SUBTOTAL(9,DTProg!E66:E78)</f>
        <v>393845520.10000002</v>
      </c>
      <c r="F213" s="530">
        <f t="shared" si="40"/>
        <v>0.8279626378825149</v>
      </c>
      <c r="G213" s="203">
        <f>SUBTOTAL(9,DTProg!G66:G78)</f>
        <v>379360268.67999995</v>
      </c>
      <c r="H213" s="530">
        <f t="shared" si="41"/>
        <v>0.7975109852318778</v>
      </c>
      <c r="I213" s="203">
        <f>SUBTOTAL(9,DTProg!I66:I78)</f>
        <v>261550972.88</v>
      </c>
      <c r="J213" s="531">
        <f t="shared" si="42"/>
        <v>0.54984612594165927</v>
      </c>
      <c r="K213" s="562">
        <f>SUM(K193:K212)</f>
        <v>362495769.50999999</v>
      </c>
      <c r="L213" s="90">
        <v>0.68034536606971108</v>
      </c>
      <c r="M213" s="641">
        <f>+G213/K213-1</f>
        <v>4.652329927269605E-2</v>
      </c>
      <c r="N213" s="562">
        <f>SUM(N193:N212)</f>
        <v>252400249.54000002</v>
      </c>
      <c r="O213" s="90">
        <v>0.4737140529984602</v>
      </c>
      <c r="P213" s="641">
        <f>+I213/N213-1</f>
        <v>3.6254810986428021E-2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2754787665.6099992</v>
      </c>
      <c r="E214" s="209">
        <f>SUM(E85,E87:E120,E122:E130,E135:E147,E149:E172,E174:E179,E184:E191,E193:E212)</f>
        <v>2149294939.5099993</v>
      </c>
      <c r="F214" s="181">
        <f t="shared" si="40"/>
        <v>0.78020348585889132</v>
      </c>
      <c r="G214" s="209">
        <f>SUM(G85,G87:G120,G122:G130,G135:G147,G149:G172,G174:G179,G184:G191,G193:G212)</f>
        <v>2087759899.8299987</v>
      </c>
      <c r="H214" s="181">
        <f t="shared" si="41"/>
        <v>0.75786599667662624</v>
      </c>
      <c r="I214" s="209">
        <f>SUM(I85,I87:I120,I122:I130,I135:I147,I149:I172,I174:I179,I184:I191,I193:I212)</f>
        <v>1364324838.4200006</v>
      </c>
      <c r="J214" s="173">
        <f t="shared" si="42"/>
        <v>0.49525589774190271</v>
      </c>
      <c r="K214" s="154">
        <f>K86+K121+K148+K173+K192+K213</f>
        <v>2109222380.3000004</v>
      </c>
      <c r="L214" s="181">
        <v>0.76725742023040866</v>
      </c>
      <c r="M214" s="181">
        <f>+G214/K214-1</f>
        <v>-1.0175541787561082E-2</v>
      </c>
      <c r="N214" s="570">
        <f>N86+N121+N148+N173+N192+N213</f>
        <v>1524472939.1300001</v>
      </c>
      <c r="O214" s="181">
        <v>0.55454710959476372</v>
      </c>
      <c r="P214" s="624">
        <f>+I214/N214-1</f>
        <v>-0.10505145522713855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207" zoomScaleNormal="100" workbookViewId="0">
      <pane xSplit="1" topLeftCell="F1" activePane="topRight" state="frozen"/>
      <selection activeCell="C41" sqref="C41"/>
      <selection pane="topRight" activeCell="Q207" sqref="Q207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bestFit="1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18"/>
    </row>
    <row r="2" spans="1:16" x14ac:dyDescent="0.25">
      <c r="A2" s="765" t="s">
        <v>465</v>
      </c>
      <c r="B2" s="766"/>
      <c r="C2" s="164" t="s">
        <v>765</v>
      </c>
      <c r="D2" s="751" t="s">
        <v>782</v>
      </c>
      <c r="E2" s="752"/>
      <c r="F2" s="752"/>
      <c r="G2" s="752"/>
      <c r="H2" s="752"/>
      <c r="I2" s="752"/>
      <c r="J2" s="753"/>
      <c r="K2" s="760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05" t="s">
        <v>362</v>
      </c>
    </row>
    <row r="4" spans="1:16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07" t="s">
        <v>764</v>
      </c>
      <c r="N4" s="558" t="s">
        <v>17</v>
      </c>
      <c r="O4" s="89" t="s">
        <v>18</v>
      </c>
      <c r="P4" s="606" t="s">
        <v>764</v>
      </c>
    </row>
    <row r="5" spans="1:16" x14ac:dyDescent="0.25">
      <c r="A5" s="17" t="s">
        <v>53</v>
      </c>
      <c r="B5" s="13" t="s">
        <v>96</v>
      </c>
      <c r="C5" s="525">
        <v>24060000</v>
      </c>
      <c r="D5" s="512">
        <v>24060000</v>
      </c>
      <c r="E5" s="180">
        <v>11770981.59</v>
      </c>
      <c r="F5" s="78">
        <f>+E5/D5</f>
        <v>0.4892344800498753</v>
      </c>
      <c r="G5" s="180">
        <v>11770981.59</v>
      </c>
      <c r="H5" s="78">
        <f>+G5/D5</f>
        <v>0.4892344800498753</v>
      </c>
      <c r="I5" s="180">
        <v>11770981.59</v>
      </c>
      <c r="J5" s="172">
        <f>I5/D5</f>
        <v>0.4892344800498753</v>
      </c>
      <c r="K5" s="180">
        <v>12497691.050000001</v>
      </c>
      <c r="L5" s="78">
        <v>0.46613392974867418</v>
      </c>
      <c r="M5" s="245">
        <f>+G5/K5-1</f>
        <v>-5.8147497573161844E-2</v>
      </c>
      <c r="N5" s="180">
        <v>12497691.050000001</v>
      </c>
      <c r="O5" s="172">
        <v>0.46613392974867418</v>
      </c>
      <c r="P5" s="245">
        <f>+I5/N5-1</f>
        <v>-5.8147497573161844E-2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11770981.59</v>
      </c>
      <c r="F6" s="90">
        <f t="shared" ref="F6:F27" si="0">+E6/D6</f>
        <v>0.4892344800498753</v>
      </c>
      <c r="G6" s="203">
        <f>SUBTOTAL(9,G5:G5)</f>
        <v>11770981.59</v>
      </c>
      <c r="H6" s="90">
        <f>+G6/D6</f>
        <v>0.4892344800498753</v>
      </c>
      <c r="I6" s="203">
        <f>SUBTOTAL(9,I5:I5)</f>
        <v>11770981.59</v>
      </c>
      <c r="J6" s="170">
        <f>+I6/D6</f>
        <v>0.4892344800498753</v>
      </c>
      <c r="K6" s="562">
        <f>SUBTOTAL(9,K5:K5)</f>
        <v>12497691.050000001</v>
      </c>
      <c r="L6" s="90">
        <v>0.46613392974867418</v>
      </c>
      <c r="M6" s="213">
        <f>+G6/K6-1</f>
        <v>-5.8147497573161844E-2</v>
      </c>
      <c r="N6" s="562">
        <f>SUM(N5)</f>
        <v>12497691.050000001</v>
      </c>
      <c r="O6" s="170">
        <v>0.46613392974867418</v>
      </c>
      <c r="P6" s="213">
        <f>+I6/N6-1</f>
        <v>-5.8147497573161844E-2</v>
      </c>
    </row>
    <row r="7" spans="1:16" x14ac:dyDescent="0.25">
      <c r="A7" s="37" t="s">
        <v>54</v>
      </c>
      <c r="B7" s="38" t="s">
        <v>501</v>
      </c>
      <c r="C7" s="198">
        <v>8245978.9400000004</v>
      </c>
      <c r="D7" s="30">
        <v>21142469.489999998</v>
      </c>
      <c r="E7" s="30">
        <v>7356176.0999999996</v>
      </c>
      <c r="F7" s="414">
        <f>+E7/D7</f>
        <v>0.34793362731252075</v>
      </c>
      <c r="G7" s="30">
        <v>6951584.1399999997</v>
      </c>
      <c r="H7" s="48">
        <f>+G7/D7</f>
        <v>0.32879717023065691</v>
      </c>
      <c r="I7" s="30">
        <v>5616595.8799999999</v>
      </c>
      <c r="J7" s="153">
        <f>I7/D7</f>
        <v>0.26565467589566805</v>
      </c>
      <c r="K7" s="30">
        <v>6347358.2699999996</v>
      </c>
      <c r="L7" s="48">
        <v>0.71389301318693366</v>
      </c>
      <c r="M7" s="210">
        <f>+G7/K7-1</f>
        <v>9.5193282669389978E-2</v>
      </c>
      <c r="N7" s="30">
        <v>5893322.9299999997</v>
      </c>
      <c r="O7" s="153">
        <v>0.66282725587842839</v>
      </c>
      <c r="P7" s="210">
        <f>+I7/N7-1</f>
        <v>-4.6956030288331729E-2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168108843.86000001</v>
      </c>
      <c r="E8" s="32">
        <v>118503577.40000001</v>
      </c>
      <c r="F8" s="130">
        <f t="shared" ref="F8:F45" si="1">+E8/D8</f>
        <v>0.70492173212903086</v>
      </c>
      <c r="G8" s="32">
        <v>117297790.70999999</v>
      </c>
      <c r="H8" s="280">
        <f t="shared" ref="H8:H45" si="2">+G8/D8</f>
        <v>0.69774907742322501</v>
      </c>
      <c r="I8" s="32">
        <v>112804402.17</v>
      </c>
      <c r="J8" s="153">
        <f t="shared" ref="J8:J26" si="3">I8/D8</f>
        <v>0.67102003428173473</v>
      </c>
      <c r="K8" s="32">
        <v>133539681.13</v>
      </c>
      <c r="L8" s="280">
        <v>0.69347891662078642</v>
      </c>
      <c r="M8" s="210">
        <f>+G8/K8-1</f>
        <v>-0.12162594880085587</v>
      </c>
      <c r="N8" s="32">
        <v>129157788.26000001</v>
      </c>
      <c r="O8" s="178">
        <v>0.67072350568583194</v>
      </c>
      <c r="P8" s="210">
        <f>+I8/N8-1</f>
        <v>-0.12661556310549349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468</v>
      </c>
      <c r="C10" s="199">
        <v>14562809.07</v>
      </c>
      <c r="D10" s="32">
        <v>15752858.24</v>
      </c>
      <c r="E10" s="32">
        <v>14790279</v>
      </c>
      <c r="F10" s="130">
        <f t="shared" si="1"/>
        <v>0.93889494685124519</v>
      </c>
      <c r="G10" s="32">
        <v>14329024.18</v>
      </c>
      <c r="H10" s="280">
        <f t="shared" si="2"/>
        <v>0.90961424026627946</v>
      </c>
      <c r="I10" s="32">
        <v>5189954.9400000004</v>
      </c>
      <c r="J10" s="153">
        <f t="shared" si="3"/>
        <v>0.32946115942448806</v>
      </c>
      <c r="K10" s="32">
        <v>14706126.26</v>
      </c>
      <c r="L10" s="280">
        <v>0.91306274228376105</v>
      </c>
      <c r="M10" s="210">
        <f t="shared" ref="M10:M20" si="4">+G10/K10-1</f>
        <v>-2.564251614143287E-2</v>
      </c>
      <c r="N10" s="32">
        <v>5190194</v>
      </c>
      <c r="O10" s="178">
        <v>0.32224480348128898</v>
      </c>
      <c r="P10" s="210">
        <f t="shared" ref="P10:P20" si="5">+I10/N10-1</f>
        <v>-4.6059935331799196E-5</v>
      </c>
    </row>
    <row r="11" spans="1:16" x14ac:dyDescent="0.25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286106.03000000003</v>
      </c>
      <c r="F11" s="130">
        <f t="shared" si="1"/>
        <v>0.87876817665712281</v>
      </c>
      <c r="G11" s="32">
        <v>286106.03000000003</v>
      </c>
      <c r="H11" s="280">
        <f t="shared" si="2"/>
        <v>0.87876817665712281</v>
      </c>
      <c r="I11" s="32">
        <v>286106.03000000003</v>
      </c>
      <c r="J11" s="153">
        <f t="shared" si="3"/>
        <v>0.87876817665712281</v>
      </c>
      <c r="K11" s="32">
        <v>332427.62</v>
      </c>
      <c r="L11" s="280">
        <v>0.78620160540664985</v>
      </c>
      <c r="M11" s="210">
        <f t="shared" si="4"/>
        <v>-0.13934338548644054</v>
      </c>
      <c r="N11" s="32">
        <v>332427.62</v>
      </c>
      <c r="O11" s="178">
        <v>0.78620160540664985</v>
      </c>
      <c r="P11" s="210">
        <f t="shared" si="5"/>
        <v>-0.13934338548644054</v>
      </c>
    </row>
    <row r="12" spans="1:16" x14ac:dyDescent="0.25">
      <c r="A12" s="39">
        <v>136</v>
      </c>
      <c r="B12" s="40" t="s">
        <v>469</v>
      </c>
      <c r="C12" s="199">
        <v>40845954.75</v>
      </c>
      <c r="D12" s="32">
        <v>41799720.289999999</v>
      </c>
      <c r="E12" s="32">
        <v>30269344.399999999</v>
      </c>
      <c r="F12" s="130">
        <f t="shared" si="1"/>
        <v>0.72415184096917318</v>
      </c>
      <c r="G12" s="32">
        <v>29926768.449999999</v>
      </c>
      <c r="H12" s="280">
        <f t="shared" si="2"/>
        <v>0.71595618923697824</v>
      </c>
      <c r="I12" s="32">
        <v>28437748.329999998</v>
      </c>
      <c r="J12" s="153">
        <f t="shared" si="3"/>
        <v>0.68033345995387762</v>
      </c>
      <c r="K12" s="32">
        <v>32623679.329999998</v>
      </c>
      <c r="L12" s="280">
        <v>0.71726430432013688</v>
      </c>
      <c r="M12" s="210">
        <f t="shared" si="4"/>
        <v>-8.26672814160474E-2</v>
      </c>
      <c r="N12" s="32">
        <v>30696228.59</v>
      </c>
      <c r="O12" s="178">
        <v>0.67488736699945506</v>
      </c>
      <c r="P12" s="210">
        <f t="shared" si="5"/>
        <v>-7.3575170753574337E-2</v>
      </c>
    </row>
    <row r="13" spans="1:16" x14ac:dyDescent="0.25">
      <c r="A13" s="39" t="s">
        <v>58</v>
      </c>
      <c r="B13" s="40" t="s">
        <v>742</v>
      </c>
      <c r="C13" s="199">
        <v>27221948.489999998</v>
      </c>
      <c r="D13" s="32">
        <v>30410811.190000001</v>
      </c>
      <c r="E13" s="32">
        <v>25558300.359999999</v>
      </c>
      <c r="F13" s="130">
        <f t="shared" si="1"/>
        <v>0.8404346796380211</v>
      </c>
      <c r="G13" s="32">
        <v>22976778.530000001</v>
      </c>
      <c r="H13" s="280">
        <f t="shared" si="2"/>
        <v>0.75554638731752954</v>
      </c>
      <c r="I13" s="32">
        <v>17541482.469999999</v>
      </c>
      <c r="J13" s="153">
        <f t="shared" si="3"/>
        <v>0.57681731540815229</v>
      </c>
      <c r="K13" s="32">
        <v>18853512.109999999</v>
      </c>
      <c r="L13" s="280">
        <v>0.80994921750763349</v>
      </c>
      <c r="M13" s="210">
        <f t="shared" si="4"/>
        <v>0.21870017617635296</v>
      </c>
      <c r="N13" s="32">
        <v>15871447.369999999</v>
      </c>
      <c r="O13" s="178">
        <v>0.68183934659191137</v>
      </c>
      <c r="P13" s="210">
        <f t="shared" si="5"/>
        <v>0.10522260894470636</v>
      </c>
    </row>
    <row r="14" spans="1:16" x14ac:dyDescent="0.25">
      <c r="A14" s="39" t="s">
        <v>59</v>
      </c>
      <c r="B14" s="40" t="s">
        <v>476</v>
      </c>
      <c r="C14" s="199">
        <v>26796599.550000001</v>
      </c>
      <c r="D14" s="32">
        <v>26598560.550000001</v>
      </c>
      <c r="E14" s="32">
        <v>23304006.039999999</v>
      </c>
      <c r="F14" s="130">
        <f t="shared" si="1"/>
        <v>0.87613786453568065</v>
      </c>
      <c r="G14" s="32">
        <v>22798116.449999999</v>
      </c>
      <c r="H14" s="280">
        <f t="shared" si="2"/>
        <v>0.85711842966630003</v>
      </c>
      <c r="I14" s="32">
        <v>17588149.539999999</v>
      </c>
      <c r="J14" s="153">
        <f t="shared" si="3"/>
        <v>0.66124441234095277</v>
      </c>
      <c r="K14" s="32">
        <v>23910604.68</v>
      </c>
      <c r="L14" s="280">
        <v>0.82032918075203032</v>
      </c>
      <c r="M14" s="210">
        <f t="shared" si="4"/>
        <v>-4.6526980178403399E-2</v>
      </c>
      <c r="N14" s="32">
        <v>19136729.41</v>
      </c>
      <c r="O14" s="178">
        <v>0.65654623834375503</v>
      </c>
      <c r="P14" s="210">
        <f t="shared" si="5"/>
        <v>-8.0921866888643113E-2</v>
      </c>
    </row>
    <row r="15" spans="1:16" x14ac:dyDescent="0.25">
      <c r="A15" s="39">
        <v>152</v>
      </c>
      <c r="B15" s="40" t="s">
        <v>470</v>
      </c>
      <c r="C15" s="199">
        <v>28986451.059999999</v>
      </c>
      <c r="D15" s="32">
        <v>29031451.059999999</v>
      </c>
      <c r="E15" s="32">
        <v>26899182.100000001</v>
      </c>
      <c r="F15" s="130">
        <f t="shared" si="1"/>
        <v>0.92655313867731981</v>
      </c>
      <c r="G15" s="32">
        <v>26824839.690000001</v>
      </c>
      <c r="H15" s="280">
        <f t="shared" si="2"/>
        <v>0.92399238448537968</v>
      </c>
      <c r="I15" s="32">
        <v>13609369.689999999</v>
      </c>
      <c r="J15" s="153">
        <f t="shared" si="3"/>
        <v>0.46878020881123672</v>
      </c>
      <c r="K15" s="32">
        <v>23656118.530000001</v>
      </c>
      <c r="L15" s="280">
        <v>0.85033607783462972</v>
      </c>
      <c r="M15" s="210">
        <f t="shared" si="4"/>
        <v>0.13394932714686569</v>
      </c>
      <c r="N15" s="32">
        <v>15671849.43</v>
      </c>
      <c r="O15" s="178">
        <v>0.56333582197015974</v>
      </c>
      <c r="P15" s="210">
        <f t="shared" si="5"/>
        <v>-0.13160410640826326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36041466.810000002</v>
      </c>
      <c r="E16" s="32">
        <v>29636786.82</v>
      </c>
      <c r="F16" s="78">
        <f t="shared" si="1"/>
        <v>0.82229691083985046</v>
      </c>
      <c r="G16" s="32">
        <v>29184609.309999999</v>
      </c>
      <c r="H16" s="280">
        <f t="shared" si="2"/>
        <v>0.80975087567475157</v>
      </c>
      <c r="I16" s="32">
        <v>13481645.550000001</v>
      </c>
      <c r="J16" s="153">
        <f t="shared" si="3"/>
        <v>0.3740592917894065</v>
      </c>
      <c r="K16" s="32">
        <v>24501291.460000001</v>
      </c>
      <c r="L16" s="280">
        <v>0.83764135620756786</v>
      </c>
      <c r="M16" s="210">
        <f t="shared" si="4"/>
        <v>0.19114575481238716</v>
      </c>
      <c r="N16" s="32">
        <v>13286496.76</v>
      </c>
      <c r="O16" s="178">
        <v>0.45423398123577341</v>
      </c>
      <c r="P16" s="210">
        <f t="shared" si="5"/>
        <v>1.4687753553480842E-2</v>
      </c>
    </row>
    <row r="17" spans="1:16" x14ac:dyDescent="0.25">
      <c r="A17" s="39" t="s">
        <v>489</v>
      </c>
      <c r="B17" s="40" t="s">
        <v>162</v>
      </c>
      <c r="C17" s="199">
        <v>18215182.399999999</v>
      </c>
      <c r="D17" s="32">
        <v>18391383.899999999</v>
      </c>
      <c r="E17" s="32">
        <v>18383056.969999999</v>
      </c>
      <c r="F17" s="414">
        <f t="shared" si="1"/>
        <v>0.9995472374430725</v>
      </c>
      <c r="G17" s="32">
        <v>18268817.390000001</v>
      </c>
      <c r="H17" s="280">
        <f t="shared" si="2"/>
        <v>0.99333565594267226</v>
      </c>
      <c r="I17" s="32">
        <v>10445538.32</v>
      </c>
      <c r="J17" s="153">
        <f t="shared" si="3"/>
        <v>0.56795825571342684</v>
      </c>
      <c r="K17" s="32">
        <v>19349633.260000002</v>
      </c>
      <c r="L17" s="280">
        <v>0.99392772157766229</v>
      </c>
      <c r="M17" s="210">
        <f t="shared" si="4"/>
        <v>-5.5857175972130024E-2</v>
      </c>
      <c r="N17" s="32">
        <v>12248450.35</v>
      </c>
      <c r="O17" s="178">
        <v>0.62916305366878145</v>
      </c>
      <c r="P17" s="210">
        <f t="shared" si="5"/>
        <v>-0.1471951127270561</v>
      </c>
    </row>
    <row r="18" spans="1:16" x14ac:dyDescent="0.25">
      <c r="A18" s="39" t="s">
        <v>61</v>
      </c>
      <c r="B18" s="40" t="s">
        <v>478</v>
      </c>
      <c r="C18" s="199">
        <v>8305266.9900000002</v>
      </c>
      <c r="D18" s="32">
        <v>7089591.5800000001</v>
      </c>
      <c r="E18" s="32">
        <v>7084449.2699999996</v>
      </c>
      <c r="F18" s="78">
        <f t="shared" si="1"/>
        <v>0.99927466766710416</v>
      </c>
      <c r="G18" s="32">
        <v>6361093.6799999997</v>
      </c>
      <c r="H18" s="280">
        <f t="shared" si="2"/>
        <v>0.89724402431656014</v>
      </c>
      <c r="I18" s="32">
        <v>3089348.78</v>
      </c>
      <c r="J18" s="153">
        <f t="shared" si="3"/>
        <v>0.43575835718310868</v>
      </c>
      <c r="K18" s="32">
        <v>6159912.9800000004</v>
      </c>
      <c r="L18" s="280">
        <v>0.99895762002704147</v>
      </c>
      <c r="M18" s="210">
        <f t="shared" si="4"/>
        <v>3.2659665916254355E-2</v>
      </c>
      <c r="N18" s="32">
        <v>1515486.63</v>
      </c>
      <c r="O18" s="178">
        <v>0.24576758178288444</v>
      </c>
      <c r="P18" s="210">
        <f t="shared" si="5"/>
        <v>1.0385193236577743</v>
      </c>
    </row>
    <row r="19" spans="1:16" x14ac:dyDescent="0.25">
      <c r="A19" s="39" t="s">
        <v>62</v>
      </c>
      <c r="B19" s="40" t="s">
        <v>490</v>
      </c>
      <c r="C19" s="199">
        <v>103800543.09999999</v>
      </c>
      <c r="D19" s="32">
        <v>100212750.28</v>
      </c>
      <c r="E19" s="32">
        <v>93097927.900000006</v>
      </c>
      <c r="F19" s="414">
        <f t="shared" si="1"/>
        <v>0.92900282289308711</v>
      </c>
      <c r="G19" s="32">
        <v>93097927.900000006</v>
      </c>
      <c r="H19" s="280">
        <f t="shared" si="2"/>
        <v>0.92900282289308711</v>
      </c>
      <c r="I19" s="32">
        <v>44123813.159999996</v>
      </c>
      <c r="J19" s="153">
        <f t="shared" si="3"/>
        <v>0.44030138916171452</v>
      </c>
      <c r="K19" s="32">
        <v>93973200.019999996</v>
      </c>
      <c r="L19" s="280">
        <v>0.95419759286435168</v>
      </c>
      <c r="M19" s="210">
        <f t="shared" si="4"/>
        <v>-9.3140610281836622E-3</v>
      </c>
      <c r="N19" s="32">
        <v>44771543.829999998</v>
      </c>
      <c r="O19" s="178">
        <v>0.45460726401053353</v>
      </c>
      <c r="P19" s="210">
        <f t="shared" si="5"/>
        <v>-1.4467463361537591E-2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174256515.75999999</v>
      </c>
      <c r="F20" s="130">
        <f t="shared" si="1"/>
        <v>0.99840261011206544</v>
      </c>
      <c r="G20" s="32">
        <v>174255608.31</v>
      </c>
      <c r="H20" s="280">
        <f t="shared" si="2"/>
        <v>0.99839741087779521</v>
      </c>
      <c r="I20" s="32">
        <v>88850999.019999996</v>
      </c>
      <c r="J20" s="153">
        <f t="shared" si="3"/>
        <v>0.50907174945934175</v>
      </c>
      <c r="K20" s="32">
        <v>175864036.86000001</v>
      </c>
      <c r="L20" s="280">
        <v>0.99019300768479412</v>
      </c>
      <c r="M20" s="210">
        <f t="shared" si="4"/>
        <v>-9.145863922596309E-3</v>
      </c>
      <c r="N20" s="32">
        <v>85640135.349999994</v>
      </c>
      <c r="O20" s="178">
        <v>0.48219217933827058</v>
      </c>
      <c r="P20" s="210">
        <f t="shared" si="5"/>
        <v>3.7492510455262806E-2</v>
      </c>
    </row>
    <row r="21" spans="1:16" x14ac:dyDescent="0.25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30592034.949999999</v>
      </c>
      <c r="E22" s="32">
        <v>29937205.859999999</v>
      </c>
      <c r="F22" s="130">
        <f t="shared" si="1"/>
        <v>0.97859478484938123</v>
      </c>
      <c r="G22" s="32">
        <v>27503531.52</v>
      </c>
      <c r="H22" s="280">
        <f t="shared" si="2"/>
        <v>0.89904223648253911</v>
      </c>
      <c r="I22" s="32">
        <v>10674612.369999999</v>
      </c>
      <c r="J22" s="153">
        <f t="shared" si="3"/>
        <v>0.34893436763676289</v>
      </c>
      <c r="K22" s="32">
        <v>26060544.710000001</v>
      </c>
      <c r="L22" s="280">
        <v>0.83405510561984408</v>
      </c>
      <c r="M22" s="210">
        <f>+G22/K22-1</f>
        <v>5.5370554455306253E-2</v>
      </c>
      <c r="N22" s="32">
        <v>11656214.57</v>
      </c>
      <c r="O22" s="178">
        <v>0.37305149921054415</v>
      </c>
      <c r="P22" s="210">
        <f>+I22/N22-1</f>
        <v>-8.4212777150343809E-2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2617800.67</v>
      </c>
      <c r="E23" s="32">
        <v>2588936.5699999998</v>
      </c>
      <c r="F23" s="130">
        <f t="shared" si="1"/>
        <v>0.98897391221158171</v>
      </c>
      <c r="G23" s="32">
        <v>2104619.11</v>
      </c>
      <c r="H23" s="280">
        <f t="shared" si="2"/>
        <v>0.80396461583914258</v>
      </c>
      <c r="I23" s="32">
        <v>1465556.56</v>
      </c>
      <c r="J23" s="153">
        <f t="shared" si="3"/>
        <v>0.5598426865709375</v>
      </c>
      <c r="K23" s="32">
        <v>1380401.2</v>
      </c>
      <c r="L23" s="280">
        <v>0.70272316903560461</v>
      </c>
      <c r="M23" s="210">
        <f>+G23/K23-1</f>
        <v>0.52464306029290619</v>
      </c>
      <c r="N23" s="32">
        <v>940068.96</v>
      </c>
      <c r="O23" s="178">
        <v>0.47856249232701698</v>
      </c>
      <c r="P23" s="210">
        <f>+I23/N23-1</f>
        <v>0.55898835336505548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48801897.43</v>
      </c>
      <c r="F24" s="130">
        <f t="shared" si="1"/>
        <v>0.9999959100118202</v>
      </c>
      <c r="G24" s="32">
        <v>48786377.43</v>
      </c>
      <c r="H24" s="280">
        <f t="shared" si="2"/>
        <v>0.99967789089082915</v>
      </c>
      <c r="I24" s="32">
        <v>26022114.800000001</v>
      </c>
      <c r="J24" s="153">
        <f t="shared" si="3"/>
        <v>0.53321714400927256</v>
      </c>
      <c r="K24" s="32">
        <v>47906335.32</v>
      </c>
      <c r="L24" s="280">
        <v>0.9994890647080158</v>
      </c>
      <c r="M24" s="210">
        <f>+G24/K24-1</f>
        <v>1.837005698978178E-2</v>
      </c>
      <c r="N24" s="32">
        <v>26518043.739999998</v>
      </c>
      <c r="O24" s="178">
        <v>0.55325656948160928</v>
      </c>
      <c r="P24" s="210">
        <f>+I24/N24-1</f>
        <v>-1.8701565804114528E-2</v>
      </c>
    </row>
    <row r="25" spans="1:16" x14ac:dyDescent="0.25">
      <c r="A25" s="41" t="s">
        <v>492</v>
      </c>
      <c r="B25" s="42" t="s">
        <v>493</v>
      </c>
      <c r="C25" s="199">
        <v>3847206.77</v>
      </c>
      <c r="D25" s="32">
        <v>4381555.21</v>
      </c>
      <c r="E25" s="32">
        <v>3743792.85</v>
      </c>
      <c r="F25" s="130">
        <f t="shared" si="1"/>
        <v>0.85444383799057511</v>
      </c>
      <c r="G25" s="32">
        <v>3364438.89</v>
      </c>
      <c r="H25" s="280">
        <f t="shared" si="2"/>
        <v>0.76786408677936069</v>
      </c>
      <c r="I25" s="32">
        <v>1422331.14</v>
      </c>
      <c r="J25" s="153">
        <f t="shared" si="3"/>
        <v>0.32461787466555736</v>
      </c>
      <c r="K25" s="32">
        <v>2104261.15</v>
      </c>
      <c r="L25" s="390">
        <v>0.78667858680756964</v>
      </c>
      <c r="M25" s="210">
        <f>+G25/K25-1</f>
        <v>0.59886946066556446</v>
      </c>
      <c r="N25" s="32">
        <v>1007817.58</v>
      </c>
      <c r="O25" s="178">
        <v>0.37677286851692565</v>
      </c>
      <c r="P25" s="210">
        <f>+I25/N25-1</f>
        <v>0.41129820339113343</v>
      </c>
    </row>
    <row r="26" spans="1:16" x14ac:dyDescent="0.25">
      <c r="A26" s="660" t="s">
        <v>68</v>
      </c>
      <c r="B26" s="656" t="s">
        <v>131</v>
      </c>
      <c r="C26" s="655">
        <v>3772412.45</v>
      </c>
      <c r="D26" s="397">
        <v>3445164.17</v>
      </c>
      <c r="E26" s="398">
        <v>2926588</v>
      </c>
      <c r="F26" s="130">
        <f t="shared" si="1"/>
        <v>0.84947708021705104</v>
      </c>
      <c r="G26" s="398">
        <v>2682595.2799999998</v>
      </c>
      <c r="H26" s="280">
        <f t="shared" si="2"/>
        <v>0.77865528248542071</v>
      </c>
      <c r="I26" s="398">
        <v>1663364.85</v>
      </c>
      <c r="J26" s="153">
        <f t="shared" si="3"/>
        <v>0.48281149109942129</v>
      </c>
      <c r="K26" s="398">
        <v>1400307.85</v>
      </c>
      <c r="L26" s="412">
        <v>0.58023634833618276</v>
      </c>
      <c r="M26" s="443">
        <f>+G26/K26-1</f>
        <v>0.91571823295855959</v>
      </c>
      <c r="N26" s="398">
        <v>1091893.1299999999</v>
      </c>
      <c r="O26" s="427">
        <v>0.45244057049638386</v>
      </c>
      <c r="P26" s="443">
        <f>+I26/N26-1</f>
        <v>0.52337697188368626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825992541.22000003</v>
      </c>
      <c r="E27" s="203">
        <f>SUBTOTAL(9,E7:E26)</f>
        <v>657424128.86000001</v>
      </c>
      <c r="F27" s="90">
        <f t="shared" si="0"/>
        <v>0.79592017609381482</v>
      </c>
      <c r="G27" s="203">
        <f>SUBTOTAL(9,G7:G26)</f>
        <v>647000626.99999988</v>
      </c>
      <c r="H27" s="90">
        <f t="shared" si="2"/>
        <v>0.78330081049445421</v>
      </c>
      <c r="I27" s="203">
        <f>SUBTOTAL(9,I7:I26)</f>
        <v>402313133.60000002</v>
      </c>
      <c r="J27" s="170">
        <f t="shared" ref="J27" si="6">+I27/D27</f>
        <v>0.48706630329346451</v>
      </c>
      <c r="K27" s="562">
        <f>SUM(K7:K26)</f>
        <v>652669432.74000013</v>
      </c>
      <c r="L27" s="90">
        <v>0.7844653483100551</v>
      </c>
      <c r="M27" s="213">
        <f t="shared" ref="M27" si="7">+G27/K27-1</f>
        <v>-8.6855695328058591E-3</v>
      </c>
      <c r="N27" s="562">
        <f>SUBTOTAL(9,N7:N26)</f>
        <v>420626138.50999993</v>
      </c>
      <c r="O27" s="170">
        <v>0.50600000000000001</v>
      </c>
      <c r="P27" s="213">
        <f t="shared" ref="P27:P32" si="8">+I27/N27-1</f>
        <v>-4.3537486697500016E-2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336774.17</v>
      </c>
      <c r="F28" s="414">
        <f t="shared" si="1"/>
        <v>0.60101865842061031</v>
      </c>
      <c r="G28" s="30">
        <v>336774.17</v>
      </c>
      <c r="H28" s="48">
        <f t="shared" si="2"/>
        <v>0.60101865842061031</v>
      </c>
      <c r="I28" s="30">
        <v>336774.17</v>
      </c>
      <c r="J28" s="153">
        <f>I28/D28</f>
        <v>0.60101865842061031</v>
      </c>
      <c r="K28" s="30">
        <v>373012.29</v>
      </c>
      <c r="L28" s="48">
        <v>0.6475509051551982</v>
      </c>
      <c r="M28" s="210">
        <f>+G28/K28-1</f>
        <v>-9.7149935729999637E-2</v>
      </c>
      <c r="N28" s="30">
        <v>373012.29</v>
      </c>
      <c r="O28" s="153">
        <v>0.6475509051551982</v>
      </c>
      <c r="P28" s="210">
        <f t="shared" si="8"/>
        <v>-9.7149935729999637E-2</v>
      </c>
    </row>
    <row r="29" spans="1:16" x14ac:dyDescent="0.25">
      <c r="A29" s="39" t="s">
        <v>70</v>
      </c>
      <c r="B29" s="40" t="s">
        <v>743</v>
      </c>
      <c r="C29" s="199">
        <v>27012393.300000001</v>
      </c>
      <c r="D29" s="32">
        <v>25957743.579999998</v>
      </c>
      <c r="E29" s="32">
        <v>17087272.870000001</v>
      </c>
      <c r="F29" s="130">
        <f t="shared" si="1"/>
        <v>0.65827265830476323</v>
      </c>
      <c r="G29" s="32">
        <v>15784739.640000001</v>
      </c>
      <c r="H29" s="280">
        <f t="shared" si="2"/>
        <v>0.60809367314044493</v>
      </c>
      <c r="I29" s="32">
        <v>13773924.970000001</v>
      </c>
      <c r="J29" s="153">
        <f t="shared" ref="J29:J32" si="9">I29/D29</f>
        <v>0.53062874773955993</v>
      </c>
      <c r="K29" s="32">
        <v>15562791.439999999</v>
      </c>
      <c r="L29" s="280">
        <v>0.64126662958088088</v>
      </c>
      <c r="M29" s="211">
        <f>+G29/K29-1</f>
        <v>1.4261464651485589E-2</v>
      </c>
      <c r="N29" s="32">
        <v>13988891.07</v>
      </c>
      <c r="O29" s="153">
        <v>0.57641388195799037</v>
      </c>
      <c r="P29" s="211">
        <f t="shared" si="8"/>
        <v>-1.5366914998788395E-2</v>
      </c>
    </row>
    <row r="30" spans="1:16" x14ac:dyDescent="0.25">
      <c r="A30" s="39" t="s">
        <v>71</v>
      </c>
      <c r="B30" s="40" t="s">
        <v>479</v>
      </c>
      <c r="C30" s="199">
        <v>243331620.75999999</v>
      </c>
      <c r="D30" s="32">
        <v>250449917.38999999</v>
      </c>
      <c r="E30" s="32">
        <v>229585843.02000001</v>
      </c>
      <c r="F30" s="130">
        <f t="shared" si="1"/>
        <v>0.91669362646460573</v>
      </c>
      <c r="G30" s="32">
        <v>219301299.25999999</v>
      </c>
      <c r="H30" s="280">
        <f t="shared" si="2"/>
        <v>0.87562935354657978</v>
      </c>
      <c r="I30" s="32">
        <v>148953311.96000001</v>
      </c>
      <c r="J30" s="153">
        <f t="shared" si="9"/>
        <v>0.59474290713400513</v>
      </c>
      <c r="K30" s="32">
        <v>199464344.63</v>
      </c>
      <c r="L30" s="280">
        <v>0.91854093719861707</v>
      </c>
      <c r="M30" s="211">
        <f>+G30/K30-1</f>
        <v>9.9451130811358368E-2</v>
      </c>
      <c r="N30" s="32">
        <v>143637264.12</v>
      </c>
      <c r="O30" s="153">
        <v>0.66145509587775442</v>
      </c>
      <c r="P30" s="211">
        <f t="shared" si="8"/>
        <v>3.7010227621425473E-2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40062957.920000002</v>
      </c>
      <c r="E31" s="32">
        <v>32282353.449999999</v>
      </c>
      <c r="F31" s="414">
        <f t="shared" si="1"/>
        <v>0.8057905638036823</v>
      </c>
      <c r="G31" s="32">
        <v>21478211.57</v>
      </c>
      <c r="H31" s="280">
        <f t="shared" si="2"/>
        <v>0.53611147766195688</v>
      </c>
      <c r="I31" s="32">
        <v>11939619.630000001</v>
      </c>
      <c r="J31" s="153">
        <f t="shared" si="9"/>
        <v>0.29802142053119779</v>
      </c>
      <c r="K31" s="32">
        <v>18187365.280000001</v>
      </c>
      <c r="L31" s="280">
        <v>0.51402782983479611</v>
      </c>
      <c r="M31" s="211">
        <f>+G31/K31-1</f>
        <v>0.18094134248344518</v>
      </c>
      <c r="N31" s="32">
        <v>10262078.58</v>
      </c>
      <c r="O31" s="153">
        <v>0.29003618175922763</v>
      </c>
      <c r="P31" s="211">
        <f t="shared" si="8"/>
        <v>0.16346990884180124</v>
      </c>
    </row>
    <row r="32" spans="1:16" x14ac:dyDescent="0.25">
      <c r="A32" s="41">
        <v>234</v>
      </c>
      <c r="B32" s="42" t="s">
        <v>431</v>
      </c>
      <c r="C32" s="199">
        <v>10668077.699999999</v>
      </c>
      <c r="D32" s="32">
        <v>10738140.09</v>
      </c>
      <c r="E32" s="32">
        <v>10614619.6</v>
      </c>
      <c r="F32" s="130">
        <f t="shared" si="1"/>
        <v>0.98849703123960642</v>
      </c>
      <c r="G32" s="32">
        <v>10581915.199999999</v>
      </c>
      <c r="H32" s="280">
        <f t="shared" si="2"/>
        <v>0.98545140138882281</v>
      </c>
      <c r="I32" s="32">
        <v>6269864.7800000003</v>
      </c>
      <c r="J32" s="153">
        <f t="shared" si="9"/>
        <v>0.58388740763764801</v>
      </c>
      <c r="K32" s="32">
        <v>10638823.890000001</v>
      </c>
      <c r="L32" s="243">
        <v>0.97981630647972984</v>
      </c>
      <c r="M32" s="516">
        <f>+G32/K32-1</f>
        <v>-5.3491523676308939E-3</v>
      </c>
      <c r="N32" s="32">
        <v>5894331.6600000001</v>
      </c>
      <c r="O32" s="153">
        <v>0.5428572120360321</v>
      </c>
      <c r="P32" s="516">
        <f t="shared" si="8"/>
        <v>6.3710890676280663E-2</v>
      </c>
    </row>
    <row r="33" spans="1:16" x14ac:dyDescent="0.25">
      <c r="A33" s="18">
        <v>2</v>
      </c>
      <c r="B33" s="514" t="s">
        <v>125</v>
      </c>
      <c r="C33" s="201">
        <f>SUBTOTAL(9,C28:C32)</f>
        <v>321210830.55999994</v>
      </c>
      <c r="D33" s="207">
        <f>SUBTOTAL(9,D28:D32)</f>
        <v>327769097.94</v>
      </c>
      <c r="E33" s="203">
        <f>SUBTOTAL(9,E28:E32)</f>
        <v>289906863.11000001</v>
      </c>
      <c r="F33" s="90">
        <f>E33/D33</f>
        <v>0.8844850381931646</v>
      </c>
      <c r="G33" s="203">
        <f>SUBTOTAL(9,G28:G32)</f>
        <v>267482939.83999997</v>
      </c>
      <c r="H33" s="90">
        <f t="shared" si="2"/>
        <v>0.81607125723903429</v>
      </c>
      <c r="I33" s="203">
        <f>SUBTOTAL(9,I28:I32)</f>
        <v>181273495.51000002</v>
      </c>
      <c r="J33" s="170">
        <f>I33/D33</f>
        <v>0.55305242821635114</v>
      </c>
      <c r="K33" s="562">
        <f>SUM(K28:K32)</f>
        <v>244226337.52999997</v>
      </c>
      <c r="L33" s="90">
        <v>0.82</v>
      </c>
      <c r="M33" s="213">
        <f t="shared" ref="M33:M56" si="10">+G33/K33-1</f>
        <v>9.5225611394771148E-2</v>
      </c>
      <c r="N33" s="562">
        <f>SUBTOTAL(9,N28:N32)</f>
        <v>174155577.72000003</v>
      </c>
      <c r="O33" s="170">
        <v>0.57999999999999996</v>
      </c>
      <c r="P33" s="213">
        <f t="shared" ref="P33:P55" si="11">+I33/N33-1</f>
        <v>4.0871029703360318E-2</v>
      </c>
    </row>
    <row r="34" spans="1:16" x14ac:dyDescent="0.25">
      <c r="A34" s="37" t="s">
        <v>494</v>
      </c>
      <c r="B34" s="38" t="s">
        <v>472</v>
      </c>
      <c r="C34" s="198">
        <v>19998074.850000001</v>
      </c>
      <c r="D34" s="30">
        <v>19328914.66</v>
      </c>
      <c r="E34" s="30">
        <v>18454755.210000001</v>
      </c>
      <c r="F34" s="78">
        <f t="shared" si="1"/>
        <v>0.95477451965738058</v>
      </c>
      <c r="G34" s="30">
        <v>18337180.050000001</v>
      </c>
      <c r="H34" s="280">
        <f t="shared" si="2"/>
        <v>0.94869165561311453</v>
      </c>
      <c r="I34" s="30">
        <v>11814437.699999999</v>
      </c>
      <c r="J34" s="153">
        <f>I34/D34</f>
        <v>0.61123130335141118</v>
      </c>
      <c r="K34" s="30">
        <v>17280768.239999998</v>
      </c>
      <c r="L34" s="48">
        <v>0.98568577682738534</v>
      </c>
      <c r="M34" s="210">
        <f t="shared" si="10"/>
        <v>6.1132224871502716E-2</v>
      </c>
      <c r="N34" s="30">
        <v>14145764.359999999</v>
      </c>
      <c r="O34" s="153">
        <v>0.80686683244377233</v>
      </c>
      <c r="P34" s="210">
        <f t="shared" si="11"/>
        <v>-0.16480740104736202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1"/>
        <v>1</v>
      </c>
      <c r="G35" s="32">
        <v>2889577.19</v>
      </c>
      <c r="H35" s="280">
        <f t="shared" si="2"/>
        <v>1</v>
      </c>
      <c r="I35" s="32">
        <v>2248848</v>
      </c>
      <c r="J35" s="153">
        <f t="shared" ref="J35:J45" si="12">I35/D35</f>
        <v>0.77826195741806781</v>
      </c>
      <c r="K35" s="32">
        <v>2248848</v>
      </c>
      <c r="L35" s="48">
        <v>1</v>
      </c>
      <c r="M35" s="210">
        <f t="shared" si="10"/>
        <v>0.28491440506428178</v>
      </c>
      <c r="N35" s="32">
        <v>2248848</v>
      </c>
      <c r="O35" s="153">
        <v>1</v>
      </c>
      <c r="P35" s="210">
        <f t="shared" si="11"/>
        <v>0</v>
      </c>
    </row>
    <row r="36" spans="1:16" x14ac:dyDescent="0.25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5190</v>
      </c>
      <c r="H36" s="280">
        <f t="shared" si="2"/>
        <v>0.86499999999999999</v>
      </c>
      <c r="I36" s="32">
        <v>5190</v>
      </c>
      <c r="J36" s="153">
        <f t="shared" si="12"/>
        <v>0.86499999999999999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5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7100000</v>
      </c>
      <c r="J37" s="153">
        <f t="shared" si="12"/>
        <v>0.66510933096690805</v>
      </c>
      <c r="K37" s="32">
        <v>9331667.1099999994</v>
      </c>
      <c r="L37" s="280">
        <v>1</v>
      </c>
      <c r="M37" s="212">
        <f t="shared" si="10"/>
        <v>0.14394743877656402</v>
      </c>
      <c r="N37" s="32">
        <v>5529319</v>
      </c>
      <c r="O37" s="178">
        <v>0.59253281700058424</v>
      </c>
      <c r="P37" s="210">
        <f t="shared" si="11"/>
        <v>0.2840640954157283</v>
      </c>
    </row>
    <row r="38" spans="1:16" x14ac:dyDescent="0.25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34681050</v>
      </c>
      <c r="J38" s="153">
        <f t="shared" si="12"/>
        <v>0.82227821665652867</v>
      </c>
      <c r="K38" s="32">
        <v>39307154.049999997</v>
      </c>
      <c r="L38" s="604">
        <v>1</v>
      </c>
      <c r="M38" s="211">
        <f t="shared" si="10"/>
        <v>7.3005261493868101E-2</v>
      </c>
      <c r="N38" s="32">
        <v>37980210.549999997</v>
      </c>
      <c r="O38" s="178">
        <v>0.96624167961099183</v>
      </c>
      <c r="P38" s="210">
        <f t="shared" si="11"/>
        <v>-8.686525172515136E-2</v>
      </c>
    </row>
    <row r="39" spans="1:16" x14ac:dyDescent="0.25">
      <c r="A39" s="39">
        <v>324</v>
      </c>
      <c r="B39" s="40" t="s">
        <v>474</v>
      </c>
      <c r="C39" s="199">
        <v>8163831</v>
      </c>
      <c r="D39" s="32">
        <v>8163831</v>
      </c>
      <c r="E39" s="32">
        <v>8163831</v>
      </c>
      <c r="F39" s="78">
        <f t="shared" si="1"/>
        <v>1</v>
      </c>
      <c r="G39" s="32">
        <v>8163831</v>
      </c>
      <c r="H39" s="280">
        <f t="shared" si="2"/>
        <v>1</v>
      </c>
      <c r="I39" s="32">
        <v>5416531</v>
      </c>
      <c r="J39" s="153">
        <f t="shared" si="12"/>
        <v>0.66347907005914253</v>
      </c>
      <c r="K39" s="32">
        <v>7493661</v>
      </c>
      <c r="L39" s="280">
        <v>1</v>
      </c>
      <c r="M39" s="211">
        <f t="shared" si="10"/>
        <v>8.9431587577820881E-2</v>
      </c>
      <c r="N39" s="32">
        <v>2077130</v>
      </c>
      <c r="O39" s="178">
        <v>0.27718494338081212</v>
      </c>
      <c r="P39" s="210">
        <f t="shared" si="11"/>
        <v>1.6076995662284017</v>
      </c>
    </row>
    <row r="40" spans="1:16" x14ac:dyDescent="0.25">
      <c r="A40" s="39" t="s">
        <v>473</v>
      </c>
      <c r="B40" s="40" t="s">
        <v>114</v>
      </c>
      <c r="C40" s="199">
        <v>17924191.510000002</v>
      </c>
      <c r="D40" s="32">
        <v>17910785.539999999</v>
      </c>
      <c r="E40" s="32">
        <v>17675231.800000001</v>
      </c>
      <c r="F40" s="78">
        <f t="shared" si="1"/>
        <v>0.98684849754501625</v>
      </c>
      <c r="G40" s="32">
        <v>17592384.25</v>
      </c>
      <c r="H40" s="280">
        <f t="shared" si="2"/>
        <v>0.98222292990506099</v>
      </c>
      <c r="I40" s="32">
        <v>6641386.9199999999</v>
      </c>
      <c r="J40" s="153">
        <f t="shared" si="12"/>
        <v>0.37080377659415603</v>
      </c>
      <c r="K40" s="32">
        <v>14890431.279999999</v>
      </c>
      <c r="L40" s="280">
        <v>0.87989510781723212</v>
      </c>
      <c r="M40" s="211">
        <f t="shared" si="10"/>
        <v>0.18145565559468468</v>
      </c>
      <c r="N40" s="32">
        <v>4099642.64</v>
      </c>
      <c r="O40" s="178">
        <v>0.24225325881460449</v>
      </c>
      <c r="P40" s="210">
        <f t="shared" si="11"/>
        <v>0.61999166834697572</v>
      </c>
    </row>
    <row r="41" spans="1:16" x14ac:dyDescent="0.25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9502324.5999999996</v>
      </c>
      <c r="F41" s="78">
        <f t="shared" si="1"/>
        <v>0.98958585507513463</v>
      </c>
      <c r="G41" s="32">
        <v>9502324.5999999996</v>
      </c>
      <c r="H41" s="280">
        <f t="shared" si="2"/>
        <v>0.98958585507513463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1.0638303303333707E-2</v>
      </c>
      <c r="N41" s="32">
        <v>4179061.03</v>
      </c>
      <c r="O41" s="178">
        <v>0.44447220301864687</v>
      </c>
      <c r="P41" s="210">
        <f t="shared" si="11"/>
        <v>-1</v>
      </c>
    </row>
    <row r="42" spans="1:16" x14ac:dyDescent="0.25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26200000</v>
      </c>
      <c r="J42" s="153">
        <f t="shared" si="12"/>
        <v>0.78499070165930063</v>
      </c>
      <c r="K42" s="32">
        <v>30377801.829999998</v>
      </c>
      <c r="L42" s="604">
        <v>1</v>
      </c>
      <c r="M42" s="211">
        <f t="shared" si="10"/>
        <v>9.8703313254183689E-2</v>
      </c>
      <c r="N42" s="32">
        <v>24137661.829999998</v>
      </c>
      <c r="O42" s="178">
        <v>0.79458224018574419</v>
      </c>
      <c r="P42" s="210">
        <f t="shared" si="11"/>
        <v>8.5440677084835936E-2</v>
      </c>
    </row>
    <row r="43" spans="1:16" x14ac:dyDescent="0.25">
      <c r="A43" s="39" t="s">
        <v>433</v>
      </c>
      <c r="B43" s="40" t="s">
        <v>502</v>
      </c>
      <c r="C43" s="199">
        <v>24741430.09</v>
      </c>
      <c r="D43" s="32">
        <v>18785272.949999999</v>
      </c>
      <c r="E43" s="32">
        <v>16573498.109999999</v>
      </c>
      <c r="F43" s="78">
        <f t="shared" si="1"/>
        <v>0.88226017019358771</v>
      </c>
      <c r="G43" s="32">
        <v>16573498.109999999</v>
      </c>
      <c r="H43" s="280">
        <f t="shared" si="2"/>
        <v>0.88226017019358771</v>
      </c>
      <c r="I43" s="32">
        <v>5393642.0700000003</v>
      </c>
      <c r="J43" s="153">
        <f t="shared" si="12"/>
        <v>0.2871207719129788</v>
      </c>
      <c r="K43" s="32">
        <v>12177395.939999999</v>
      </c>
      <c r="L43" s="280">
        <v>0.96618206606549095</v>
      </c>
      <c r="M43" s="211">
        <f t="shared" si="10"/>
        <v>0.36100511075276742</v>
      </c>
      <c r="N43" s="32">
        <v>6243589.9699999997</v>
      </c>
      <c r="O43" s="178">
        <v>0.49538051374885134</v>
      </c>
      <c r="P43" s="210">
        <f t="shared" si="11"/>
        <v>-0.13613128089511606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12910548.640000001</v>
      </c>
      <c r="E44" s="32">
        <v>12607679.33</v>
      </c>
      <c r="F44" s="78">
        <f t="shared" si="1"/>
        <v>0.97654094195024077</v>
      </c>
      <c r="G44" s="32">
        <v>12553628.58</v>
      </c>
      <c r="H44" s="280">
        <f t="shared" si="2"/>
        <v>0.97235438477849223</v>
      </c>
      <c r="I44" s="32">
        <v>7081193.5199999996</v>
      </c>
      <c r="J44" s="153">
        <f t="shared" si="12"/>
        <v>0.5484812239551734</v>
      </c>
      <c r="K44" s="32">
        <v>12547145.189999999</v>
      </c>
      <c r="L44" s="280">
        <v>0.9836913443622326</v>
      </c>
      <c r="M44" s="211">
        <f t="shared" si="10"/>
        <v>5.16722322235319E-4</v>
      </c>
      <c r="N44" s="32">
        <v>12415376.720000001</v>
      </c>
      <c r="O44" s="178">
        <v>0.97336074712787846</v>
      </c>
      <c r="P44" s="210">
        <f t="shared" si="11"/>
        <v>-0.42964328189954437</v>
      </c>
    </row>
    <row r="45" spans="1:16" x14ac:dyDescent="0.25">
      <c r="A45" s="39" t="s">
        <v>77</v>
      </c>
      <c r="B45" s="40" t="s">
        <v>481</v>
      </c>
      <c r="C45" s="199">
        <v>65286878.990000002</v>
      </c>
      <c r="D45" s="32">
        <v>70017378.989999995</v>
      </c>
      <c r="E45" s="32">
        <v>65286878.990000002</v>
      </c>
      <c r="F45" s="414">
        <f t="shared" si="1"/>
        <v>0.93243820222582718</v>
      </c>
      <c r="G45" s="32">
        <v>65286878.990000002</v>
      </c>
      <c r="H45" s="280">
        <f t="shared" si="2"/>
        <v>0.93243820222582718</v>
      </c>
      <c r="I45" s="32">
        <v>53500000</v>
      </c>
      <c r="J45" s="153">
        <f t="shared" si="12"/>
        <v>0.76409601118660786</v>
      </c>
      <c r="K45" s="32">
        <v>66190224.990000002</v>
      </c>
      <c r="L45" s="280">
        <v>1</v>
      </c>
      <c r="M45" s="211">
        <f t="shared" si="10"/>
        <v>-1.3647725175983005E-2</v>
      </c>
      <c r="N45" s="32">
        <v>58635497.799999997</v>
      </c>
      <c r="O45" s="178">
        <v>0.88586340065861124</v>
      </c>
      <c r="P45" s="210">
        <f t="shared" si="11"/>
        <v>-8.7583426297780931E-2</v>
      </c>
    </row>
    <row r="46" spans="1:16" ht="14.4" thickBot="1" x14ac:dyDescent="0.3">
      <c r="A46" s="7" t="s">
        <v>19</v>
      </c>
      <c r="N46" s="97"/>
      <c r="P46" s="518"/>
    </row>
    <row r="47" spans="1:16" x14ac:dyDescent="0.25">
      <c r="A47" s="765" t="s">
        <v>465</v>
      </c>
      <c r="B47" s="766"/>
      <c r="C47" s="164" t="s">
        <v>765</v>
      </c>
      <c r="D47" s="751" t="s">
        <v>782</v>
      </c>
      <c r="E47" s="752"/>
      <c r="F47" s="752"/>
      <c r="G47" s="752"/>
      <c r="H47" s="752"/>
      <c r="I47" s="752"/>
      <c r="J47" s="753"/>
      <c r="K47" s="760" t="s">
        <v>783</v>
      </c>
      <c r="L47" s="761"/>
      <c r="M47" s="761"/>
      <c r="N47" s="761"/>
      <c r="O47" s="761"/>
      <c r="P47" s="764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05" t="s">
        <v>362</v>
      </c>
    </row>
    <row r="49" spans="1:16" x14ac:dyDescent="0.25">
      <c r="A49" s="674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07" t="s">
        <v>764</v>
      </c>
      <c r="N49" s="558" t="s">
        <v>17</v>
      </c>
      <c r="O49" s="89" t="s">
        <v>18</v>
      </c>
      <c r="P49" s="606" t="s">
        <v>764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20626145.18</v>
      </c>
      <c r="E50" s="32">
        <v>17799364.100000001</v>
      </c>
      <c r="F50" s="414">
        <f>+E50/D50</f>
        <v>0.86295155709749549</v>
      </c>
      <c r="G50" s="30">
        <v>17481627.039999999</v>
      </c>
      <c r="H50" s="48">
        <f>+G50/D50</f>
        <v>0.84754697920728972</v>
      </c>
      <c r="I50" s="30">
        <v>15990246.060000001</v>
      </c>
      <c r="J50" s="153">
        <f t="shared" ref="J50:J80" si="13">+I50/D50</f>
        <v>0.77524161303319217</v>
      </c>
      <c r="K50" s="30">
        <v>15873381.609999999</v>
      </c>
      <c r="L50" s="48">
        <v>0.96376719604282679</v>
      </c>
      <c r="M50" s="210">
        <f t="shared" si="10"/>
        <v>0.10131712759849654</v>
      </c>
      <c r="N50" s="30">
        <v>1856734.55</v>
      </c>
      <c r="O50" s="153">
        <v>0.11273337307798398</v>
      </c>
      <c r="P50" s="210">
        <f t="shared" si="11"/>
        <v>7.6120259139896973</v>
      </c>
    </row>
    <row r="51" spans="1:16" x14ac:dyDescent="0.25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5">
      <c r="A52" s="39" t="s">
        <v>497</v>
      </c>
      <c r="B52" s="40" t="s">
        <v>483</v>
      </c>
      <c r="C52" s="199">
        <v>15245118.1</v>
      </c>
      <c r="D52" s="32">
        <v>15961850.99</v>
      </c>
      <c r="E52" s="32">
        <v>14768633.91</v>
      </c>
      <c r="F52" s="130">
        <f t="shared" si="14"/>
        <v>0.92524569482903063</v>
      </c>
      <c r="G52" s="32">
        <v>14352081.09</v>
      </c>
      <c r="H52" s="280">
        <f t="shared" si="15"/>
        <v>0.89914892069794972</v>
      </c>
      <c r="I52" s="32">
        <v>8897816.4100000001</v>
      </c>
      <c r="J52" s="178">
        <f t="shared" si="13"/>
        <v>0.55744264343617955</v>
      </c>
      <c r="K52" s="32">
        <v>13690626.720000001</v>
      </c>
      <c r="L52" s="280">
        <v>0.92334012849085134</v>
      </c>
      <c r="M52" s="211">
        <f t="shared" si="10"/>
        <v>4.8314396669197901E-2</v>
      </c>
      <c r="N52" s="32">
        <v>7797979.71</v>
      </c>
      <c r="O52" s="178">
        <v>0.52592096290829637</v>
      </c>
      <c r="P52" s="211">
        <f t="shared" si="11"/>
        <v>0.14104123643584088</v>
      </c>
    </row>
    <row r="53" spans="1:16" x14ac:dyDescent="0.25">
      <c r="A53" s="39">
        <v>338</v>
      </c>
      <c r="B53" s="40" t="s">
        <v>428</v>
      </c>
      <c r="C53" s="199">
        <v>8127724.7699999996</v>
      </c>
      <c r="D53" s="32">
        <v>8567515.1500000004</v>
      </c>
      <c r="E53" s="32">
        <v>7842454.3099999996</v>
      </c>
      <c r="F53" s="130">
        <f t="shared" si="14"/>
        <v>0.91537092992476343</v>
      </c>
      <c r="G53" s="32">
        <v>7612729.8399999999</v>
      </c>
      <c r="H53" s="280">
        <f t="shared" si="15"/>
        <v>0.8885574996619644</v>
      </c>
      <c r="I53" s="32">
        <v>2558034.31</v>
      </c>
      <c r="J53" s="178">
        <f t="shared" si="13"/>
        <v>0.29857365469613439</v>
      </c>
      <c r="K53" s="32">
        <v>7130776.8099999996</v>
      </c>
      <c r="L53" s="280">
        <v>0.91673133107398797</v>
      </c>
      <c r="M53" s="211">
        <f t="shared" si="10"/>
        <v>6.7587731721475697E-2</v>
      </c>
      <c r="N53" s="32">
        <v>5133974.8</v>
      </c>
      <c r="O53" s="178">
        <v>0.66002283867643741</v>
      </c>
      <c r="P53" s="211">
        <f t="shared" si="11"/>
        <v>-0.5017438905231868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13085983.560000001</v>
      </c>
      <c r="E54" s="32">
        <v>12609912.76</v>
      </c>
      <c r="F54" s="130">
        <f t="shared" si="14"/>
        <v>0.96361979229018679</v>
      </c>
      <c r="G54" s="32">
        <v>12499572.58</v>
      </c>
      <c r="H54" s="280">
        <f t="shared" si="15"/>
        <v>0.95518785597496192</v>
      </c>
      <c r="I54" s="32">
        <v>6959772.5800000001</v>
      </c>
      <c r="J54" s="392">
        <f t="shared" si="13"/>
        <v>0.53184940574692263</v>
      </c>
      <c r="K54" s="32">
        <v>12422023.470000001</v>
      </c>
      <c r="L54" s="412">
        <v>0.97508529817660383</v>
      </c>
      <c r="M54" s="211">
        <f t="shared" si="10"/>
        <v>6.2428726034278181E-3</v>
      </c>
      <c r="N54" s="32">
        <v>10343982.640000001</v>
      </c>
      <c r="O54" s="392">
        <v>0.81196637739551891</v>
      </c>
      <c r="P54" s="211">
        <f t="shared" si="11"/>
        <v>-0.32716702819215093</v>
      </c>
    </row>
    <row r="55" spans="1:16" x14ac:dyDescent="0.25">
      <c r="A55" s="39">
        <v>342</v>
      </c>
      <c r="B55" s="40" t="s">
        <v>484</v>
      </c>
      <c r="C55" s="199">
        <v>5455050.5800000001</v>
      </c>
      <c r="D55" s="32">
        <v>6467254.8399999999</v>
      </c>
      <c r="E55" s="32">
        <v>6456013.3300000001</v>
      </c>
      <c r="F55" s="130">
        <f t="shared" si="14"/>
        <v>0.9982617802640974</v>
      </c>
      <c r="G55" s="32">
        <v>6456013.3300000001</v>
      </c>
      <c r="H55" s="280">
        <f t="shared" si="15"/>
        <v>0.9982617802640974</v>
      </c>
      <c r="I55" s="32">
        <v>1433683.53</v>
      </c>
      <c r="J55" s="392">
        <f t="shared" si="13"/>
        <v>0.22168347551926684</v>
      </c>
      <c r="K55" s="32">
        <v>6362437.7199999997</v>
      </c>
      <c r="L55" s="130">
        <v>0.9980841898224021</v>
      </c>
      <c r="M55" s="211">
        <f t="shared" si="10"/>
        <v>1.4707508995467355E-2</v>
      </c>
      <c r="N55" s="32">
        <v>83803.34</v>
      </c>
      <c r="O55" s="392">
        <v>1.3146343019654942E-2</v>
      </c>
      <c r="P55" s="211">
        <f t="shared" si="11"/>
        <v>16.10771348731447</v>
      </c>
    </row>
    <row r="56" spans="1:16" x14ac:dyDescent="0.25">
      <c r="A56" s="660">
        <v>343</v>
      </c>
      <c r="B56" s="662" t="s">
        <v>435</v>
      </c>
      <c r="C56" s="655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59">
        <f t="shared" si="10"/>
        <v>-0.14322142208192024</v>
      </c>
      <c r="N56" s="398">
        <v>0</v>
      </c>
      <c r="O56" s="178">
        <v>0</v>
      </c>
      <c r="P56" s="659" t="s">
        <v>129</v>
      </c>
    </row>
    <row r="57" spans="1:16" x14ac:dyDescent="0.25">
      <c r="A57" s="527">
        <v>3</v>
      </c>
      <c r="B57" s="2" t="s">
        <v>124</v>
      </c>
      <c r="C57" s="201">
        <f>SUM(C34:C45,C50:C56)</f>
        <v>314074850.86000001</v>
      </c>
      <c r="D57" s="207">
        <f>SUM(D34:D45,D50:D56)</f>
        <v>317281568.44999999</v>
      </c>
      <c r="E57" s="203">
        <f>SUM(E34:E45,E50:E56)</f>
        <v>303594339.80000007</v>
      </c>
      <c r="F57" s="90">
        <f>+E57/D57</f>
        <v>0.95686093989995868</v>
      </c>
      <c r="G57" s="203">
        <f>SUM(G34:G45,G50:G56)</f>
        <v>302264701.80999994</v>
      </c>
      <c r="H57" s="90">
        <f>+G57/D57</f>
        <v>0.95267022060764128</v>
      </c>
      <c r="I57" s="203">
        <f>SUM(I34:I45,I50:I56)</f>
        <v>195921832.09999999</v>
      </c>
      <c r="J57" s="170">
        <f t="shared" si="13"/>
        <v>0.61750146110638338</v>
      </c>
      <c r="K57" s="562">
        <f>SUM(K34:K56)</f>
        <v>284546643.38000005</v>
      </c>
      <c r="L57" s="90">
        <v>0.97476112214618271</v>
      </c>
      <c r="M57" s="213">
        <f t="shared" ref="M57:M64" si="16">+G57/K57-1</f>
        <v>6.2267676819290907E-2</v>
      </c>
      <c r="N57" s="562">
        <f>SUBTOTAL(9,N34:N56)</f>
        <v>196908576.94000003</v>
      </c>
      <c r="O57" s="170">
        <v>0.67454257459616618</v>
      </c>
      <c r="P57" s="213">
        <f t="shared" ref="P57:P64" si="17">+I57/N57-1</f>
        <v>-5.0111826276653115E-3</v>
      </c>
    </row>
    <row r="58" spans="1:16" x14ac:dyDescent="0.25">
      <c r="A58" s="37">
        <v>430</v>
      </c>
      <c r="B58" s="38" t="s">
        <v>744</v>
      </c>
      <c r="C58" s="198">
        <v>4583248.97</v>
      </c>
      <c r="D58" s="30">
        <v>5239143.75</v>
      </c>
      <c r="E58" s="30">
        <v>3175495.1</v>
      </c>
      <c r="F58" s="414">
        <f t="shared" si="14"/>
        <v>0.6061095575016433</v>
      </c>
      <c r="G58" s="30">
        <v>3086802.74</v>
      </c>
      <c r="H58" s="414">
        <f>G58/D58</f>
        <v>0.58918076832688548</v>
      </c>
      <c r="I58" s="30">
        <v>3061170.56</v>
      </c>
      <c r="J58" s="153">
        <f t="shared" si="13"/>
        <v>0.58428833146637749</v>
      </c>
      <c r="K58" s="30">
        <v>3189759.11</v>
      </c>
      <c r="L58" s="48">
        <v>0.66922743258876993</v>
      </c>
      <c r="M58" s="210">
        <f t="shared" si="16"/>
        <v>-3.2277161518946107E-2</v>
      </c>
      <c r="N58" s="30">
        <v>3042445.62</v>
      </c>
      <c r="O58" s="153">
        <v>0.63832032477949363</v>
      </c>
      <c r="P58" s="210">
        <f t="shared" si="17"/>
        <v>6.1545685079491541E-3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9513701.75</v>
      </c>
      <c r="E59" s="32">
        <v>6323281.2300000004</v>
      </c>
      <c r="F59" s="130">
        <f t="shared" si="14"/>
        <v>0.66464993292437413</v>
      </c>
      <c r="G59" s="32">
        <v>4692401.32</v>
      </c>
      <c r="H59" s="414">
        <f t="shared" ref="H59:H64" si="18">G59/D59</f>
        <v>0.49322560695157386</v>
      </c>
      <c r="I59" s="32">
        <v>3254698.34</v>
      </c>
      <c r="J59" s="153">
        <f t="shared" si="13"/>
        <v>0.34210640879087889</v>
      </c>
      <c r="K59" s="32">
        <v>4152558.46</v>
      </c>
      <c r="L59" s="48">
        <v>0.4488248986541436</v>
      </c>
      <c r="M59" s="210">
        <f t="shared" si="16"/>
        <v>0.13000247081410143</v>
      </c>
      <c r="N59" s="32">
        <v>3553809.58</v>
      </c>
      <c r="O59" s="153">
        <v>0.38410975786229501</v>
      </c>
      <c r="P59" s="210">
        <f t="shared" si="17"/>
        <v>-8.4166366617763555E-2</v>
      </c>
    </row>
    <row r="60" spans="1:16" x14ac:dyDescent="0.25">
      <c r="A60" s="39" t="s">
        <v>81</v>
      </c>
      <c r="B60" s="40" t="s">
        <v>485</v>
      </c>
      <c r="C60" s="199">
        <v>2743104</v>
      </c>
      <c r="D60" s="32">
        <v>5833148.3099999996</v>
      </c>
      <c r="E60" s="32">
        <v>3987597.39</v>
      </c>
      <c r="F60" s="130">
        <f t="shared" si="14"/>
        <v>0.68360980693117335</v>
      </c>
      <c r="G60" s="32">
        <v>3816357.38</v>
      </c>
      <c r="H60" s="414">
        <f t="shared" si="18"/>
        <v>0.65425344551200004</v>
      </c>
      <c r="I60" s="32">
        <v>3211812.62</v>
      </c>
      <c r="J60" s="178">
        <f t="shared" si="13"/>
        <v>0.55061391367228929</v>
      </c>
      <c r="K60" s="32">
        <v>4842353.6500000004</v>
      </c>
      <c r="L60" s="280">
        <v>0.61717968915105337</v>
      </c>
      <c r="M60" s="210">
        <f t="shared" si="16"/>
        <v>-0.21187966517067591</v>
      </c>
      <c r="N60" s="32">
        <v>4210453.38</v>
      </c>
      <c r="O60" s="178">
        <v>0.53664116586226651</v>
      </c>
      <c r="P60" s="210">
        <f t="shared" si="17"/>
        <v>-0.2371812890135836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60829975.039999999</v>
      </c>
      <c r="E61" s="32">
        <v>39075191.359999999</v>
      </c>
      <c r="F61" s="130">
        <f t="shared" si="14"/>
        <v>0.64236737454364079</v>
      </c>
      <c r="G61" s="32">
        <v>34014423.009999998</v>
      </c>
      <c r="H61" s="414">
        <f t="shared" si="18"/>
        <v>0.55917206915888285</v>
      </c>
      <c r="I61" s="32">
        <v>29854249.969999999</v>
      </c>
      <c r="J61" s="178">
        <f t="shared" si="13"/>
        <v>0.49078188755410018</v>
      </c>
      <c r="K61" s="32">
        <v>27234380.300000001</v>
      </c>
      <c r="L61" s="280">
        <v>0.49992208995390863</v>
      </c>
      <c r="M61" s="210">
        <f t="shared" si="16"/>
        <v>0.24895160584946363</v>
      </c>
      <c r="N61" s="32">
        <v>25700028.66</v>
      </c>
      <c r="O61" s="178">
        <v>0.47175709151651046</v>
      </c>
      <c r="P61" s="210">
        <f t="shared" si="17"/>
        <v>0.16164267226930007</v>
      </c>
    </row>
    <row r="62" spans="1:16" x14ac:dyDescent="0.25">
      <c r="A62" s="39" t="s">
        <v>83</v>
      </c>
      <c r="B62" s="40" t="s">
        <v>486</v>
      </c>
      <c r="C62" s="199">
        <v>153522597.02000001</v>
      </c>
      <c r="D62" s="32">
        <v>152920495.12</v>
      </c>
      <c r="E62" s="32">
        <v>126582428.90000001</v>
      </c>
      <c r="F62" s="130">
        <f t="shared" si="14"/>
        <v>0.82776627685300164</v>
      </c>
      <c r="G62" s="32">
        <v>126582428.90000001</v>
      </c>
      <c r="H62" s="414">
        <f t="shared" si="18"/>
        <v>0.82776627685300164</v>
      </c>
      <c r="I62" s="32">
        <v>89333250.670000002</v>
      </c>
      <c r="J62" s="178">
        <f>+I62/D62</f>
        <v>0.58418101903147956</v>
      </c>
      <c r="K62" s="32">
        <v>127616368</v>
      </c>
      <c r="L62" s="280">
        <v>0.85675185762727513</v>
      </c>
      <c r="M62" s="210">
        <f t="shared" si="16"/>
        <v>-8.1019317208588237E-3</v>
      </c>
      <c r="N62" s="32">
        <v>105911427.28</v>
      </c>
      <c r="O62" s="178">
        <v>0.71103584507354156</v>
      </c>
      <c r="P62" s="210">
        <f t="shared" si="17"/>
        <v>-0.15652868661822461</v>
      </c>
    </row>
    <row r="63" spans="1:16" x14ac:dyDescent="0.25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10650000</v>
      </c>
      <c r="J63" s="178">
        <f t="shared" si="13"/>
        <v>0.6313176221199468</v>
      </c>
      <c r="K63" s="32">
        <v>15669752</v>
      </c>
      <c r="L63" s="280">
        <v>1</v>
      </c>
      <c r="M63" s="210">
        <f t="shared" si="16"/>
        <v>7.6563304894678552E-2</v>
      </c>
      <c r="N63" s="32">
        <v>7900000</v>
      </c>
      <c r="O63" s="178">
        <v>0.50415603259068809</v>
      </c>
      <c r="P63" s="210">
        <f t="shared" si="17"/>
        <v>0.34810126582278489</v>
      </c>
    </row>
    <row r="64" spans="1:16" x14ac:dyDescent="0.25">
      <c r="A64" s="660" t="s">
        <v>84</v>
      </c>
      <c r="B64" s="662" t="s">
        <v>487</v>
      </c>
      <c r="C64" s="655">
        <v>1548192.01</v>
      </c>
      <c r="D64" s="397">
        <v>1470667.36</v>
      </c>
      <c r="E64" s="398">
        <v>1032886.47</v>
      </c>
      <c r="F64" s="130">
        <f t="shared" si="14"/>
        <v>0.70232501114324042</v>
      </c>
      <c r="G64" s="398">
        <v>839530.57</v>
      </c>
      <c r="H64" s="414">
        <f t="shared" si="18"/>
        <v>0.57085007312598535</v>
      </c>
      <c r="I64" s="398">
        <v>786084.39</v>
      </c>
      <c r="J64" s="427">
        <f>+I64/D64</f>
        <v>0.53450862607027594</v>
      </c>
      <c r="K64" s="398">
        <v>999628.55</v>
      </c>
      <c r="L64" s="412">
        <v>0.57784273075356851</v>
      </c>
      <c r="M64" s="443">
        <f t="shared" si="16"/>
        <v>-0.16015747049241447</v>
      </c>
      <c r="N64" s="398">
        <v>954845.97</v>
      </c>
      <c r="O64" s="427">
        <v>0.55195582674568455</v>
      </c>
      <c r="P64" s="443">
        <f t="shared" si="17"/>
        <v>-0.1767422027240686</v>
      </c>
    </row>
    <row r="65" spans="1:16" x14ac:dyDescent="0.25">
      <c r="A65" s="527">
        <v>4</v>
      </c>
      <c r="B65" s="2" t="s">
        <v>123</v>
      </c>
      <c r="C65" s="201">
        <f>SUBTOTAL(9,C58:C64)</f>
        <v>243419137.22999999</v>
      </c>
      <c r="D65" s="207">
        <f>SUBTOTAL(9,D58:D64)</f>
        <v>252676611.33000001</v>
      </c>
      <c r="E65" s="203">
        <f>SUBTOTAL(9,E58:E64)</f>
        <v>197046360.45000002</v>
      </c>
      <c r="F65" s="90">
        <f t="shared" ref="F65:F80" si="19">+E65/D65</f>
        <v>0.77983616850336046</v>
      </c>
      <c r="G65" s="203">
        <f>SUBTOTAL(9,G58:G64)</f>
        <v>189901423.92000002</v>
      </c>
      <c r="H65" s="90">
        <f>+G65/D65</f>
        <v>0.75155916853731064</v>
      </c>
      <c r="I65" s="203">
        <f>SUBTOTAL(9,I58:I64)</f>
        <v>140151266.54999998</v>
      </c>
      <c r="J65" s="170">
        <f t="shared" si="13"/>
        <v>0.55466655901507245</v>
      </c>
      <c r="K65" s="562">
        <f>SUM(K58:K64)</f>
        <v>183704800.07000002</v>
      </c>
      <c r="L65" s="90">
        <v>0.75665636358668587</v>
      </c>
      <c r="M65" s="213">
        <f t="shared" ref="M65:M78" si="20">+G65/K65-1</f>
        <v>3.3731420450847205E-2</v>
      </c>
      <c r="N65" s="562">
        <f>SUBTOTAL(9,N58:N64)</f>
        <v>151273010.49000001</v>
      </c>
      <c r="O65" s="170">
        <v>0.62307400776985034</v>
      </c>
      <c r="P65" s="213">
        <f t="shared" ref="P65:P78" si="21">+I65/N65-1</f>
        <v>-7.3521006185933158E-2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30354212.539999999</v>
      </c>
      <c r="E66" s="30">
        <v>20798999.07</v>
      </c>
      <c r="F66" s="414">
        <f t="shared" si="14"/>
        <v>0.68520964075716395</v>
      </c>
      <c r="G66" s="30">
        <v>19690074.18</v>
      </c>
      <c r="H66" s="414">
        <f>+G66/D66</f>
        <v>0.64867682381985459</v>
      </c>
      <c r="I66" s="30">
        <v>18721784.219999999</v>
      </c>
      <c r="J66" s="153">
        <f t="shared" si="13"/>
        <v>0.61677713415654956</v>
      </c>
      <c r="K66" s="30">
        <v>21269581.120000001</v>
      </c>
      <c r="L66" s="48">
        <v>0.69113267952562263</v>
      </c>
      <c r="M66" s="210">
        <f t="shared" si="20"/>
        <v>-7.4261309194978642E-2</v>
      </c>
      <c r="N66" s="30">
        <v>20307845.469999999</v>
      </c>
      <c r="O66" s="153">
        <v>0.65988209057280089</v>
      </c>
      <c r="P66" s="210">
        <f t="shared" si="21"/>
        <v>-7.8100911903383752E-2</v>
      </c>
    </row>
    <row r="67" spans="1:16" x14ac:dyDescent="0.25">
      <c r="A67" s="39" t="s">
        <v>86</v>
      </c>
      <c r="B67" s="40" t="s">
        <v>745</v>
      </c>
      <c r="C67" s="199">
        <v>56361662.600000001</v>
      </c>
      <c r="D67" s="32">
        <v>55042909.270000003</v>
      </c>
      <c r="E67" s="32">
        <v>38934263.039999999</v>
      </c>
      <c r="F67" s="130">
        <f t="shared" si="14"/>
        <v>0.70734384421828356</v>
      </c>
      <c r="G67" s="32">
        <v>36134761.590000004</v>
      </c>
      <c r="H67" s="414">
        <f t="shared" ref="H67:H78" si="22">+G67/D67</f>
        <v>0.65648349749736989</v>
      </c>
      <c r="I67" s="32">
        <v>29803287.859999999</v>
      </c>
      <c r="J67" s="178">
        <f t="shared" si="13"/>
        <v>0.54145553451411887</v>
      </c>
      <c r="K67" s="32">
        <v>37617127.549999997</v>
      </c>
      <c r="L67" s="280">
        <v>0.63821508569947949</v>
      </c>
      <c r="M67" s="211">
        <f t="shared" si="20"/>
        <v>-3.9406676068757807E-2</v>
      </c>
      <c r="N67" s="32">
        <v>32191152.940000001</v>
      </c>
      <c r="O67" s="178">
        <v>0.5461575822093081</v>
      </c>
      <c r="P67" s="211">
        <f t="shared" si="21"/>
        <v>-7.4177681192427736E-2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5534112.0800000001</v>
      </c>
      <c r="F68" s="130">
        <f t="shared" si="14"/>
        <v>0.76220035381384121</v>
      </c>
      <c r="G68" s="32">
        <v>5170633.22</v>
      </c>
      <c r="H68" s="414">
        <f t="shared" si="22"/>
        <v>0.71213925788897303</v>
      </c>
      <c r="I68" s="32">
        <v>4682932.3600000003</v>
      </c>
      <c r="J68" s="178">
        <f t="shared" si="13"/>
        <v>0.64496935553178869</v>
      </c>
      <c r="K68" s="32">
        <v>4397259.41</v>
      </c>
      <c r="L68" s="280">
        <v>0.58517508755137448</v>
      </c>
      <c r="M68" s="211">
        <f t="shared" si="20"/>
        <v>0.1758763215654815</v>
      </c>
      <c r="N68" s="32">
        <v>4219793.66</v>
      </c>
      <c r="O68" s="178">
        <v>0.56155843769954772</v>
      </c>
      <c r="P68" s="211">
        <f t="shared" si="21"/>
        <v>0.10975387360527966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2409129.67</v>
      </c>
      <c r="E69" s="32">
        <v>1726480.71</v>
      </c>
      <c r="F69" s="130">
        <f t="shared" si="14"/>
        <v>0.71664083984321192</v>
      </c>
      <c r="G69" s="32">
        <v>1628948.21</v>
      </c>
      <c r="H69" s="414">
        <f t="shared" si="22"/>
        <v>0.67615630253725612</v>
      </c>
      <c r="I69" s="32">
        <v>1523728.2</v>
      </c>
      <c r="J69" s="178">
        <f t="shared" si="13"/>
        <v>0.63248077468573949</v>
      </c>
      <c r="K69" s="32">
        <v>1668053.31</v>
      </c>
      <c r="L69" s="280">
        <v>0.6977673396941857</v>
      </c>
      <c r="M69" s="211">
        <f t="shared" si="20"/>
        <v>-2.3443555290208362E-2</v>
      </c>
      <c r="N69" s="32">
        <v>1514211.64</v>
      </c>
      <c r="O69" s="178">
        <v>0.63341346553052913</v>
      </c>
      <c r="P69" s="211">
        <f t="shared" si="21"/>
        <v>6.2848281895389047E-3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14959334.369999999</v>
      </c>
      <c r="E70" s="32">
        <v>11152168.560000001</v>
      </c>
      <c r="F70" s="130">
        <f t="shared" si="14"/>
        <v>0.74549898305401685</v>
      </c>
      <c r="G70" s="32">
        <v>9984021.1699999999</v>
      </c>
      <c r="H70" s="414">
        <f t="shared" si="22"/>
        <v>0.66741079001632075</v>
      </c>
      <c r="I70" s="32">
        <v>7561447.5999999996</v>
      </c>
      <c r="J70" s="178">
        <f t="shared" si="13"/>
        <v>0.50546684852261914</v>
      </c>
      <c r="K70" s="32">
        <v>9526487.3000000007</v>
      </c>
      <c r="L70" s="280">
        <v>0.64058583636152511</v>
      </c>
      <c r="M70" s="211">
        <f t="shared" si="20"/>
        <v>4.8027552611128677E-2</v>
      </c>
      <c r="N70" s="32">
        <v>7746924.5599999996</v>
      </c>
      <c r="O70" s="178">
        <v>0.5209233993832374</v>
      </c>
      <c r="P70" s="211">
        <f t="shared" si="21"/>
        <v>-2.3942011899493743E-2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39022849.229999997</v>
      </c>
      <c r="E71" s="32">
        <v>33905103.520000003</v>
      </c>
      <c r="F71" s="78">
        <f t="shared" si="14"/>
        <v>0.86885258736910553</v>
      </c>
      <c r="G71" s="32">
        <v>29353221.899999999</v>
      </c>
      <c r="H71" s="414">
        <f t="shared" si="22"/>
        <v>0.7522060146606061</v>
      </c>
      <c r="I71" s="32">
        <v>19507605.59</v>
      </c>
      <c r="J71" s="178">
        <f t="shared" si="13"/>
        <v>0.49990213361978031</v>
      </c>
      <c r="K71" s="32">
        <v>24042885.789999999</v>
      </c>
      <c r="L71" s="280">
        <v>0.60932951217432196</v>
      </c>
      <c r="M71" s="211">
        <f t="shared" si="20"/>
        <v>0.22086933142645848</v>
      </c>
      <c r="N71" s="32">
        <v>17110902.129999999</v>
      </c>
      <c r="O71" s="178">
        <v>0.43364917750730064</v>
      </c>
      <c r="P71" s="211">
        <f t="shared" si="21"/>
        <v>0.14006879601034816</v>
      </c>
    </row>
    <row r="72" spans="1:16" x14ac:dyDescent="0.25">
      <c r="A72" s="39" t="s">
        <v>91</v>
      </c>
      <c r="B72" s="40" t="s">
        <v>488</v>
      </c>
      <c r="C72" s="199">
        <v>42228054.409999996</v>
      </c>
      <c r="D72" s="32">
        <v>49421625.579999998</v>
      </c>
      <c r="E72" s="32">
        <v>46684760.880000003</v>
      </c>
      <c r="F72" s="414">
        <f t="shared" si="14"/>
        <v>0.94462212305077331</v>
      </c>
      <c r="G72" s="32">
        <v>46242295.340000004</v>
      </c>
      <c r="H72" s="414">
        <f t="shared" si="22"/>
        <v>0.93566924999556045</v>
      </c>
      <c r="I72" s="32">
        <v>36455235.189999998</v>
      </c>
      <c r="J72" s="178">
        <f t="shared" si="13"/>
        <v>0.73763731488331996</v>
      </c>
      <c r="K72" s="32">
        <v>34321950.149999999</v>
      </c>
      <c r="L72" s="280">
        <v>0.87033515855845844</v>
      </c>
      <c r="M72" s="211">
        <f t="shared" si="20"/>
        <v>0.3473096702810754</v>
      </c>
      <c r="N72" s="32">
        <v>24539825.399999999</v>
      </c>
      <c r="O72" s="178">
        <v>0.62228028236052568</v>
      </c>
      <c r="P72" s="211">
        <f t="shared" si="21"/>
        <v>0.48555397586488125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18933906.920000002</v>
      </c>
      <c r="E73" s="32">
        <v>11528.1</v>
      </c>
      <c r="F73" s="130">
        <f t="shared" si="14"/>
        <v>6.088600756678907E-4</v>
      </c>
      <c r="G73" s="32">
        <v>11528.1</v>
      </c>
      <c r="H73" s="414">
        <f t="shared" si="22"/>
        <v>6.088600756678907E-4</v>
      </c>
      <c r="I73" s="32">
        <v>11528.1</v>
      </c>
      <c r="J73" s="178">
        <f t="shared" si="13"/>
        <v>6.088600756678907E-4</v>
      </c>
      <c r="K73" s="32">
        <v>9410582.3200000003</v>
      </c>
      <c r="L73" s="280">
        <v>0.15233349155379142</v>
      </c>
      <c r="M73" s="211">
        <f t="shared" si="20"/>
        <v>-0.99877498547826316</v>
      </c>
      <c r="N73" s="32">
        <v>9410582.3200000003</v>
      </c>
      <c r="O73" s="178">
        <v>0.15233349155379142</v>
      </c>
      <c r="P73" s="211">
        <f t="shared" si="21"/>
        <v>-0.99877498547826316</v>
      </c>
    </row>
    <row r="74" spans="1:16" x14ac:dyDescent="0.25">
      <c r="A74" s="39">
        <v>931</v>
      </c>
      <c r="B74" s="40" t="s">
        <v>436</v>
      </c>
      <c r="C74" s="199">
        <v>5805408.6299999999</v>
      </c>
      <c r="D74" s="32">
        <v>5750047.5999999996</v>
      </c>
      <c r="E74" s="32">
        <v>4172522.75</v>
      </c>
      <c r="F74" s="130">
        <f t="shared" si="14"/>
        <v>0.72565012331376189</v>
      </c>
      <c r="G74" s="32">
        <v>4094092.39</v>
      </c>
      <c r="H74" s="414">
        <f t="shared" si="22"/>
        <v>0.71201017362012797</v>
      </c>
      <c r="I74" s="32">
        <v>3824753.04</v>
      </c>
      <c r="J74" s="178">
        <f t="shared" si="13"/>
        <v>0.66516893529716181</v>
      </c>
      <c r="K74" s="32">
        <v>3357166.25</v>
      </c>
      <c r="L74" s="280">
        <v>0.69287382018430166</v>
      </c>
      <c r="M74" s="211">
        <f t="shared" si="20"/>
        <v>0.21950838448944854</v>
      </c>
      <c r="N74" s="32">
        <v>3054361.55</v>
      </c>
      <c r="O74" s="178">
        <v>0.63037901544868225</v>
      </c>
      <c r="P74" s="211">
        <f t="shared" si="21"/>
        <v>0.25222668547539828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28629129.52</v>
      </c>
      <c r="E75" s="32">
        <v>26846896.149999999</v>
      </c>
      <c r="F75" s="130">
        <f t="shared" si="14"/>
        <v>0.93774755293363177</v>
      </c>
      <c r="G75" s="32">
        <v>26761191.100000001</v>
      </c>
      <c r="H75" s="414">
        <f t="shared" si="22"/>
        <v>0.93475392192085072</v>
      </c>
      <c r="I75" s="32">
        <v>16265792.48</v>
      </c>
      <c r="J75" s="178">
        <f t="shared" si="13"/>
        <v>0.56815532825183857</v>
      </c>
      <c r="K75" s="32">
        <v>27675617.390000001</v>
      </c>
      <c r="L75" s="280">
        <v>0.97594605305539317</v>
      </c>
      <c r="M75" s="211">
        <f t="shared" si="20"/>
        <v>-3.3040863266537546E-2</v>
      </c>
      <c r="N75" s="32">
        <v>19187172.09</v>
      </c>
      <c r="O75" s="178">
        <v>0.67661164000974428</v>
      </c>
      <c r="P75" s="211">
        <f t="shared" si="21"/>
        <v>-0.15225691395776708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71880079.299999997</v>
      </c>
      <c r="E76" s="32">
        <v>63606127.119999997</v>
      </c>
      <c r="F76" s="130">
        <f t="shared" si="14"/>
        <v>0.88489227807515791</v>
      </c>
      <c r="G76" s="32">
        <v>60919742.270000003</v>
      </c>
      <c r="H76" s="414">
        <f t="shared" si="22"/>
        <v>0.84751912996289647</v>
      </c>
      <c r="I76" s="32">
        <v>31557158.129999999</v>
      </c>
      <c r="J76" s="178">
        <f t="shared" si="13"/>
        <v>0.43902508785907807</v>
      </c>
      <c r="K76" s="32">
        <v>61723760.82</v>
      </c>
      <c r="L76" s="280">
        <v>0.89009992288715978</v>
      </c>
      <c r="M76" s="211">
        <f t="shared" si="20"/>
        <v>-1.3026078439139388E-2</v>
      </c>
      <c r="N76" s="32">
        <v>31378344.890000001</v>
      </c>
      <c r="O76" s="178">
        <v>0.45249774148346689</v>
      </c>
      <c r="P76" s="211">
        <f t="shared" si="21"/>
        <v>5.69861924288384E-3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535531.34</v>
      </c>
      <c r="F77" s="130">
        <f t="shared" si="14"/>
        <v>0.66830057739413085</v>
      </c>
      <c r="G77" s="32">
        <v>535531.34</v>
      </c>
      <c r="H77" s="414">
        <f t="shared" si="22"/>
        <v>0.66830057739413085</v>
      </c>
      <c r="I77" s="32">
        <v>535531.34</v>
      </c>
      <c r="J77" s="178">
        <f t="shared" si="13"/>
        <v>0.66830057739413085</v>
      </c>
      <c r="K77" s="32">
        <v>611647.24</v>
      </c>
      <c r="L77" s="280">
        <v>0.73048221012513226</v>
      </c>
      <c r="M77" s="211">
        <f t="shared" si="20"/>
        <v>-0.12444411585998494</v>
      </c>
      <c r="N77" s="32">
        <v>611647.24</v>
      </c>
      <c r="O77" s="178">
        <v>0.73048221012513226</v>
      </c>
      <c r="P77" s="211">
        <f t="shared" si="21"/>
        <v>-0.12444411585998494</v>
      </c>
    </row>
    <row r="78" spans="1:16" x14ac:dyDescent="0.25">
      <c r="A78" s="660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4">
        <f t="shared" si="22"/>
        <v>0.99999999989763266</v>
      </c>
      <c r="I78" s="34">
        <v>64261061.18</v>
      </c>
      <c r="J78" s="392">
        <f t="shared" si="13"/>
        <v>0.65782379861279361</v>
      </c>
      <c r="K78" s="34">
        <v>84274401.209999993</v>
      </c>
      <c r="L78" s="390">
        <v>0.7444128037021408</v>
      </c>
      <c r="M78" s="516">
        <f t="shared" si="20"/>
        <v>0.15915799848374879</v>
      </c>
      <c r="N78" s="34">
        <v>63962384.490000002</v>
      </c>
      <c r="O78" s="392">
        <v>0.56499265834030399</v>
      </c>
      <c r="P78" s="516">
        <f t="shared" si="21"/>
        <v>4.6695677839636573E-3</v>
      </c>
    </row>
    <row r="79" spans="1:16" ht="13.8" thickBot="1" x14ac:dyDescent="0.3">
      <c r="A79" s="18">
        <v>9</v>
      </c>
      <c r="B79" s="2" t="s">
        <v>534</v>
      </c>
      <c r="C79" s="515">
        <f>SUBTOTAL(9,C66:C78)</f>
        <v>439825043.09000003</v>
      </c>
      <c r="D79" s="207">
        <f>SUBTOTAL(9,D66:D78)</f>
        <v>422152608.50000006</v>
      </c>
      <c r="E79" s="203">
        <f>SUBTOTAL(9,E66:E78)</f>
        <v>351595839.55000001</v>
      </c>
      <c r="F79" s="90">
        <f t="shared" si="19"/>
        <v>0.83286430658168009</v>
      </c>
      <c r="G79" s="203">
        <f>SUBTOTAL(9,G66:G78)</f>
        <v>338213387.04000002</v>
      </c>
      <c r="H79" s="530">
        <f>+G79/D79</f>
        <v>0.80116379771226731</v>
      </c>
      <c r="I79" s="203">
        <f>SUBTOTAL(9,I66:I78)</f>
        <v>234711845.28999999</v>
      </c>
      <c r="J79" s="170">
        <f t="shared" si="13"/>
        <v>0.55598814401261709</v>
      </c>
      <c r="K79" s="613">
        <f>SUM(K66:K78)</f>
        <v>319896519.85999995</v>
      </c>
      <c r="L79" s="90">
        <v>0.67181428944912036</v>
      </c>
      <c r="M79" s="43">
        <f>+G79/K79-1</f>
        <v>5.7258726003072136E-2</v>
      </c>
      <c r="N79" s="613">
        <f>SUM(N66:N78)</f>
        <v>235235148.38</v>
      </c>
      <c r="O79" s="170">
        <v>0.49401704692358173</v>
      </c>
      <c r="P79" s="43">
        <f>+I79/N79-1</f>
        <v>-2.2245956592960026E-3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2169932427.4400001</v>
      </c>
      <c r="E80" s="209">
        <f>SUM(E79,E65,E57,E33,E27,E6)</f>
        <v>1811338513.3599999</v>
      </c>
      <c r="F80" s="181">
        <f t="shared" si="19"/>
        <v>0.83474420237912428</v>
      </c>
      <c r="G80" s="209">
        <f>SUM(G79,G65,G57,G33,G27,G6)</f>
        <v>1756634061.1999996</v>
      </c>
      <c r="H80" s="181">
        <f>+G80/D80</f>
        <v>0.80953399238906554</v>
      </c>
      <c r="I80" s="209">
        <f>SUM(I79,I65,I57,I33,I27,I6)</f>
        <v>1166142554.6399999</v>
      </c>
      <c r="J80" s="173">
        <f t="shared" si="13"/>
        <v>0.53740961695096123</v>
      </c>
      <c r="K80" s="614">
        <f>K6+K27+K33+K57+K65+K79</f>
        <v>1697541424.6299999</v>
      </c>
      <c r="L80" s="181">
        <v>0.78315352421829865</v>
      </c>
      <c r="M80" s="615">
        <f>+G80/K80-1</f>
        <v>3.4810718438214039E-2</v>
      </c>
      <c r="N80" s="614">
        <f>N6+N27+N33+N57+N65+N79</f>
        <v>1190696143.0900002</v>
      </c>
      <c r="O80" s="173">
        <v>0.54932260692095836</v>
      </c>
      <c r="P80" s="615">
        <f>+I80/N80-1</f>
        <v>-2.0621204320256492E-2</v>
      </c>
    </row>
    <row r="81" spans="1:19" ht="14.4" thickBot="1" x14ac:dyDescent="0.3">
      <c r="A81" s="7" t="s">
        <v>19</v>
      </c>
      <c r="N81" s="97"/>
      <c r="P81" s="518"/>
    </row>
    <row r="82" spans="1:19" ht="12.75" customHeight="1" x14ac:dyDescent="0.25">
      <c r="A82" s="765" t="s">
        <v>756</v>
      </c>
      <c r="B82" s="766"/>
      <c r="C82" s="164" t="s">
        <v>765</v>
      </c>
      <c r="D82" s="751" t="s">
        <v>782</v>
      </c>
      <c r="E82" s="752"/>
      <c r="F82" s="752"/>
      <c r="G82" s="752"/>
      <c r="H82" s="752"/>
      <c r="I82" s="752"/>
      <c r="J82" s="753"/>
      <c r="K82" s="760" t="s">
        <v>783</v>
      </c>
      <c r="L82" s="761"/>
      <c r="M82" s="761"/>
      <c r="N82" s="761"/>
      <c r="O82" s="761"/>
      <c r="P82" s="764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5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7" t="s">
        <v>764</v>
      </c>
      <c r="N84" s="558" t="s">
        <v>17</v>
      </c>
      <c r="O84" s="89" t="s">
        <v>18</v>
      </c>
      <c r="P84" s="606" t="s">
        <v>764</v>
      </c>
    </row>
    <row r="85" spans="1:19" ht="14.1" customHeight="1" x14ac:dyDescent="0.25">
      <c r="A85" s="17" t="s">
        <v>546</v>
      </c>
      <c r="B85" s="13" t="s">
        <v>547</v>
      </c>
      <c r="C85" s="525">
        <v>24060000</v>
      </c>
      <c r="D85" s="512">
        <v>24060000</v>
      </c>
      <c r="E85" s="180">
        <v>11770981.59</v>
      </c>
      <c r="F85" s="78">
        <f>+E85/D85</f>
        <v>0.4892344800498753</v>
      </c>
      <c r="G85" s="180">
        <v>11770981.59</v>
      </c>
      <c r="H85" s="78">
        <f>+G85/D85</f>
        <v>0.4892344800498753</v>
      </c>
      <c r="I85" s="180">
        <v>11770981.59</v>
      </c>
      <c r="J85" s="172">
        <f>+I85/D85</f>
        <v>0.4892344800498753</v>
      </c>
      <c r="K85" s="180">
        <v>12497691.050000001</v>
      </c>
      <c r="L85" s="78">
        <v>0.46613392974867418</v>
      </c>
      <c r="M85" s="245">
        <f t="shared" ref="M85:M150" si="23">+G85/K85-1</f>
        <v>-5.8147497573161844E-2</v>
      </c>
      <c r="N85" s="180">
        <v>12497691.050000001</v>
      </c>
      <c r="O85" s="78">
        <v>0.46613392974867418</v>
      </c>
      <c r="P85" s="245">
        <f>+I85/N85-1</f>
        <v>-5.8147497573161844E-2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11770981.59</v>
      </c>
      <c r="F86" s="90">
        <f>+E86/D86</f>
        <v>0.4892344800498753</v>
      </c>
      <c r="G86" s="203">
        <f>SUBTOTAL(9,G85:G85)</f>
        <v>11770981.59</v>
      </c>
      <c r="H86" s="90">
        <f t="shared" ref="H86:H130" si="24">+G86/D86</f>
        <v>0.4892344800498753</v>
      </c>
      <c r="I86" s="203">
        <f>SUBTOTAL(9,I85:I85)</f>
        <v>11770981.59</v>
      </c>
      <c r="J86" s="170">
        <f>+I86/D86</f>
        <v>0.4892344800498753</v>
      </c>
      <c r="K86" s="562">
        <f>SUM(K85)</f>
        <v>12497691.050000001</v>
      </c>
      <c r="L86" s="90">
        <v>0.46613392974867418</v>
      </c>
      <c r="M86" s="213">
        <f t="shared" si="23"/>
        <v>-5.8147497573161844E-2</v>
      </c>
      <c r="N86" s="562">
        <f>SUBTOTAL(9,N85:N85)</f>
        <v>12497691.050000001</v>
      </c>
      <c r="O86" s="90">
        <v>0.46613392974867418</v>
      </c>
      <c r="P86" s="213">
        <f t="shared" ref="P86:P121" si="25">+I86/N86-1</f>
        <v>-5.8147497573161844E-2</v>
      </c>
    </row>
    <row r="87" spans="1:19" ht="14.1" customHeight="1" x14ac:dyDescent="0.25">
      <c r="A87" s="37" t="s">
        <v>548</v>
      </c>
      <c r="B87" s="38" t="s">
        <v>549</v>
      </c>
      <c r="C87" s="198">
        <v>8245978.9400000004</v>
      </c>
      <c r="D87" s="204">
        <v>21142469.489999998</v>
      </c>
      <c r="E87" s="30">
        <v>7356176.0999999996</v>
      </c>
      <c r="F87" s="48">
        <f>+E87/D87</f>
        <v>0.34793362731252075</v>
      </c>
      <c r="G87" s="30">
        <v>6951584.1399999997</v>
      </c>
      <c r="H87" s="48">
        <f>G87/D87</f>
        <v>0.32879717023065691</v>
      </c>
      <c r="I87" s="136">
        <v>5616595.8799999999</v>
      </c>
      <c r="J87" s="153">
        <f>I87/D87</f>
        <v>0.26565467589566805</v>
      </c>
      <c r="K87" s="30">
        <v>6347358.2699999996</v>
      </c>
      <c r="L87" s="48">
        <v>0.71389301318693366</v>
      </c>
      <c r="M87" s="210">
        <f t="shared" si="23"/>
        <v>9.5193282669389978E-2</v>
      </c>
      <c r="N87" s="30">
        <v>5893322.9299999997</v>
      </c>
      <c r="O87" s="48">
        <v>0.66282725587842839</v>
      </c>
      <c r="P87" s="210">
        <f>+I87/N87-1</f>
        <v>-4.6956030288331729E-2</v>
      </c>
    </row>
    <row r="88" spans="1:19" ht="14.1" customHeight="1" x14ac:dyDescent="0.25">
      <c r="A88" s="39" t="s">
        <v>550</v>
      </c>
      <c r="B88" s="40" t="s">
        <v>551</v>
      </c>
      <c r="C88" s="199">
        <v>168671029.94999999</v>
      </c>
      <c r="D88" s="205">
        <v>167446419.30000001</v>
      </c>
      <c r="E88" s="32">
        <v>117917002.8</v>
      </c>
      <c r="F88" s="280">
        <f>+E88/D88</f>
        <v>0.70420737148602608</v>
      </c>
      <c r="G88" s="32">
        <v>116780403.09999999</v>
      </c>
      <c r="H88" s="48">
        <f t="shared" ref="H88:H120" si="26">G88/D88</f>
        <v>0.69741953030822434</v>
      </c>
      <c r="I88" s="133">
        <v>112381521.3</v>
      </c>
      <c r="J88" s="178">
        <f t="shared" ref="J88:J130" si="27">I88/D88</f>
        <v>0.6711491459166723</v>
      </c>
      <c r="K88" s="32">
        <v>133076130.26000001</v>
      </c>
      <c r="L88" s="280">
        <v>0.69342187726140914</v>
      </c>
      <c r="M88" s="443">
        <f t="shared" si="23"/>
        <v>-0.12245417061769026</v>
      </c>
      <c r="N88" s="32">
        <v>128825874.81999999</v>
      </c>
      <c r="O88" s="280">
        <v>0.67127500463829382</v>
      </c>
      <c r="P88" s="443">
        <f>+I88/N88-1</f>
        <v>-0.12764790879919596</v>
      </c>
      <c r="Q88" s="53" t="s">
        <v>148</v>
      </c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662424.53</v>
      </c>
      <c r="E89" s="32">
        <v>586574.61</v>
      </c>
      <c r="F89" s="280">
        <f>+E89/D89</f>
        <v>0.88549651082516523</v>
      </c>
      <c r="G89" s="32">
        <v>517387.61</v>
      </c>
      <c r="H89" s="48">
        <f t="shared" si="26"/>
        <v>0.78105140520686933</v>
      </c>
      <c r="I89" s="133">
        <v>422880.88</v>
      </c>
      <c r="J89" s="178">
        <f t="shared" si="27"/>
        <v>0.63838348498356479</v>
      </c>
      <c r="K89" s="32">
        <v>463550.87</v>
      </c>
      <c r="L89" s="280">
        <v>0.71025118605443449</v>
      </c>
      <c r="M89" s="245">
        <f t="shared" si="23"/>
        <v>0.11613987478871524</v>
      </c>
      <c r="N89" s="32">
        <v>331913.44</v>
      </c>
      <c r="O89" s="280">
        <v>0.50855672955032394</v>
      </c>
      <c r="P89" s="245">
        <f>+I89/N89-1</f>
        <v>0.27406976951581119</v>
      </c>
      <c r="Q89" s="53"/>
    </row>
    <row r="90" spans="1:19" ht="14.1" customHeight="1" x14ac:dyDescent="0.25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556</v>
      </c>
      <c r="C91" s="199">
        <v>14562809.07</v>
      </c>
      <c r="D91" s="205">
        <v>15752858.24</v>
      </c>
      <c r="E91" s="32">
        <v>14790279</v>
      </c>
      <c r="F91" s="280">
        <f t="shared" si="28"/>
        <v>0.93889494685124519</v>
      </c>
      <c r="G91" s="32">
        <v>14329024.18</v>
      </c>
      <c r="H91" s="48">
        <f t="shared" si="26"/>
        <v>0.90961424026627946</v>
      </c>
      <c r="I91" s="133">
        <v>5189954.9400000004</v>
      </c>
      <c r="J91" s="178">
        <f t="shared" si="27"/>
        <v>0.32946115942448806</v>
      </c>
      <c r="K91" s="32">
        <v>14706126.26</v>
      </c>
      <c r="L91" s="280">
        <v>0.91306274228376105</v>
      </c>
      <c r="M91" s="210">
        <f t="shared" si="23"/>
        <v>-2.564251614143287E-2</v>
      </c>
      <c r="N91" s="32">
        <v>5190194</v>
      </c>
      <c r="O91" s="280">
        <v>0.32224480348128898</v>
      </c>
      <c r="P91" s="210">
        <f t="shared" ref="P91:P94" si="29">+I91/N91-1</f>
        <v>-4.6059935331799196E-5</v>
      </c>
      <c r="R91" s="276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286106.03000000003</v>
      </c>
      <c r="F92" s="280">
        <f t="shared" si="28"/>
        <v>0.87876817665712281</v>
      </c>
      <c r="G92" s="32">
        <v>286106.03000000003</v>
      </c>
      <c r="H92" s="48">
        <f t="shared" si="26"/>
        <v>0.87876817665712281</v>
      </c>
      <c r="I92" s="133">
        <v>286106.03000000003</v>
      </c>
      <c r="J92" s="178">
        <f t="shared" si="27"/>
        <v>0.87876817665712281</v>
      </c>
      <c r="K92" s="32">
        <v>332427.62</v>
      </c>
      <c r="L92" s="280">
        <v>0.78620160540664985</v>
      </c>
      <c r="M92" s="210">
        <f t="shared" si="23"/>
        <v>-0.13934338548644054</v>
      </c>
      <c r="N92" s="32">
        <v>332427.62</v>
      </c>
      <c r="O92" s="280">
        <v>0.78620160540664985</v>
      </c>
      <c r="P92" s="210">
        <f t="shared" si="29"/>
        <v>-0.13934338548644054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40845954.75</v>
      </c>
      <c r="D93" s="205">
        <v>41799720.289999999</v>
      </c>
      <c r="E93" s="32">
        <v>30269344.399999999</v>
      </c>
      <c r="F93" s="280">
        <f t="shared" si="28"/>
        <v>0.72415184096917318</v>
      </c>
      <c r="G93" s="32">
        <v>29926768.449999999</v>
      </c>
      <c r="H93" s="48">
        <f t="shared" si="26"/>
        <v>0.71595618923697824</v>
      </c>
      <c r="I93" s="133">
        <v>28437748.329999998</v>
      </c>
      <c r="J93" s="178">
        <f t="shared" si="27"/>
        <v>0.68033345995387762</v>
      </c>
      <c r="K93" s="32">
        <v>32623679.329999998</v>
      </c>
      <c r="L93" s="280">
        <v>0.71726430432013688</v>
      </c>
      <c r="M93" s="211">
        <f t="shared" si="23"/>
        <v>-8.26672814160474E-2</v>
      </c>
      <c r="N93" s="32">
        <v>30696228.59</v>
      </c>
      <c r="O93" s="280">
        <v>0.67488736699945506</v>
      </c>
      <c r="P93" s="211">
        <f t="shared" si="29"/>
        <v>-7.3575170753574337E-2</v>
      </c>
      <c r="R93" s="275"/>
    </row>
    <row r="94" spans="1:19" ht="14.1" customHeight="1" x14ac:dyDescent="0.25">
      <c r="A94" s="39" t="s">
        <v>559</v>
      </c>
      <c r="B94" s="40" t="s">
        <v>560</v>
      </c>
      <c r="C94" s="199">
        <v>27221948.489999998</v>
      </c>
      <c r="D94" s="205">
        <v>30410811.190000001</v>
      </c>
      <c r="E94" s="32">
        <v>25558300.359999999</v>
      </c>
      <c r="F94" s="280">
        <f t="shared" si="28"/>
        <v>0.8404346796380211</v>
      </c>
      <c r="G94" s="32">
        <v>22976778.530000001</v>
      </c>
      <c r="H94" s="48">
        <f t="shared" si="26"/>
        <v>0.75554638731752954</v>
      </c>
      <c r="I94" s="133">
        <v>17541482.469999999</v>
      </c>
      <c r="J94" s="178">
        <f t="shared" si="27"/>
        <v>0.57681731540815229</v>
      </c>
      <c r="K94" s="32">
        <v>18853512.109999999</v>
      </c>
      <c r="L94" s="280">
        <v>0.80994921750763349</v>
      </c>
      <c r="M94" s="211">
        <f t="shared" si="23"/>
        <v>0.21870017617635296</v>
      </c>
      <c r="N94" s="32">
        <v>15871447.369999999</v>
      </c>
      <c r="O94" s="280">
        <v>0.68183934659191137</v>
      </c>
      <c r="P94" s="211">
        <f t="shared" si="29"/>
        <v>0.10522260894470636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10010221.359999999</v>
      </c>
      <c r="E95" s="32">
        <v>7447712.54</v>
      </c>
      <c r="F95" s="280">
        <f t="shared" si="28"/>
        <v>0.74401077380370739</v>
      </c>
      <c r="G95" s="32">
        <v>7347767.1699999999</v>
      </c>
      <c r="H95" s="48">
        <f t="shared" si="26"/>
        <v>0.73402644214852808</v>
      </c>
      <c r="I95" s="133">
        <v>7027288.5800000001</v>
      </c>
      <c r="J95" s="178">
        <f t="shared" si="27"/>
        <v>0.70201130697073821</v>
      </c>
      <c r="K95" s="32">
        <v>7460280.7000000002</v>
      </c>
      <c r="L95" s="280">
        <v>0.68681009610194166</v>
      </c>
      <c r="M95" s="211">
        <f t="shared" si="23"/>
        <v>-1.5081675143939322E-2</v>
      </c>
      <c r="N95" s="32">
        <v>7193836.0599999996</v>
      </c>
      <c r="O95" s="280">
        <v>0.66228060771362307</v>
      </c>
      <c r="P95" s="211">
        <f>+I95/N95-1</f>
        <v>-2.3151414434651407E-2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768399.65</v>
      </c>
      <c r="D96" s="205">
        <v>601736.19999999995</v>
      </c>
      <c r="E96" s="32">
        <v>418068.12</v>
      </c>
      <c r="F96" s="280">
        <f t="shared" si="28"/>
        <v>0.69476976788167311</v>
      </c>
      <c r="G96" s="32">
        <v>418068.12</v>
      </c>
      <c r="H96" s="48">
        <f t="shared" si="26"/>
        <v>0.69476976788167311</v>
      </c>
      <c r="I96" s="133">
        <v>418068.12</v>
      </c>
      <c r="J96" s="178">
        <f t="shared" si="27"/>
        <v>0.69476976788167311</v>
      </c>
      <c r="K96" s="32">
        <v>470716.48</v>
      </c>
      <c r="L96" s="280">
        <v>0.70221194687883226</v>
      </c>
      <c r="M96" s="211">
        <f>+G96/K96-1</f>
        <v>-0.11184728437806124</v>
      </c>
      <c r="N96" s="32">
        <v>470716.48</v>
      </c>
      <c r="O96" s="280">
        <v>0.70221194687883226</v>
      </c>
      <c r="P96" s="211">
        <f t="shared" ref="P96:P102" si="30">+I96/N96-1</f>
        <v>-0.11184728437806124</v>
      </c>
      <c r="R96" s="275"/>
      <c r="S96" s="275"/>
    </row>
    <row r="97" spans="1:19" ht="14.1" customHeight="1" x14ac:dyDescent="0.25">
      <c r="A97" s="39" t="s">
        <v>565</v>
      </c>
      <c r="B97" s="40" t="s">
        <v>566</v>
      </c>
      <c r="C97" s="199">
        <v>6253007.9500000002</v>
      </c>
      <c r="D97" s="205">
        <v>6620970.3499999996</v>
      </c>
      <c r="E97" s="32">
        <v>6535763.4699999997</v>
      </c>
      <c r="F97" s="280">
        <f t="shared" si="28"/>
        <v>0.98713075644569226</v>
      </c>
      <c r="G97" s="32">
        <v>6503285.9500000002</v>
      </c>
      <c r="H97" s="48">
        <f t="shared" si="26"/>
        <v>0.98222550566171929</v>
      </c>
      <c r="I97" s="133">
        <v>4886399.0199999996</v>
      </c>
      <c r="J97" s="178">
        <f t="shared" si="27"/>
        <v>0.73801856249061737</v>
      </c>
      <c r="K97" s="32">
        <v>6024332.7800000003</v>
      </c>
      <c r="L97" s="280">
        <v>0.96029779459549325</v>
      </c>
      <c r="M97" s="211">
        <f t="shared" si="23"/>
        <v>7.9503106400440338E-2</v>
      </c>
      <c r="N97" s="32">
        <v>5488841.1399999997</v>
      </c>
      <c r="O97" s="280">
        <v>0.87493872501960501</v>
      </c>
      <c r="P97" s="211">
        <f t="shared" si="30"/>
        <v>-0.10975761634085113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1012867.47</v>
      </c>
      <c r="E98" s="32">
        <v>1012798.87</v>
      </c>
      <c r="F98" s="280">
        <f t="shared" si="28"/>
        <v>0.99993227149451258</v>
      </c>
      <c r="G98" s="32">
        <v>679048.38</v>
      </c>
      <c r="H98" s="48">
        <f t="shared" si="26"/>
        <v>0.6704217482668291</v>
      </c>
      <c r="I98" s="133">
        <v>436148.59</v>
      </c>
      <c r="J98" s="178">
        <f t="shared" si="27"/>
        <v>0.43060775759734887</v>
      </c>
      <c r="K98" s="32">
        <v>2164792.5</v>
      </c>
      <c r="L98" s="280">
        <v>0.80576831015261241</v>
      </c>
      <c r="M98" s="211">
        <f t="shared" si="23"/>
        <v>-0.68632172367559474</v>
      </c>
      <c r="N98" s="32">
        <v>1248386.19</v>
      </c>
      <c r="O98" s="280">
        <v>0.4646681059427904</v>
      </c>
      <c r="P98" s="211">
        <f t="shared" si="30"/>
        <v>-0.65063007465662526</v>
      </c>
      <c r="R98" s="275"/>
      <c r="S98" s="275"/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156435.57</v>
      </c>
      <c r="F99" s="280">
        <f t="shared" si="28"/>
        <v>0.45390864449738133</v>
      </c>
      <c r="G99" s="32">
        <v>116719.36</v>
      </c>
      <c r="H99" s="48">
        <f t="shared" si="26"/>
        <v>0.33866930957071889</v>
      </c>
      <c r="I99" s="133">
        <v>74953.789999999994</v>
      </c>
      <c r="J99" s="178">
        <f t="shared" si="27"/>
        <v>0.21748361462064777</v>
      </c>
      <c r="K99" s="32">
        <v>228174.25</v>
      </c>
      <c r="L99" s="280">
        <v>0.53864025624606393</v>
      </c>
      <c r="M99" s="211">
        <f t="shared" si="23"/>
        <v>-0.4884639261441639</v>
      </c>
      <c r="N99" s="32">
        <v>160577.60000000001</v>
      </c>
      <c r="O99" s="280">
        <v>0.37906801320209421</v>
      </c>
      <c r="P99" s="211">
        <f t="shared" si="30"/>
        <v>-0.53322387431372742</v>
      </c>
      <c r="R99" s="275"/>
      <c r="S99" s="275"/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7733227.4699999997</v>
      </c>
      <c r="F100" s="280">
        <f t="shared" si="28"/>
        <v>0.965672783381748</v>
      </c>
      <c r="G100" s="32">
        <v>7733227.4699999997</v>
      </c>
      <c r="H100" s="48">
        <f t="shared" si="26"/>
        <v>0.965672783381748</v>
      </c>
      <c r="I100" s="133">
        <v>4745291.4400000004</v>
      </c>
      <c r="J100" s="178">
        <f t="shared" si="27"/>
        <v>0.59255967971964796</v>
      </c>
      <c r="K100" s="32">
        <v>7562307.9699999997</v>
      </c>
      <c r="L100" s="280">
        <v>0.91871576250439591</v>
      </c>
      <c r="M100" s="211">
        <f t="shared" si="23"/>
        <v>2.2601499526076596E-2</v>
      </c>
      <c r="N100" s="32">
        <v>4574371.9400000004</v>
      </c>
      <c r="O100" s="280">
        <v>0.55572288532912173</v>
      </c>
      <c r="P100" s="211">
        <f t="shared" si="30"/>
        <v>3.7364582994534601E-2</v>
      </c>
      <c r="R100" s="275"/>
      <c r="S100" s="275"/>
    </row>
    <row r="101" spans="1:19" ht="14.1" customHeight="1" x14ac:dyDescent="0.25">
      <c r="A101" s="39">
        <v>1521</v>
      </c>
      <c r="B101" s="40" t="s">
        <v>573</v>
      </c>
      <c r="C101" s="199">
        <v>18338488.539999999</v>
      </c>
      <c r="D101" s="205">
        <v>18338488.539999999</v>
      </c>
      <c r="E101" s="32">
        <v>16258634.109999999</v>
      </c>
      <c r="F101" s="280">
        <f>+E101/D101</f>
        <v>0.88658528616121168</v>
      </c>
      <c r="G101" s="32">
        <v>16258634.109999999</v>
      </c>
      <c r="H101" s="48">
        <f t="shared" si="26"/>
        <v>0.88658528616121168</v>
      </c>
      <c r="I101" s="133">
        <v>6569470.1100000003</v>
      </c>
      <c r="J101" s="178">
        <f t="shared" si="27"/>
        <v>0.35823400034690106</v>
      </c>
      <c r="K101" s="32">
        <v>13134310.75</v>
      </c>
      <c r="L101" s="280">
        <v>0.76600020585870532</v>
      </c>
      <c r="M101" s="211">
        <f t="shared" si="23"/>
        <v>0.23787493835563467</v>
      </c>
      <c r="N101" s="32">
        <v>10800296.75</v>
      </c>
      <c r="O101" s="280">
        <v>0.62987922939428742</v>
      </c>
      <c r="P101" s="211">
        <f t="shared" si="30"/>
        <v>-0.39173244383308259</v>
      </c>
      <c r="R101" s="275"/>
      <c r="S101" s="275"/>
    </row>
    <row r="102" spans="1:19" ht="14.1" customHeight="1" x14ac:dyDescent="0.25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10640547.99</v>
      </c>
      <c r="F102" s="280">
        <f>+E102/D102</f>
        <v>0.9950982218536758</v>
      </c>
      <c r="G102" s="32">
        <v>10566205.58</v>
      </c>
      <c r="H102" s="48">
        <f t="shared" si="26"/>
        <v>0.98814576037623669</v>
      </c>
      <c r="I102" s="133">
        <v>7039899.5800000001</v>
      </c>
      <c r="J102" s="178">
        <f t="shared" si="27"/>
        <v>0.65836755406489544</v>
      </c>
      <c r="K102" s="32">
        <v>10521807.779999999</v>
      </c>
      <c r="L102" s="280">
        <v>0.98582370390515273</v>
      </c>
      <c r="M102" s="211">
        <f t="shared" si="23"/>
        <v>4.2195980888752871E-3</v>
      </c>
      <c r="N102" s="32">
        <v>4871552.68</v>
      </c>
      <c r="O102" s="280">
        <v>0.45643222221710966</v>
      </c>
      <c r="P102" s="211">
        <f t="shared" si="30"/>
        <v>0.44510385957686083</v>
      </c>
      <c r="R102" s="275"/>
      <c r="S102" s="275"/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8218661.21</v>
      </c>
      <c r="E103" s="32">
        <v>7818234.7000000002</v>
      </c>
      <c r="F103" s="280">
        <f>+E103/D103</f>
        <v>0.95127837736968845</v>
      </c>
      <c r="G103" s="32">
        <v>7779886.2999999998</v>
      </c>
      <c r="H103" s="48">
        <f t="shared" si="26"/>
        <v>0.94661236194209786</v>
      </c>
      <c r="I103" s="133">
        <v>2453634.69</v>
      </c>
      <c r="J103" s="178">
        <f t="shared" si="27"/>
        <v>0.29854432824345606</v>
      </c>
      <c r="K103" s="32">
        <v>7535335.3200000003</v>
      </c>
      <c r="L103" s="280">
        <v>0.92326005662058463</v>
      </c>
      <c r="M103" s="211">
        <f t="shared" si="23"/>
        <v>3.2453894832114694E-2</v>
      </c>
      <c r="N103" s="32">
        <v>3894313.52</v>
      </c>
      <c r="O103" s="280">
        <v>0.47714719628077651</v>
      </c>
      <c r="P103" s="211">
        <f t="shared" ref="P103:P113" si="31">+I103/N103-1</f>
        <v>-0.36994423345760818</v>
      </c>
      <c r="R103" s="275"/>
    </row>
    <row r="104" spans="1:19" ht="14.1" customHeight="1" x14ac:dyDescent="0.25">
      <c r="A104" s="39" t="s">
        <v>578</v>
      </c>
      <c r="B104" s="40" t="s">
        <v>579</v>
      </c>
      <c r="C104" s="199">
        <v>7787183.1299999999</v>
      </c>
      <c r="D104" s="205">
        <v>7043860.4100000001</v>
      </c>
      <c r="E104" s="32">
        <v>6953347.1200000001</v>
      </c>
      <c r="F104" s="280">
        <f t="shared" ref="F104:F107" si="32">+E104/D104</f>
        <v>0.98715004489988178</v>
      </c>
      <c r="G104" s="32">
        <v>6778136.4500000002</v>
      </c>
      <c r="H104" s="48">
        <f t="shared" si="26"/>
        <v>0.9622758055195475</v>
      </c>
      <c r="I104" s="133">
        <v>2932159.99</v>
      </c>
      <c r="J104" s="178">
        <f t="shared" si="27"/>
        <v>0.41627173443659998</v>
      </c>
      <c r="K104" s="32">
        <v>5721349.79</v>
      </c>
      <c r="L104" s="280">
        <v>0.85962866423295592</v>
      </c>
      <c r="M104" s="211">
        <f t="shared" si="23"/>
        <v>0.18470932538456108</v>
      </c>
      <c r="N104" s="32">
        <v>2502114.0099999998</v>
      </c>
      <c r="O104" s="280">
        <v>0.37594081870929702</v>
      </c>
      <c r="P104" s="211">
        <f t="shared" si="31"/>
        <v>0.17187305545681375</v>
      </c>
      <c r="R104" s="275"/>
    </row>
    <row r="105" spans="1:19" ht="14.1" customHeight="1" x14ac:dyDescent="0.25">
      <c r="A105" s="39" t="s">
        <v>580</v>
      </c>
      <c r="B105" s="40" t="s">
        <v>581</v>
      </c>
      <c r="C105" s="199">
        <v>13014565.800000001</v>
      </c>
      <c r="D105" s="205">
        <v>13350364.529999999</v>
      </c>
      <c r="E105" s="32">
        <v>11038664.210000001</v>
      </c>
      <c r="F105" s="280">
        <f t="shared" si="32"/>
        <v>0.82684365548181793</v>
      </c>
      <c r="G105" s="32">
        <v>10872526.73</v>
      </c>
      <c r="H105" s="48">
        <f t="shared" si="26"/>
        <v>0.81439924022808696</v>
      </c>
      <c r="I105" s="133">
        <v>6550509.9900000002</v>
      </c>
      <c r="J105" s="178">
        <f t="shared" si="27"/>
        <v>0.49066150780228923</v>
      </c>
      <c r="K105" s="32">
        <v>10460127.810000001</v>
      </c>
      <c r="L105" s="280">
        <v>0.80965636663139839</v>
      </c>
      <c r="M105" s="211">
        <f t="shared" si="23"/>
        <v>3.9425801241715464E-2</v>
      </c>
      <c r="N105" s="32">
        <v>6410917.9800000004</v>
      </c>
      <c r="O105" s="280">
        <v>0.49623108366767693</v>
      </c>
      <c r="P105" s="211">
        <f t="shared" si="31"/>
        <v>2.1774106365965329E-2</v>
      </c>
      <c r="R105" s="275"/>
    </row>
    <row r="106" spans="1:19" ht="14.1" customHeight="1" x14ac:dyDescent="0.25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158821.84</v>
      </c>
      <c r="F106" s="280">
        <f t="shared" si="32"/>
        <v>0.36872143643403837</v>
      </c>
      <c r="G106" s="32">
        <v>86340.88</v>
      </c>
      <c r="H106" s="48">
        <f t="shared" si="26"/>
        <v>0.20044934183219978</v>
      </c>
      <c r="I106" s="133">
        <v>86340.88</v>
      </c>
      <c r="J106" s="178">
        <f t="shared" si="27"/>
        <v>0.20044934183219978</v>
      </c>
      <c r="K106" s="32">
        <v>784478.54</v>
      </c>
      <c r="L106" s="280">
        <v>0.51820072115036075</v>
      </c>
      <c r="M106" s="211">
        <f t="shared" si="23"/>
        <v>-0.88993850615722392</v>
      </c>
      <c r="N106" s="32">
        <v>479151.25</v>
      </c>
      <c r="O106" s="280">
        <v>0.31651155593127733</v>
      </c>
      <c r="P106" s="211">
        <f t="shared" si="31"/>
        <v>-0.81980453979823698</v>
      </c>
      <c r="R106" s="275"/>
    </row>
    <row r="107" spans="1:19" ht="14.1" customHeight="1" x14ac:dyDescent="0.25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3667718.95</v>
      </c>
      <c r="F107" s="280">
        <f t="shared" si="32"/>
        <v>0.52412127935404107</v>
      </c>
      <c r="G107" s="32">
        <v>3667718.95</v>
      </c>
      <c r="H107" s="48">
        <f t="shared" si="26"/>
        <v>0.52412127935404107</v>
      </c>
      <c r="I107" s="133">
        <v>1459000</v>
      </c>
      <c r="J107" s="178">
        <f t="shared" si="27"/>
        <v>0.20849278720703118</v>
      </c>
      <c r="K107" s="32"/>
      <c r="L107" s="280"/>
      <c r="M107" s="211" t="s">
        <v>129</v>
      </c>
      <c r="N107" s="32"/>
      <c r="O107" s="280"/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584</v>
      </c>
      <c r="C108" s="199">
        <v>18215182.399999999</v>
      </c>
      <c r="D108" s="205">
        <v>18391383.899999999</v>
      </c>
      <c r="E108" s="32">
        <v>18383056.969999999</v>
      </c>
      <c r="F108" s="280">
        <f>+E108/D108</f>
        <v>0.9995472374430725</v>
      </c>
      <c r="G108" s="32">
        <v>18268817.390000001</v>
      </c>
      <c r="H108" s="48">
        <f t="shared" si="26"/>
        <v>0.99333565594267226</v>
      </c>
      <c r="I108" s="133">
        <v>10445538.32</v>
      </c>
      <c r="J108" s="178">
        <f t="shared" si="27"/>
        <v>0.56795825571342684</v>
      </c>
      <c r="K108" s="32">
        <v>19349633.260000002</v>
      </c>
      <c r="L108" s="280">
        <v>0.99392772157766229</v>
      </c>
      <c r="M108" s="211">
        <f t="shared" si="23"/>
        <v>-5.5857175972130024E-2</v>
      </c>
      <c r="N108" s="32">
        <v>12248450.35</v>
      </c>
      <c r="O108" s="280">
        <v>0.62916305366878145</v>
      </c>
      <c r="P108" s="211">
        <f t="shared" si="31"/>
        <v>-0.1471951127270561</v>
      </c>
      <c r="R108" s="275"/>
    </row>
    <row r="109" spans="1:19" ht="14.1" customHeight="1" x14ac:dyDescent="0.25">
      <c r="A109" s="39" t="s">
        <v>585</v>
      </c>
      <c r="B109" s="40" t="s">
        <v>586</v>
      </c>
      <c r="C109" s="199">
        <v>8305266.9900000002</v>
      </c>
      <c r="D109" s="205">
        <v>7089591.5800000001</v>
      </c>
      <c r="E109" s="32">
        <v>7084449.2699999996</v>
      </c>
      <c r="F109" s="280">
        <f>+E109/D109</f>
        <v>0.99927466766710416</v>
      </c>
      <c r="G109" s="32">
        <v>6361093.6799999997</v>
      </c>
      <c r="H109" s="48">
        <f t="shared" si="26"/>
        <v>0.89724402431656014</v>
      </c>
      <c r="I109" s="133">
        <v>3089348.78</v>
      </c>
      <c r="J109" s="178">
        <f t="shared" si="27"/>
        <v>0.43575835718310868</v>
      </c>
      <c r="K109" s="32">
        <v>6159912.9800000004</v>
      </c>
      <c r="L109" s="280">
        <v>0.99895762002704147</v>
      </c>
      <c r="M109" s="211">
        <f t="shared" si="23"/>
        <v>3.2659665916254355E-2</v>
      </c>
      <c r="N109" s="32">
        <v>1515486.63</v>
      </c>
      <c r="O109" s="280">
        <v>0.24576758178288444</v>
      </c>
      <c r="P109" s="211">
        <f t="shared" si="31"/>
        <v>1.0385193236577743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>+E110/D110</f>
        <v>0.9262526642881167</v>
      </c>
      <c r="G110" s="32">
        <v>87650000</v>
      </c>
      <c r="H110" s="48">
        <f t="shared" si="26"/>
        <v>0.9262526642881167</v>
      </c>
      <c r="I110" s="133">
        <v>41730838.329999998</v>
      </c>
      <c r="J110" s="178">
        <f t="shared" si="27"/>
        <v>0.44099600896907204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38863887.149999999</v>
      </c>
      <c r="O110" s="280">
        <v>0.45592749779803121</v>
      </c>
      <c r="P110" s="211">
        <f t="shared" si="31"/>
        <v>7.376902801653995E-2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ref="F111:F112" si="33">+E111/D111</f>
        <v>0.99614037707759551</v>
      </c>
      <c r="G111" s="32">
        <v>4767846.51</v>
      </c>
      <c r="H111" s="48">
        <f t="shared" si="26"/>
        <v>0.99614037707759551</v>
      </c>
      <c r="I111" s="133">
        <v>1712893.44</v>
      </c>
      <c r="J111" s="178">
        <f t="shared" si="27"/>
        <v>0.35787274477830028</v>
      </c>
      <c r="K111" s="32">
        <v>4663415.2699999996</v>
      </c>
      <c r="L111" s="280">
        <v>0.99323074379987786</v>
      </c>
      <c r="M111" s="211">
        <f t="shared" si="23"/>
        <v>2.2393725189307601E-2</v>
      </c>
      <c r="N111" s="32">
        <v>1839247.67</v>
      </c>
      <c r="O111" s="280">
        <v>0.39172949984921512</v>
      </c>
      <c r="P111" s="211" t="s">
        <v>129</v>
      </c>
    </row>
    <row r="112" spans="1:19" ht="14.1" customHeight="1" x14ac:dyDescent="0.25">
      <c r="A112" s="39" t="s">
        <v>591</v>
      </c>
      <c r="B112" s="40" t="s">
        <v>592</v>
      </c>
      <c r="C112" s="199">
        <v>452333.1</v>
      </c>
      <c r="D112" s="205">
        <v>797822.68</v>
      </c>
      <c r="E112" s="32">
        <v>680081.39</v>
      </c>
      <c r="F112" s="280">
        <f t="shared" si="33"/>
        <v>0.8524217311044604</v>
      </c>
      <c r="G112" s="32">
        <v>680081.39</v>
      </c>
      <c r="H112" s="48">
        <f t="shared" si="26"/>
        <v>0.8524217311044604</v>
      </c>
      <c r="I112" s="133">
        <v>680081.39</v>
      </c>
      <c r="J112" s="178">
        <f t="shared" si="27"/>
        <v>0.8524217311044604</v>
      </c>
      <c r="K112" s="32">
        <v>4068409.01</v>
      </c>
      <c r="L112" s="280">
        <v>0.47598035684754697</v>
      </c>
      <c r="M112" s="211">
        <f t="shared" si="23"/>
        <v>-0.83283849083797012</v>
      </c>
      <c r="N112" s="32">
        <v>4068409.01</v>
      </c>
      <c r="O112" s="280">
        <v>0.47598035684754697</v>
      </c>
      <c r="P112" s="211">
        <f t="shared" si="31"/>
        <v>-0.83283849083797012</v>
      </c>
    </row>
    <row r="113" spans="1:16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174535316.69999999</v>
      </c>
      <c r="E113" s="32">
        <v>174256515.80000001</v>
      </c>
      <c r="F113" s="280">
        <f t="shared" ref="F113:F119" si="34">+E113/D113</f>
        <v>0.99840261039844913</v>
      </c>
      <c r="G113" s="32">
        <v>174255608.30000001</v>
      </c>
      <c r="H113" s="48">
        <f t="shared" si="26"/>
        <v>0.99839741087770362</v>
      </c>
      <c r="I113" s="133">
        <v>88850999.019999996</v>
      </c>
      <c r="J113" s="178">
        <f t="shared" si="27"/>
        <v>0.50907174948850908</v>
      </c>
      <c r="K113" s="32">
        <v>175864036.86000001</v>
      </c>
      <c r="L113" s="280">
        <v>0.99019300768479412</v>
      </c>
      <c r="M113" s="211">
        <f t="shared" si="23"/>
        <v>-9.1458639794582686E-3</v>
      </c>
      <c r="N113" s="32">
        <v>85640135.349999994</v>
      </c>
      <c r="O113" s="280">
        <v>0.48219217933827058</v>
      </c>
      <c r="P113" s="211">
        <f t="shared" si="31"/>
        <v>3.7492510455262806E-2</v>
      </c>
    </row>
    <row r="114" spans="1:16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596</v>
      </c>
      <c r="B115" s="40" t="s">
        <v>597</v>
      </c>
      <c r="C115" s="199">
        <v>29617801.809999999</v>
      </c>
      <c r="D115" s="205">
        <v>30592034.949999999</v>
      </c>
      <c r="E115" s="32">
        <v>29937205.859999999</v>
      </c>
      <c r="F115" s="280">
        <f t="shared" si="34"/>
        <v>0.97859478484938123</v>
      </c>
      <c r="G115" s="32">
        <v>27503531.52</v>
      </c>
      <c r="H115" s="48">
        <f t="shared" si="26"/>
        <v>0.89904223648253911</v>
      </c>
      <c r="I115" s="133">
        <v>10674612.369999999</v>
      </c>
      <c r="J115" s="178">
        <f t="shared" si="27"/>
        <v>0.34893436763676289</v>
      </c>
      <c r="K115" s="32">
        <v>26060544.710000001</v>
      </c>
      <c r="L115" s="280">
        <v>0.83405510561984408</v>
      </c>
      <c r="M115" s="211">
        <f t="shared" si="23"/>
        <v>5.5370554455306253E-2</v>
      </c>
      <c r="N115" s="32">
        <v>11656214.57</v>
      </c>
      <c r="O115" s="280">
        <v>0.37305149921054415</v>
      </c>
      <c r="P115" s="211">
        <f t="shared" ref="P115:P120" si="35">+I115/N115-1</f>
        <v>-8.4212777150343809E-2</v>
      </c>
    </row>
    <row r="116" spans="1:16" ht="14.1" customHeight="1" x14ac:dyDescent="0.25">
      <c r="A116" s="39" t="s">
        <v>598</v>
      </c>
      <c r="B116" s="40" t="s">
        <v>599</v>
      </c>
      <c r="C116" s="199">
        <v>1946253.38</v>
      </c>
      <c r="D116" s="205">
        <v>2617800.67</v>
      </c>
      <c r="E116" s="32">
        <v>2588936.5699999998</v>
      </c>
      <c r="F116" s="280">
        <f t="shared" si="34"/>
        <v>0.98897391221158171</v>
      </c>
      <c r="G116" s="32">
        <v>2104619.11</v>
      </c>
      <c r="H116" s="48">
        <f t="shared" si="26"/>
        <v>0.80396461583914258</v>
      </c>
      <c r="I116" s="133">
        <v>1465556.56</v>
      </c>
      <c r="J116" s="178">
        <f t="shared" si="27"/>
        <v>0.5598426865709375</v>
      </c>
      <c r="K116" s="32">
        <v>1380401.2</v>
      </c>
      <c r="L116" s="280">
        <v>0.70272316903560461</v>
      </c>
      <c r="M116" s="211">
        <f t="shared" si="23"/>
        <v>0.52464306029290619</v>
      </c>
      <c r="N116" s="32">
        <v>940068.96</v>
      </c>
      <c r="O116" s="280">
        <v>0.47856249232701698</v>
      </c>
      <c r="P116" s="211">
        <f t="shared" si="35"/>
        <v>0.55898835336505548</v>
      </c>
    </row>
    <row r="117" spans="1:16" ht="14.1" customHeight="1" x14ac:dyDescent="0.25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48801897.43</v>
      </c>
      <c r="F117" s="280">
        <f t="shared" si="34"/>
        <v>0.9999959100118202</v>
      </c>
      <c r="G117" s="32">
        <v>48786377.43</v>
      </c>
      <c r="H117" s="48">
        <f t="shared" si="26"/>
        <v>0.99967789089082915</v>
      </c>
      <c r="I117" s="133">
        <v>26022114.800000001</v>
      </c>
      <c r="J117" s="178">
        <f t="shared" si="27"/>
        <v>0.53321714400927256</v>
      </c>
      <c r="K117" s="32">
        <v>47906335.32</v>
      </c>
      <c r="L117" s="280">
        <v>0.9994890647080158</v>
      </c>
      <c r="M117" s="211">
        <f t="shared" si="23"/>
        <v>1.837005698978178E-2</v>
      </c>
      <c r="N117" s="32">
        <v>26518043.739999998</v>
      </c>
      <c r="O117" s="280">
        <v>0.55325656948160928</v>
      </c>
      <c r="P117" s="211">
        <f t="shared" si="35"/>
        <v>-1.8701565804114528E-2</v>
      </c>
    </row>
    <row r="118" spans="1:16" ht="14.1" customHeight="1" x14ac:dyDescent="0.25">
      <c r="A118" s="41">
        <v>1721</v>
      </c>
      <c r="B118" s="42" t="s">
        <v>602</v>
      </c>
      <c r="C118" s="199">
        <v>1270749.54</v>
      </c>
      <c r="D118" s="205">
        <v>1368492.05</v>
      </c>
      <c r="E118" s="32">
        <v>1130049.55</v>
      </c>
      <c r="F118" s="280">
        <f t="shared" si="34"/>
        <v>0.82576259759784498</v>
      </c>
      <c r="G118" s="32">
        <v>988201.22</v>
      </c>
      <c r="H118" s="48">
        <f t="shared" si="26"/>
        <v>0.72210958039544326</v>
      </c>
      <c r="I118" s="133">
        <v>270823.92</v>
      </c>
      <c r="J118" s="178">
        <f t="shared" si="27"/>
        <v>0.19789952013239681</v>
      </c>
      <c r="K118" s="32">
        <v>1027906.65</v>
      </c>
      <c r="L118" s="390">
        <v>0.84778407222060748</v>
      </c>
      <c r="M118" s="211">
        <f t="shared" si="23"/>
        <v>-3.8627466803527355E-2</v>
      </c>
      <c r="N118" s="32">
        <v>355262.93</v>
      </c>
      <c r="O118" s="390">
        <v>0.29300934428668657</v>
      </c>
      <c r="P118" s="211">
        <f t="shared" si="35"/>
        <v>-0.23768032876382572</v>
      </c>
    </row>
    <row r="119" spans="1:16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3013063.16</v>
      </c>
      <c r="E119" s="34">
        <v>2613743.2999999998</v>
      </c>
      <c r="F119" s="280">
        <f t="shared" si="34"/>
        <v>0.86747046484083645</v>
      </c>
      <c r="G119" s="34">
        <v>2376237.67</v>
      </c>
      <c r="H119" s="48">
        <f t="shared" si="26"/>
        <v>0.78864515737532692</v>
      </c>
      <c r="I119" s="137">
        <v>1151507.22</v>
      </c>
      <c r="J119" s="178">
        <f t="shared" si="27"/>
        <v>0.3821716170065283</v>
      </c>
      <c r="K119" s="34">
        <v>1076354.5</v>
      </c>
      <c r="L119" s="390">
        <v>0.7360167438168681</v>
      </c>
      <c r="M119" s="211">
        <f t="shared" si="23"/>
        <v>1.2076719798170585</v>
      </c>
      <c r="N119" s="34">
        <v>652554.65</v>
      </c>
      <c r="O119" s="390">
        <v>0.44622022638039421</v>
      </c>
      <c r="P119" s="211">
        <f t="shared" si="35"/>
        <v>0.76461422809568513</v>
      </c>
    </row>
    <row r="120" spans="1:16" ht="14.1" customHeight="1" x14ac:dyDescent="0.25">
      <c r="A120" s="660" t="s">
        <v>605</v>
      </c>
      <c r="B120" s="656" t="s">
        <v>606</v>
      </c>
      <c r="C120" s="655">
        <v>3772412.45</v>
      </c>
      <c r="D120" s="397">
        <v>3445164.17</v>
      </c>
      <c r="E120" s="398">
        <v>2926588</v>
      </c>
      <c r="F120" s="412">
        <f>+E120/D120</f>
        <v>0.84947708021705104</v>
      </c>
      <c r="G120" s="398">
        <v>2682595.2799999998</v>
      </c>
      <c r="H120" s="48">
        <f t="shared" si="26"/>
        <v>0.77865528248542071</v>
      </c>
      <c r="I120" s="237">
        <v>1663364.85</v>
      </c>
      <c r="J120" s="427">
        <f t="shared" si="27"/>
        <v>0.48281149109942129</v>
      </c>
      <c r="K120" s="398">
        <v>1400307.85</v>
      </c>
      <c r="L120" s="412">
        <v>0.58023634833618276</v>
      </c>
      <c r="M120" s="211">
        <f t="shared" si="23"/>
        <v>0.91571823295855959</v>
      </c>
      <c r="N120" s="398">
        <v>1091893.1299999999</v>
      </c>
      <c r="O120" s="412">
        <v>0.45244057049638386</v>
      </c>
      <c r="P120" s="211">
        <f t="shared" si="35"/>
        <v>0.52337697188368626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825992541.17999971</v>
      </c>
      <c r="E121" s="203">
        <f>SUM(E87:E120)</f>
        <v>657424128.90999973</v>
      </c>
      <c r="F121" s="90">
        <f t="shared" ref="F121" si="36">+E121/D121</f>
        <v>0.79592017619289168</v>
      </c>
      <c r="G121" s="203">
        <f>SUM(G87:G120)</f>
        <v>647000626.98999989</v>
      </c>
      <c r="H121" s="90">
        <f t="shared" si="24"/>
        <v>0.78330081052028044</v>
      </c>
      <c r="I121" s="203">
        <f>SUM(I87:I120)</f>
        <v>402313133.61000007</v>
      </c>
      <c r="J121" s="170">
        <f t="shared" ref="J121" si="37">+I121/D121</f>
        <v>0.48706630332915835</v>
      </c>
      <c r="K121" s="562">
        <f>SUM(K87:K120)</f>
        <v>652669432.74000013</v>
      </c>
      <c r="L121" s="90">
        <v>0.78446534831005521</v>
      </c>
      <c r="M121" s="213">
        <f t="shared" si="23"/>
        <v>-8.685569548127603E-3</v>
      </c>
      <c r="N121" s="562">
        <f>SUM(N87:N120)</f>
        <v>420626138.50999993</v>
      </c>
      <c r="O121" s="90">
        <v>0.50600000000000001</v>
      </c>
      <c r="P121" s="213">
        <f t="shared" si="25"/>
        <v>-4.3537486673725811E-2</v>
      </c>
    </row>
    <row r="122" spans="1:16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336774.17</v>
      </c>
      <c r="F122" s="48">
        <f>+E122/D122</f>
        <v>0.60101865842061031</v>
      </c>
      <c r="G122" s="30">
        <v>336774.17</v>
      </c>
      <c r="H122" s="48">
        <f t="shared" si="24"/>
        <v>0.60101865842061031</v>
      </c>
      <c r="I122" s="30">
        <v>336774.17</v>
      </c>
      <c r="J122" s="153">
        <f t="shared" si="27"/>
        <v>0.60101865842061031</v>
      </c>
      <c r="K122" s="30">
        <v>373012.29</v>
      </c>
      <c r="L122" s="48">
        <v>0.6475509051551982</v>
      </c>
      <c r="M122" s="210">
        <f t="shared" si="23"/>
        <v>-9.7149935729999637E-2</v>
      </c>
      <c r="N122" s="30">
        <v>373012.29</v>
      </c>
      <c r="O122" s="48">
        <v>0.6475509051551982</v>
      </c>
      <c r="P122" s="210">
        <f t="shared" ref="P122:P148" si="38">+I122/N122-1</f>
        <v>-9.7149935729999637E-2</v>
      </c>
    </row>
    <row r="123" spans="1:16" ht="14.1" customHeight="1" x14ac:dyDescent="0.25">
      <c r="A123" s="39" t="s">
        <v>608</v>
      </c>
      <c r="B123" s="40" t="s">
        <v>609</v>
      </c>
      <c r="C123" s="199">
        <v>9112012.6300000008</v>
      </c>
      <c r="D123" s="205">
        <v>8725973.3200000003</v>
      </c>
      <c r="E123" s="32">
        <v>6116322.5199999996</v>
      </c>
      <c r="F123" s="280">
        <f>+E123/D123</f>
        <v>0.70093298428741924</v>
      </c>
      <c r="G123" s="32">
        <v>5476899.7300000004</v>
      </c>
      <c r="H123" s="280">
        <f t="shared" si="24"/>
        <v>0.62765487919231921</v>
      </c>
      <c r="I123" s="32">
        <v>4777178.8</v>
      </c>
      <c r="J123" s="178">
        <f t="shared" si="27"/>
        <v>0.54746658336104104</v>
      </c>
      <c r="K123" s="32">
        <v>5688961.0899999999</v>
      </c>
      <c r="L123" s="280">
        <v>0.66057673645916815</v>
      </c>
      <c r="M123" s="211">
        <f t="shared" si="23"/>
        <v>-3.727593784614891E-2</v>
      </c>
      <c r="N123" s="32">
        <v>4883346.4000000004</v>
      </c>
      <c r="O123" s="280">
        <v>0.56703235913881556</v>
      </c>
      <c r="P123" s="211">
        <f t="shared" si="38"/>
        <v>-2.1740747287556816E-2</v>
      </c>
    </row>
    <row r="124" spans="1:16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9336062.8399999999</v>
      </c>
      <c r="E124" s="32">
        <v>6388135.2400000002</v>
      </c>
      <c r="F124" s="280">
        <f t="shared" ref="F124:F138" si="39">+E124/D124</f>
        <v>0.68424295653091383</v>
      </c>
      <c r="G124" s="32">
        <v>6356300.2000000002</v>
      </c>
      <c r="H124" s="280">
        <f t="shared" si="24"/>
        <v>0.68083305660354787</v>
      </c>
      <c r="I124" s="32">
        <v>6305317.7000000002</v>
      </c>
      <c r="J124" s="178">
        <f t="shared" si="27"/>
        <v>0.67537224288863085</v>
      </c>
      <c r="K124" s="32">
        <v>7254058.3700000001</v>
      </c>
      <c r="L124" s="280">
        <v>0.69842529557139454</v>
      </c>
      <c r="M124" s="211">
        <f t="shared" si="23"/>
        <v>-0.12375943564402281</v>
      </c>
      <c r="N124" s="32">
        <v>7204936.1900000004</v>
      </c>
      <c r="O124" s="280">
        <v>0.6936957812311878</v>
      </c>
      <c r="P124" s="211">
        <f t="shared" si="38"/>
        <v>-0.12486140977190252</v>
      </c>
    </row>
    <row r="125" spans="1:16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7895707.4199999999</v>
      </c>
      <c r="E125" s="32">
        <v>4582815.1100000003</v>
      </c>
      <c r="F125" s="280">
        <f t="shared" si="39"/>
        <v>0.58041855735328152</v>
      </c>
      <c r="G125" s="32">
        <v>3951539.71</v>
      </c>
      <c r="H125" s="280">
        <f t="shared" si="24"/>
        <v>0.50046683594058505</v>
      </c>
      <c r="I125" s="32">
        <v>2691428.47</v>
      </c>
      <c r="J125" s="178">
        <f>I125/D125</f>
        <v>0.34087236606343252</v>
      </c>
      <c r="K125" s="32">
        <v>2619771.98</v>
      </c>
      <c r="L125" s="280">
        <v>0.49707145355808402</v>
      </c>
      <c r="M125" s="211">
        <f t="shared" si="23"/>
        <v>0.50835253608598419</v>
      </c>
      <c r="N125" s="32">
        <v>1900608.48</v>
      </c>
      <c r="O125" s="280">
        <v>0.36061849161331233</v>
      </c>
      <c r="P125" s="211">
        <f t="shared" si="38"/>
        <v>0.4160877941573744</v>
      </c>
    </row>
    <row r="126" spans="1:16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6484166.7400000002</v>
      </c>
      <c r="F126" s="280">
        <f t="shared" si="39"/>
        <v>0.71504723907472112</v>
      </c>
      <c r="G126" s="32">
        <v>5851779.8099999996</v>
      </c>
      <c r="H126" s="280">
        <f t="shared" si="24"/>
        <v>0.64531020940613493</v>
      </c>
      <c r="I126" s="32">
        <v>5346188.53</v>
      </c>
      <c r="J126" s="178">
        <f t="shared" si="27"/>
        <v>0.58955568251618429</v>
      </c>
      <c r="K126" s="32">
        <v>6642158.0199999996</v>
      </c>
      <c r="L126" s="280">
        <v>0.75757998080411892</v>
      </c>
      <c r="M126" s="211">
        <f t="shared" si="23"/>
        <v>-0.1189941894818094</v>
      </c>
      <c r="N126" s="32">
        <v>4784934.21</v>
      </c>
      <c r="O126" s="280">
        <v>0.54575190112095107</v>
      </c>
      <c r="P126" s="211">
        <f t="shared" si="38"/>
        <v>0.11729614146565259</v>
      </c>
    </row>
    <row r="127" spans="1:16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567096.75</v>
      </c>
      <c r="F127" s="280">
        <f t="shared" si="39"/>
        <v>0.41569912769388651</v>
      </c>
      <c r="G127" s="32">
        <v>233572.75</v>
      </c>
      <c r="H127" s="280">
        <f t="shared" si="24"/>
        <v>0.17121591408884329</v>
      </c>
      <c r="I127" s="32">
        <v>172647.31</v>
      </c>
      <c r="J127" s="178">
        <f t="shared" si="27"/>
        <v>0.12655571763671017</v>
      </c>
      <c r="K127" s="32">
        <v>163212.31</v>
      </c>
      <c r="L127" s="280">
        <v>0.11452849980082876</v>
      </c>
      <c r="M127" s="211">
        <f t="shared" si="23"/>
        <v>0.43109762982951483</v>
      </c>
      <c r="N127" s="32">
        <v>78770.89</v>
      </c>
      <c r="O127" s="280">
        <v>5.5274702378001417E-2</v>
      </c>
      <c r="P127" s="211">
        <f t="shared" si="38"/>
        <v>1.1917653843951745</v>
      </c>
    </row>
    <row r="128" spans="1:16" ht="14.1" customHeight="1" x14ac:dyDescent="0.25">
      <c r="A128" s="39" t="s">
        <v>618</v>
      </c>
      <c r="B128" s="40" t="s">
        <v>619</v>
      </c>
      <c r="C128" s="199">
        <v>32027467.34</v>
      </c>
      <c r="D128" s="205">
        <v>32192318.66</v>
      </c>
      <c r="E128" s="32">
        <v>27802794.23</v>
      </c>
      <c r="F128" s="280">
        <f t="shared" si="39"/>
        <v>0.86364683835420264</v>
      </c>
      <c r="G128" s="32">
        <v>23470138.27</v>
      </c>
      <c r="H128" s="280">
        <f t="shared" si="24"/>
        <v>0.72906019966689783</v>
      </c>
      <c r="I128" s="32">
        <v>12711949.039999999</v>
      </c>
      <c r="J128" s="178">
        <f t="shared" si="27"/>
        <v>0.39487522393952346</v>
      </c>
      <c r="K128" s="32">
        <v>27810640.48</v>
      </c>
      <c r="L128" s="280">
        <v>0.88962365610838667</v>
      </c>
      <c r="M128" s="211">
        <f t="shared" si="23"/>
        <v>-0.1560734357456266</v>
      </c>
      <c r="N128" s="32">
        <v>17287430.030000001</v>
      </c>
      <c r="O128" s="280">
        <v>0.55300080985429068</v>
      </c>
      <c r="P128" s="211">
        <f t="shared" si="38"/>
        <v>-0.26467097666106953</v>
      </c>
    </row>
    <row r="129" spans="1:16" ht="14.1" customHeight="1" x14ac:dyDescent="0.25">
      <c r="A129" s="39" t="s">
        <v>620</v>
      </c>
      <c r="B129" s="40" t="s">
        <v>623</v>
      </c>
      <c r="C129" s="199">
        <v>36671618.640000001</v>
      </c>
      <c r="D129" s="205">
        <v>36835235.530000001</v>
      </c>
      <c r="E129" s="32">
        <v>30317138.370000001</v>
      </c>
      <c r="F129" s="280">
        <f t="shared" si="39"/>
        <v>0.82304722458767998</v>
      </c>
      <c r="G129" s="32">
        <v>30232838.370000001</v>
      </c>
      <c r="H129" s="280">
        <f t="shared" si="24"/>
        <v>0.82075865499427147</v>
      </c>
      <c r="I129" s="32">
        <v>15238141.460000001</v>
      </c>
      <c r="J129" s="178">
        <f t="shared" si="27"/>
        <v>0.41368383399067682</v>
      </c>
      <c r="K129" s="32">
        <v>24766182.059999999</v>
      </c>
      <c r="L129" s="280">
        <v>0.88457805850529625</v>
      </c>
      <c r="M129" s="211">
        <f t="shared" si="23"/>
        <v>0.22073068415455244</v>
      </c>
      <c r="N129" s="32">
        <v>14288512.039999999</v>
      </c>
      <c r="O129" s="280">
        <v>0.5103452848990625</v>
      </c>
      <c r="P129" s="211">
        <f t="shared" si="38"/>
        <v>6.6461043483153404E-2</v>
      </c>
    </row>
    <row r="130" spans="1:16" ht="14.1" customHeight="1" x14ac:dyDescent="0.25">
      <c r="A130" s="39" t="s">
        <v>621</v>
      </c>
      <c r="B130" s="40" t="s">
        <v>622</v>
      </c>
      <c r="C130" s="199">
        <v>140935753.61000001</v>
      </c>
      <c r="D130" s="205">
        <v>146659031.80000001</v>
      </c>
      <c r="E130" s="32">
        <v>145730952.19999999</v>
      </c>
      <c r="F130" s="280">
        <f t="shared" si="39"/>
        <v>0.99367185512812017</v>
      </c>
      <c r="G130" s="32">
        <v>142230952.19999999</v>
      </c>
      <c r="H130" s="280">
        <f t="shared" si="24"/>
        <v>0.96980697645652925</v>
      </c>
      <c r="I130" s="32">
        <v>107723340.40000001</v>
      </c>
      <c r="J130" s="178">
        <f t="shared" si="27"/>
        <v>0.73451555678414071</v>
      </c>
      <c r="K130" s="32">
        <v>125094849</v>
      </c>
      <c r="L130" s="280">
        <v>0.97278273564441142</v>
      </c>
      <c r="M130" s="211">
        <f t="shared" si="23"/>
        <v>0.13698488256698704</v>
      </c>
      <c r="N130" s="32">
        <v>97393462.709999993</v>
      </c>
      <c r="O130" s="280">
        <v>0.75736674888120903</v>
      </c>
      <c r="P130" s="211">
        <f t="shared" si="38"/>
        <v>0.10606335787401244</v>
      </c>
    </row>
    <row r="131" spans="1:16" ht="14.4" thickBot="1" x14ac:dyDescent="0.3">
      <c r="A131" s="7" t="s">
        <v>19</v>
      </c>
      <c r="L131" s="680"/>
      <c r="N131" s="97"/>
      <c r="O131" s="680"/>
      <c r="P131" s="518"/>
    </row>
    <row r="132" spans="1:16" ht="12.75" customHeight="1" x14ac:dyDescent="0.25">
      <c r="A132" s="765" t="s">
        <v>756</v>
      </c>
      <c r="B132" s="766"/>
      <c r="C132" s="164" t="s">
        <v>765</v>
      </c>
      <c r="D132" s="751" t="s">
        <v>782</v>
      </c>
      <c r="E132" s="752"/>
      <c r="F132" s="752"/>
      <c r="G132" s="752"/>
      <c r="H132" s="752"/>
      <c r="I132" s="752"/>
      <c r="J132" s="753"/>
      <c r="K132" s="760" t="s">
        <v>783</v>
      </c>
      <c r="L132" s="767"/>
      <c r="M132" s="767"/>
      <c r="N132" s="767"/>
      <c r="O132" s="767"/>
      <c r="P132" s="768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5" t="s">
        <v>362</v>
      </c>
    </row>
    <row r="134" spans="1:16" ht="14.1" customHeight="1" x14ac:dyDescent="0.25">
      <c r="A134" s="674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07" t="s">
        <v>764</v>
      </c>
      <c r="N134" s="558" t="s">
        <v>17</v>
      </c>
      <c r="O134" s="89" t="s">
        <v>18</v>
      </c>
      <c r="P134" s="606" t="s">
        <v>764</v>
      </c>
    </row>
    <row r="135" spans="1:16" ht="14.1" customHeight="1" x14ac:dyDescent="0.25">
      <c r="A135" s="37" t="s">
        <v>624</v>
      </c>
      <c r="B135" s="38" t="s">
        <v>625</v>
      </c>
      <c r="C135" s="198">
        <v>7411204.5599999996</v>
      </c>
      <c r="D135" s="204">
        <v>7960544.3200000003</v>
      </c>
      <c r="E135" s="30">
        <v>6501348.4100000001</v>
      </c>
      <c r="F135" s="48">
        <f t="shared" si="39"/>
        <v>0.81669646555023512</v>
      </c>
      <c r="G135" s="136">
        <v>6104221.1100000003</v>
      </c>
      <c r="H135" s="48">
        <f t="shared" ref="H135:H138" si="40">+G135/D135</f>
        <v>0.76680951259373176</v>
      </c>
      <c r="I135" s="136">
        <v>3028400.86</v>
      </c>
      <c r="J135" s="153">
        <f t="shared" ref="J135:J138" si="41">+I135/D135</f>
        <v>0.38042635506613193</v>
      </c>
      <c r="K135" s="30">
        <v>4234254.16</v>
      </c>
      <c r="L135" s="48">
        <v>0.74685916287627085</v>
      </c>
      <c r="M135" s="210">
        <f t="shared" si="23"/>
        <v>0.44162841419986942</v>
      </c>
      <c r="N135" s="30">
        <v>2083884.73</v>
      </c>
      <c r="O135" s="48">
        <v>0.3675661276266996</v>
      </c>
      <c r="P135" s="210">
        <f t="shared" si="38"/>
        <v>0.45324778112846964</v>
      </c>
    </row>
    <row r="136" spans="1:16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11813645.300000001</v>
      </c>
      <c r="E136" s="32">
        <v>8229781.0599999996</v>
      </c>
      <c r="F136" s="280">
        <f t="shared" si="39"/>
        <v>0.69663349889132009</v>
      </c>
      <c r="G136" s="133">
        <v>7656891.4100000001</v>
      </c>
      <c r="H136" s="280">
        <f t="shared" si="40"/>
        <v>0.64813960598596942</v>
      </c>
      <c r="I136" s="133">
        <v>3033892.85</v>
      </c>
      <c r="J136" s="178">
        <f t="shared" si="41"/>
        <v>0.25681259026796749</v>
      </c>
      <c r="K136" s="32">
        <v>7545807.6799999997</v>
      </c>
      <c r="L136" s="280">
        <v>0.82837782457896325</v>
      </c>
      <c r="M136" s="211">
        <f t="shared" si="23"/>
        <v>1.4721251151738945E-2</v>
      </c>
      <c r="N136" s="32">
        <v>5861799.29</v>
      </c>
      <c r="O136" s="280">
        <v>0.64350759387081435</v>
      </c>
      <c r="P136" s="211">
        <f t="shared" si="38"/>
        <v>-0.48242976261986614</v>
      </c>
    </row>
    <row r="137" spans="1:16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39"/>
        <v>0.92256039680735857</v>
      </c>
      <c r="G137" s="133">
        <v>120378.08</v>
      </c>
      <c r="H137" s="280">
        <f t="shared" si="40"/>
        <v>0.20117464604195356</v>
      </c>
      <c r="I137" s="133">
        <v>95285.08</v>
      </c>
      <c r="J137" s="178">
        <f t="shared" si="41"/>
        <v>0.15923947484524781</v>
      </c>
      <c r="K137" s="32">
        <v>83026.41</v>
      </c>
      <c r="L137" s="280">
        <v>0.12888297112697922</v>
      </c>
      <c r="M137" s="211" t="s">
        <v>129</v>
      </c>
      <c r="N137" s="32">
        <v>59531.41</v>
      </c>
      <c r="O137" s="280">
        <v>9.2411378453896312E-2</v>
      </c>
      <c r="P137" s="211" t="s">
        <v>129</v>
      </c>
    </row>
    <row r="138" spans="1:16" ht="14.1" customHeight="1" x14ac:dyDescent="0.25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39"/>
        <v>0.85906605867088348</v>
      </c>
      <c r="G138" s="133">
        <v>3400527.31</v>
      </c>
      <c r="H138" s="280">
        <f t="shared" si="40"/>
        <v>0.85906605867088348</v>
      </c>
      <c r="I138" s="133">
        <v>1603466.39</v>
      </c>
      <c r="J138" s="178">
        <f t="shared" si="41"/>
        <v>0.405079396897574</v>
      </c>
      <c r="K138" s="32">
        <v>3124214.51</v>
      </c>
      <c r="L138" s="280">
        <v>0.84797674738155271</v>
      </c>
      <c r="M138" s="211">
        <f t="shared" si="23"/>
        <v>8.8442326580193908E-2</v>
      </c>
      <c r="N138" s="32">
        <v>1798938.81</v>
      </c>
      <c r="O138" s="280">
        <v>0.48826937969833617</v>
      </c>
      <c r="P138" s="211">
        <f t="shared" si="38"/>
        <v>-0.10865984930304562</v>
      </c>
    </row>
    <row r="139" spans="1:16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8091578.6600000001</v>
      </c>
      <c r="E139" s="32">
        <v>7158118.5099999998</v>
      </c>
      <c r="F139" s="280">
        <f>+E139/D139</f>
        <v>0.88463806764748176</v>
      </c>
      <c r="G139" s="133">
        <v>3432556.5</v>
      </c>
      <c r="H139" s="280">
        <f>+G139/D139</f>
        <v>0.42421345008589462</v>
      </c>
      <c r="I139" s="133">
        <v>2071726.48</v>
      </c>
      <c r="J139" s="178">
        <f>+I139/D139</f>
        <v>0.25603489344315411</v>
      </c>
      <c r="K139" s="32">
        <v>3172415</v>
      </c>
      <c r="L139" s="280">
        <v>0.54467314568712233</v>
      </c>
      <c r="M139" s="211">
        <f t="shared" si="23"/>
        <v>8.2001093803931724E-2</v>
      </c>
      <c r="N139" s="32">
        <v>1673021.43</v>
      </c>
      <c r="O139" s="280">
        <v>0.28724168971590025</v>
      </c>
      <c r="P139" s="211">
        <f t="shared" si="38"/>
        <v>0.23831437114347076</v>
      </c>
    </row>
    <row r="140" spans="1:16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7088107.79</v>
      </c>
      <c r="E140" s="32">
        <v>5607315.2800000003</v>
      </c>
      <c r="F140" s="280">
        <f t="shared" ref="F140:F147" si="42">+E140/D140</f>
        <v>0.79108775517083385</v>
      </c>
      <c r="G140" s="133">
        <v>5169132.26</v>
      </c>
      <c r="H140" s="280">
        <f t="shared" ref="H140:H147" si="43">+G140/D140</f>
        <v>0.72926829178482344</v>
      </c>
      <c r="I140" s="133">
        <v>3018793.59</v>
      </c>
      <c r="J140" s="178">
        <f>+I140/D140</f>
        <v>0.42589555343091079</v>
      </c>
      <c r="K140" s="32">
        <v>4492034.3099999996</v>
      </c>
      <c r="L140" s="390">
        <v>0.70009277576681084</v>
      </c>
      <c r="M140" s="211">
        <f t="shared" si="23"/>
        <v>0.15073303168960006</v>
      </c>
      <c r="N140" s="32">
        <v>2814684.75</v>
      </c>
      <c r="O140" s="390">
        <v>0.43867440084980391</v>
      </c>
      <c r="P140" s="211">
        <f t="shared" si="38"/>
        <v>7.2515701802839505E-2</v>
      </c>
    </row>
    <row r="141" spans="1:16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5843677.9800000004</v>
      </c>
      <c r="E141" s="32">
        <v>3905961.07</v>
      </c>
      <c r="F141" s="280">
        <f t="shared" si="42"/>
        <v>0.66840799294009001</v>
      </c>
      <c r="G141" s="133">
        <v>3739031.74</v>
      </c>
      <c r="H141" s="280">
        <f t="shared" si="43"/>
        <v>0.63984219404232123</v>
      </c>
      <c r="I141" s="133">
        <v>2385124.2000000002</v>
      </c>
      <c r="J141" s="178">
        <f t="shared" ref="J141:J147" si="44">+I141/D141</f>
        <v>0.4081546259330327</v>
      </c>
      <c r="K141" s="32">
        <v>3470047.6</v>
      </c>
      <c r="L141" s="390">
        <v>0.54965226995424887</v>
      </c>
      <c r="M141" s="211">
        <f t="shared" si="23"/>
        <v>7.7515979896068288E-2</v>
      </c>
      <c r="N141" s="32">
        <v>2523198.79</v>
      </c>
      <c r="O141" s="390">
        <v>0.39967231068222636</v>
      </c>
      <c r="P141" s="211">
        <f t="shared" si="38"/>
        <v>-5.472204193629937E-2</v>
      </c>
    </row>
    <row r="142" spans="1:16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1183375.6499999999</v>
      </c>
      <c r="E142" s="32">
        <v>744892.82</v>
      </c>
      <c r="F142" s="280">
        <f t="shared" si="42"/>
        <v>0.6294643801399834</v>
      </c>
      <c r="G142" s="133">
        <v>503047.69</v>
      </c>
      <c r="H142" s="280">
        <f>+G142/D142</f>
        <v>0.42509552228829456</v>
      </c>
      <c r="I142" s="133">
        <v>280312.95</v>
      </c>
      <c r="J142" s="178">
        <f t="shared" si="44"/>
        <v>0.236875712289669</v>
      </c>
      <c r="K142" s="32">
        <v>548374.29</v>
      </c>
      <c r="L142" s="390">
        <v>0.59005841185025409</v>
      </c>
      <c r="M142" s="211">
        <f t="shared" si="23"/>
        <v>-8.265631855206057E-2</v>
      </c>
      <c r="N142" s="32">
        <v>302559.2</v>
      </c>
      <c r="O142" s="390">
        <v>0.32555793423992108</v>
      </c>
      <c r="P142" s="211">
        <f t="shared" si="38"/>
        <v>-7.3526932910980669E-2</v>
      </c>
    </row>
    <row r="143" spans="1:16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2341043.89</v>
      </c>
      <c r="F143" s="280">
        <f>+E143/D143</f>
        <v>0.73473777389763728</v>
      </c>
      <c r="G143" s="133">
        <v>1775249.95</v>
      </c>
      <c r="H143" s="280">
        <f t="shared" si="43"/>
        <v>0.55716306812807836</v>
      </c>
      <c r="I143" s="133">
        <v>1166846.32</v>
      </c>
      <c r="J143" s="178">
        <f t="shared" si="44"/>
        <v>0.36621529023851407</v>
      </c>
      <c r="K143" s="32">
        <v>981299.84</v>
      </c>
      <c r="L143" s="390">
        <v>0.39677587465137654</v>
      </c>
      <c r="M143" s="211">
        <f t="shared" si="23"/>
        <v>0.80908003612840695</v>
      </c>
      <c r="N143" s="32">
        <v>583344.27</v>
      </c>
      <c r="O143" s="390">
        <v>0.23586769661770121</v>
      </c>
      <c r="P143" s="211">
        <f t="shared" si="38"/>
        <v>1.0002704749289815</v>
      </c>
    </row>
    <row r="144" spans="1:16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3884310.59</v>
      </c>
      <c r="E144" s="32">
        <v>3383804.25</v>
      </c>
      <c r="F144" s="280">
        <f t="shared" si="42"/>
        <v>0.87114667367523768</v>
      </c>
      <c r="G144" s="133">
        <v>2898125.94</v>
      </c>
      <c r="H144" s="280">
        <f t="shared" si="43"/>
        <v>0.74611076350616956</v>
      </c>
      <c r="I144" s="133">
        <v>1990831.39</v>
      </c>
      <c r="J144" s="178">
        <f t="shared" si="44"/>
        <v>0.51253146314440323</v>
      </c>
      <c r="K144" s="32">
        <v>2399019.6</v>
      </c>
      <c r="L144" s="390">
        <v>0.63984399775957757</v>
      </c>
      <c r="M144" s="211">
        <f t="shared" si="23"/>
        <v>0.20804596177538515</v>
      </c>
      <c r="N144" s="32">
        <v>1626436.48</v>
      </c>
      <c r="O144" s="390">
        <v>0.43378787712497852</v>
      </c>
      <c r="P144" s="211">
        <f t="shared" si="38"/>
        <v>0.22404496854374534</v>
      </c>
    </row>
    <row r="145" spans="1:18" ht="14.1" customHeight="1" x14ac:dyDescent="0.25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 t="s">
        <v>129</v>
      </c>
      <c r="M145" s="211" t="s">
        <v>129</v>
      </c>
      <c r="N145" s="32">
        <v>0</v>
      </c>
      <c r="O145" s="390" t="s">
        <v>129</v>
      </c>
      <c r="P145" s="211" t="s">
        <v>129</v>
      </c>
    </row>
    <row r="146" spans="1:18" ht="14.1" customHeight="1" x14ac:dyDescent="0.25">
      <c r="A146" s="39" t="s">
        <v>646</v>
      </c>
      <c r="B146" s="40" t="s">
        <v>647</v>
      </c>
      <c r="C146" s="199">
        <v>543815.78</v>
      </c>
      <c r="D146" s="205">
        <v>704940.24</v>
      </c>
      <c r="E146" s="32">
        <v>630362.25</v>
      </c>
      <c r="F146" s="280">
        <f t="shared" si="42"/>
        <v>0.89420664934661698</v>
      </c>
      <c r="G146" s="133">
        <v>624876.5</v>
      </c>
      <c r="H146" s="280">
        <f t="shared" si="43"/>
        <v>0.88642478403559433</v>
      </c>
      <c r="I146" s="133">
        <v>421982.15</v>
      </c>
      <c r="J146" s="178">
        <f t="shared" si="44"/>
        <v>0.59860698262876866</v>
      </c>
      <c r="K146" s="32">
        <v>461811.03</v>
      </c>
      <c r="L146" s="390">
        <v>0.81858804556757048</v>
      </c>
      <c r="M146" s="211">
        <f t="shared" si="23"/>
        <v>0.35309998983783464</v>
      </c>
      <c r="N146" s="32">
        <v>319425.93</v>
      </c>
      <c r="O146" s="390">
        <v>0.56620182446119471</v>
      </c>
      <c r="P146" s="211">
        <f t="shared" si="38"/>
        <v>0.32106416658159231</v>
      </c>
    </row>
    <row r="147" spans="1:18" ht="14.1" customHeight="1" x14ac:dyDescent="0.25">
      <c r="A147" s="39" t="s">
        <v>648</v>
      </c>
      <c r="B147" s="40" t="s">
        <v>649</v>
      </c>
      <c r="C147" s="199">
        <v>10158466.529999999</v>
      </c>
      <c r="D147" s="205">
        <v>10080736.529999999</v>
      </c>
      <c r="E147" s="32">
        <v>8510855.3800000008</v>
      </c>
      <c r="F147" s="280">
        <f t="shared" si="42"/>
        <v>0.84426920142907469</v>
      </c>
      <c r="G147" s="133">
        <v>3336190.99</v>
      </c>
      <c r="H147" s="280">
        <f t="shared" si="43"/>
        <v>0.33094714657719565</v>
      </c>
      <c r="I147" s="133">
        <v>604002.55000000005</v>
      </c>
      <c r="J147" s="178">
        <f t="shared" si="44"/>
        <v>5.9916509890175662E-2</v>
      </c>
      <c r="K147" s="32">
        <v>2662363.61</v>
      </c>
      <c r="L147" s="390">
        <v>0.29218094171081743</v>
      </c>
      <c r="M147" s="211">
        <f t="shared" si="23"/>
        <v>0.25309367115335557</v>
      </c>
      <c r="N147" s="32">
        <v>419407.73</v>
      </c>
      <c r="O147" s="390">
        <v>4.6027877278639731E-2</v>
      </c>
      <c r="P147" s="211">
        <f t="shared" si="38"/>
        <v>0.4401321358573913</v>
      </c>
    </row>
    <row r="148" spans="1:18" ht="14.1" customHeight="1" x14ac:dyDescent="0.25">
      <c r="A148" s="253">
        <v>2341</v>
      </c>
      <c r="B148" s="40" t="s">
        <v>431</v>
      </c>
      <c r="C148" s="199">
        <v>10668077.699999999</v>
      </c>
      <c r="D148" s="205">
        <v>10738140.09</v>
      </c>
      <c r="E148" s="32">
        <v>10614619.6</v>
      </c>
      <c r="F148" s="280">
        <f>+E148/D148</f>
        <v>0.98849703123960642</v>
      </c>
      <c r="G148" s="133">
        <v>10581915.199999999</v>
      </c>
      <c r="H148" s="280">
        <f>+G148/D148</f>
        <v>0.98545140138882281</v>
      </c>
      <c r="I148" s="133">
        <v>6269864.7800000003</v>
      </c>
      <c r="J148" s="178">
        <f>+I148/D148</f>
        <v>0.58388740763764801</v>
      </c>
      <c r="K148" s="32">
        <v>10638823.890000001</v>
      </c>
      <c r="L148" s="390">
        <v>0.97981630647972984</v>
      </c>
      <c r="M148" s="211">
        <f t="shared" si="23"/>
        <v>-5.3491523676308939E-3</v>
      </c>
      <c r="N148" s="32">
        <v>5894331.6600000001</v>
      </c>
      <c r="O148" s="390">
        <v>0.5428572120360321</v>
      </c>
      <c r="P148" s="211">
        <f t="shared" si="38"/>
        <v>6.3710890676280663E-2</v>
      </c>
    </row>
    <row r="149" spans="1:18" ht="14.1" customHeight="1" x14ac:dyDescent="0.25">
      <c r="A149" s="18">
        <v>2</v>
      </c>
      <c r="B149" s="514" t="s">
        <v>125</v>
      </c>
      <c r="C149" s="201">
        <f>SUM(C122:C130,C135:C148)</f>
        <v>321210830.55999994</v>
      </c>
      <c r="D149" s="207">
        <f>SUM(D122:D130,D135:D148)</f>
        <v>327769097.96999997</v>
      </c>
      <c r="E149" s="203">
        <f>SUM(E122:E130,E135:E148)</f>
        <v>289906863.15999997</v>
      </c>
      <c r="F149" s="232">
        <f>E149/D149</f>
        <v>0.884485038264756</v>
      </c>
      <c r="G149" s="203">
        <f>SUM(G122:G130,G135:G148)</f>
        <v>267482939.88999999</v>
      </c>
      <c r="H149" s="232">
        <f>G149/D149</f>
        <v>0.81607125731688757</v>
      </c>
      <c r="I149" s="203">
        <f>SUM(I122:I130,I135:I148)</f>
        <v>181273495.46999997</v>
      </c>
      <c r="J149" s="277">
        <f>I149/D149</f>
        <v>0.55305242804369426</v>
      </c>
      <c r="K149" s="562">
        <f>SUM(K122:K148)</f>
        <v>244226337.52999997</v>
      </c>
      <c r="L149" s="90">
        <v>0.82</v>
      </c>
      <c r="M149" s="213">
        <f t="shared" si="23"/>
        <v>9.5225611599499382E-2</v>
      </c>
      <c r="N149" s="562">
        <f>SUM(N122:N148)</f>
        <v>174155577.71999997</v>
      </c>
      <c r="O149" s="90">
        <v>0.57999999999999996</v>
      </c>
      <c r="P149" s="213">
        <f t="shared" ref="P149" si="45">+I149/N149-1</f>
        <v>4.0871029473680709E-2</v>
      </c>
      <c r="R149"/>
    </row>
    <row r="150" spans="1:18" ht="14.1" customHeight="1" x14ac:dyDescent="0.25">
      <c r="A150" s="37">
        <v>3111</v>
      </c>
      <c r="B150" s="38" t="s">
        <v>651</v>
      </c>
      <c r="C150" s="198">
        <v>19998074.850000001</v>
      </c>
      <c r="D150" s="534">
        <v>19328914.66</v>
      </c>
      <c r="E150" s="56">
        <v>18454755.210000001</v>
      </c>
      <c r="F150" s="48">
        <f t="shared" ref="F150:F159" si="46">+E150/D150</f>
        <v>0.95477451965738058</v>
      </c>
      <c r="G150" s="56">
        <v>18337180.050000001</v>
      </c>
      <c r="H150" s="48">
        <f t="shared" ref="H150:H159" si="47">+G150/D150</f>
        <v>0.94869165561311453</v>
      </c>
      <c r="I150" s="56">
        <v>11814437.699999999</v>
      </c>
      <c r="J150" s="153">
        <f t="shared" ref="J150:J159" si="48">+I150/D150</f>
        <v>0.61123130335141118</v>
      </c>
      <c r="K150" s="180">
        <v>17280768.239999998</v>
      </c>
      <c r="L150" s="48">
        <v>0.98568577682738534</v>
      </c>
      <c r="M150" s="210">
        <f t="shared" si="23"/>
        <v>6.1132224871502716E-2</v>
      </c>
      <c r="N150" s="180">
        <v>14145764.359999999</v>
      </c>
      <c r="O150" s="48">
        <v>0.80686683244377233</v>
      </c>
      <c r="P150" s="210">
        <f>+I150/N150-1</f>
        <v>-0.16480740104736202</v>
      </c>
    </row>
    <row r="151" spans="1:18" ht="14.1" customHeight="1" x14ac:dyDescent="0.25">
      <c r="A151" s="37" t="s">
        <v>650</v>
      </c>
      <c r="B151" s="38" t="s">
        <v>652</v>
      </c>
      <c r="C151" s="200">
        <v>2248848</v>
      </c>
      <c r="D151" s="535">
        <v>2889577.19</v>
      </c>
      <c r="E151" s="137">
        <v>2889577.19</v>
      </c>
      <c r="F151" s="48">
        <f t="shared" si="46"/>
        <v>1</v>
      </c>
      <c r="G151" s="137">
        <v>2889577.19</v>
      </c>
      <c r="H151" s="48">
        <f t="shared" si="47"/>
        <v>1</v>
      </c>
      <c r="I151" s="137">
        <v>2248848</v>
      </c>
      <c r="J151" s="153">
        <f t="shared" si="48"/>
        <v>0.77826195741806781</v>
      </c>
      <c r="K151" s="34">
        <v>2248848</v>
      </c>
      <c r="L151" s="48">
        <v>1</v>
      </c>
      <c r="M151" s="210">
        <f t="shared" ref="M151:M212" si="49">+G151/K151-1</f>
        <v>0.28491440506428178</v>
      </c>
      <c r="N151" s="34">
        <v>2248848</v>
      </c>
      <c r="O151" s="48">
        <v>1</v>
      </c>
      <c r="P151" s="210">
        <f t="shared" ref="P151:P172" si="50">+I151/N151-1</f>
        <v>0</v>
      </c>
    </row>
    <row r="152" spans="1:18" ht="14.1" customHeight="1" x14ac:dyDescent="0.25">
      <c r="A152" s="37">
        <v>3131</v>
      </c>
      <c r="B152" s="38" t="s">
        <v>761</v>
      </c>
      <c r="C152" s="200">
        <v>9000</v>
      </c>
      <c r="D152" s="535">
        <v>6000</v>
      </c>
      <c r="E152" s="137">
        <v>6000</v>
      </c>
      <c r="F152" s="48">
        <f t="shared" si="46"/>
        <v>1</v>
      </c>
      <c r="G152" s="137">
        <v>5190</v>
      </c>
      <c r="H152" s="48">
        <f t="shared" si="47"/>
        <v>0.86499999999999999</v>
      </c>
      <c r="I152" s="137">
        <v>5190</v>
      </c>
      <c r="J152" s="153">
        <f t="shared" si="48"/>
        <v>0.86499999999999999</v>
      </c>
      <c r="K152" s="34">
        <v>0</v>
      </c>
      <c r="L152" s="48">
        <v>0</v>
      </c>
      <c r="M152" s="224" t="s">
        <v>129</v>
      </c>
      <c r="N152" s="34">
        <v>0</v>
      </c>
      <c r="O152" s="48"/>
      <c r="P152" s="210" t="s">
        <v>129</v>
      </c>
    </row>
    <row r="153" spans="1:18" ht="14.1" customHeight="1" x14ac:dyDescent="0.25">
      <c r="A153" s="39" t="s">
        <v>653</v>
      </c>
      <c r="B153" s="40" t="s">
        <v>654</v>
      </c>
      <c r="C153" s="200">
        <v>10674936.689999999</v>
      </c>
      <c r="D153" s="535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7100000</v>
      </c>
      <c r="J153" s="178">
        <f t="shared" si="48"/>
        <v>0.66510933096690805</v>
      </c>
      <c r="K153" s="34">
        <v>9331667.1099999994</v>
      </c>
      <c r="L153" s="280">
        <v>1</v>
      </c>
      <c r="M153" s="212">
        <f t="shared" si="49"/>
        <v>0.14394743877656402</v>
      </c>
      <c r="N153" s="34">
        <v>5529319</v>
      </c>
      <c r="O153" s="280">
        <v>0.59253281700058424</v>
      </c>
      <c r="P153" s="210">
        <f t="shared" si="50"/>
        <v>0.2840640954157283</v>
      </c>
    </row>
    <row r="154" spans="1:18" ht="14.1" customHeight="1" x14ac:dyDescent="0.25">
      <c r="A154" s="253">
        <v>3232</v>
      </c>
      <c r="B154" s="40" t="s">
        <v>480</v>
      </c>
      <c r="C154" s="200">
        <v>40599839.609999999</v>
      </c>
      <c r="D154" s="535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34681050</v>
      </c>
      <c r="J154" s="178">
        <f t="shared" si="48"/>
        <v>0.85421642876288206</v>
      </c>
      <c r="K154" s="34">
        <v>37980210.549999997</v>
      </c>
      <c r="L154" s="604">
        <v>1</v>
      </c>
      <c r="M154" s="211">
        <f t="shared" si="49"/>
        <v>6.8973526530384133E-2</v>
      </c>
      <c r="N154" s="34">
        <v>37980210.549999997</v>
      </c>
      <c r="O154" s="604">
        <v>1</v>
      </c>
      <c r="P154" s="210">
        <f t="shared" si="50"/>
        <v>-8.686525172515136E-2</v>
      </c>
    </row>
    <row r="155" spans="1:18" ht="14.1" customHeight="1" x14ac:dyDescent="0.25">
      <c r="A155" s="253" t="s">
        <v>655</v>
      </c>
      <c r="B155" s="40" t="s">
        <v>656</v>
      </c>
      <c r="C155" s="200">
        <v>1576943.5</v>
      </c>
      <c r="D155" s="535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04">
        <v>1</v>
      </c>
      <c r="M155" s="211">
        <f t="shared" si="49"/>
        <v>0.18840289733511639</v>
      </c>
      <c r="N155" s="34">
        <v>0</v>
      </c>
      <c r="O155" s="604">
        <v>0</v>
      </c>
      <c r="P155" s="210" t="s">
        <v>129</v>
      </c>
    </row>
    <row r="156" spans="1:18" ht="14.1" customHeight="1" x14ac:dyDescent="0.25">
      <c r="A156" s="39" t="s">
        <v>657</v>
      </c>
      <c r="B156" s="40" t="s">
        <v>658</v>
      </c>
      <c r="C156" s="200">
        <v>8163831</v>
      </c>
      <c r="D156" s="535">
        <v>8163831</v>
      </c>
      <c r="E156" s="137">
        <v>8163831</v>
      </c>
      <c r="F156" s="280">
        <f t="shared" si="46"/>
        <v>1</v>
      </c>
      <c r="G156" s="137">
        <v>8163831</v>
      </c>
      <c r="H156" s="280">
        <f t="shared" si="47"/>
        <v>1</v>
      </c>
      <c r="I156" s="137">
        <v>5416531</v>
      </c>
      <c r="J156" s="178">
        <f t="shared" si="48"/>
        <v>0.66347907005914253</v>
      </c>
      <c r="K156" s="34">
        <v>7493661</v>
      </c>
      <c r="L156" s="280">
        <v>1</v>
      </c>
      <c r="M156" s="211">
        <f t="shared" si="49"/>
        <v>8.9431587577820881E-2</v>
      </c>
      <c r="N156" s="34">
        <v>2077130</v>
      </c>
      <c r="O156" s="280">
        <v>0.27718494338081212</v>
      </c>
      <c r="P156" s="210">
        <f t="shared" si="50"/>
        <v>1.6076995662284017</v>
      </c>
    </row>
    <row r="157" spans="1:18" ht="14.1" customHeight="1" x14ac:dyDescent="0.25">
      <c r="A157" s="39" t="s">
        <v>659</v>
      </c>
      <c r="B157" s="40" t="s">
        <v>114</v>
      </c>
      <c r="C157" s="200">
        <v>9096798.4100000001</v>
      </c>
      <c r="D157" s="535">
        <v>9101019.4399999995</v>
      </c>
      <c r="E157" s="137">
        <v>8930530.9100000001</v>
      </c>
      <c r="F157" s="280">
        <f t="shared" si="46"/>
        <v>0.98126709528267975</v>
      </c>
      <c r="G157" s="137">
        <v>8847683.3599999994</v>
      </c>
      <c r="H157" s="280">
        <f t="shared" si="47"/>
        <v>0.97216398869707277</v>
      </c>
      <c r="I157" s="137">
        <v>6641386.9199999999</v>
      </c>
      <c r="J157" s="178">
        <f t="shared" si="48"/>
        <v>0.72974098822494116</v>
      </c>
      <c r="K157" s="34">
        <v>6743038.1799999997</v>
      </c>
      <c r="L157" s="280">
        <v>0.94366711481947441</v>
      </c>
      <c r="M157" s="211">
        <f t="shared" si="49"/>
        <v>0.31212120172215907</v>
      </c>
      <c r="N157" s="34">
        <v>420620.64</v>
      </c>
      <c r="O157" s="280">
        <v>5.8864543724461135E-2</v>
      </c>
      <c r="P157" s="210">
        <f t="shared" si="50"/>
        <v>14.789493639684443</v>
      </c>
    </row>
    <row r="158" spans="1:18" ht="14.1" customHeight="1" x14ac:dyDescent="0.25">
      <c r="A158" s="39" t="s">
        <v>660</v>
      </c>
      <c r="B158" s="40" t="s">
        <v>661</v>
      </c>
      <c r="C158" s="200">
        <v>8827393.0999999996</v>
      </c>
      <c r="D158" s="535">
        <v>8809766.0999999996</v>
      </c>
      <c r="E158" s="137">
        <v>8744700.8900000006</v>
      </c>
      <c r="F158" s="280">
        <f t="shared" si="46"/>
        <v>0.99261442253273913</v>
      </c>
      <c r="G158" s="137">
        <v>8744700.8900000006</v>
      </c>
      <c r="H158" s="280">
        <f t="shared" si="47"/>
        <v>0.99261442253273913</v>
      </c>
      <c r="I158" s="137">
        <v>0</v>
      </c>
      <c r="J158" s="178">
        <f t="shared" si="48"/>
        <v>0</v>
      </c>
      <c r="K158" s="34">
        <v>8147393.0999999996</v>
      </c>
      <c r="L158" s="280">
        <v>0.83328889578961496</v>
      </c>
      <c r="M158" s="211">
        <f t="shared" si="49"/>
        <v>7.3312749571393665E-2</v>
      </c>
      <c r="N158" s="34">
        <v>3679022</v>
      </c>
      <c r="O158" s="280">
        <v>0.37627841719895666</v>
      </c>
      <c r="P158" s="210">
        <f t="shared" si="50"/>
        <v>-1</v>
      </c>
    </row>
    <row r="159" spans="1:18" ht="14.1" customHeight="1" x14ac:dyDescent="0.25">
      <c r="A159" s="39">
        <v>3281</v>
      </c>
      <c r="B159" s="40" t="s">
        <v>664</v>
      </c>
      <c r="C159" s="200">
        <v>5255775.0999999996</v>
      </c>
      <c r="D159" s="535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3995890.58</v>
      </c>
      <c r="O159" s="280">
        <v>0.77503566512715205</v>
      </c>
      <c r="P159" s="210">
        <f t="shared" si="50"/>
        <v>-1</v>
      </c>
    </row>
    <row r="160" spans="1:18" ht="14.1" customHeight="1" x14ac:dyDescent="0.25">
      <c r="A160" s="39" t="s">
        <v>662</v>
      </c>
      <c r="B160" s="40" t="s">
        <v>665</v>
      </c>
      <c r="C160" s="200">
        <v>2919606</v>
      </c>
      <c r="D160" s="535">
        <v>3019606</v>
      </c>
      <c r="E160" s="137">
        <v>2919606</v>
      </c>
      <c r="F160" s="280">
        <f t="shared" ref="F160:F161" si="51">+E160/D160</f>
        <v>0.96688309666890315</v>
      </c>
      <c r="G160" s="137">
        <v>2919606</v>
      </c>
      <c r="H160" s="280">
        <f t="shared" ref="H160:H161" si="52">+G160/D160</f>
        <v>0.96688309666890315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5">
      <c r="A161" s="39" t="s">
        <v>663</v>
      </c>
      <c r="B161" s="40" t="s">
        <v>666</v>
      </c>
      <c r="C161" s="200">
        <v>1326943.5</v>
      </c>
      <c r="D161" s="535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183170.45</v>
      </c>
      <c r="O161" s="280">
        <v>0.13803937394470828</v>
      </c>
      <c r="P161" s="210">
        <f t="shared" si="50"/>
        <v>-1</v>
      </c>
    </row>
    <row r="162" spans="1:18" ht="14.1" customHeight="1" x14ac:dyDescent="0.25">
      <c r="A162" s="39">
        <v>3291</v>
      </c>
      <c r="B162" s="40" t="s">
        <v>495</v>
      </c>
      <c r="C162" s="200">
        <v>33376191.52</v>
      </c>
      <c r="D162" s="535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26200000</v>
      </c>
      <c r="J162" s="178">
        <f>+I162/D162</f>
        <v>0.78499070165930063</v>
      </c>
      <c r="K162" s="34">
        <v>30377801.829999998</v>
      </c>
      <c r="L162" s="604">
        <v>1</v>
      </c>
      <c r="M162" s="211">
        <f t="shared" si="49"/>
        <v>9.8703313254183689E-2</v>
      </c>
      <c r="N162" s="34">
        <v>24137661.829999998</v>
      </c>
      <c r="O162" s="604">
        <v>0.79458224018574419</v>
      </c>
      <c r="P162" s="210">
        <f t="shared" si="50"/>
        <v>8.5440677084835936E-2</v>
      </c>
    </row>
    <row r="163" spans="1:18" ht="14.1" customHeight="1" x14ac:dyDescent="0.25">
      <c r="A163" s="253" t="s">
        <v>667</v>
      </c>
      <c r="B163" s="40" t="s">
        <v>668</v>
      </c>
      <c r="C163" s="200">
        <v>24741430.09</v>
      </c>
      <c r="D163" s="535">
        <v>18785272.949999999</v>
      </c>
      <c r="E163" s="137">
        <v>16573498.109999999</v>
      </c>
      <c r="F163" s="280">
        <f>+E163/D163</f>
        <v>0.88226017019358771</v>
      </c>
      <c r="G163" s="137">
        <v>16573498.109999999</v>
      </c>
      <c r="H163" s="280">
        <f>+G163/D163</f>
        <v>0.88226017019358771</v>
      </c>
      <c r="I163" s="137">
        <v>5393642.0700000003</v>
      </c>
      <c r="J163" s="178">
        <f>+I163/D163</f>
        <v>0.2871207719129788</v>
      </c>
      <c r="K163" s="34">
        <v>12177395.939999999</v>
      </c>
      <c r="L163" s="280">
        <v>0.96618206606549095</v>
      </c>
      <c r="M163" s="211">
        <f t="shared" si="49"/>
        <v>0.36100511075276742</v>
      </c>
      <c r="N163" s="34">
        <v>6243589.9699999997</v>
      </c>
      <c r="O163" s="280">
        <v>0.49538051374885134</v>
      </c>
      <c r="P163" s="210">
        <f t="shared" si="50"/>
        <v>-0.13613128089511606</v>
      </c>
    </row>
    <row r="164" spans="1:18" ht="14.1" customHeight="1" x14ac:dyDescent="0.25">
      <c r="A164" s="39" t="s">
        <v>669</v>
      </c>
      <c r="B164" s="40" t="s">
        <v>670</v>
      </c>
      <c r="C164" s="200">
        <v>12623127.310000001</v>
      </c>
      <c r="D164" s="535">
        <v>12910548.640000001</v>
      </c>
      <c r="E164" s="137">
        <v>12607679.33</v>
      </c>
      <c r="F164" s="280">
        <f>+E164/D164</f>
        <v>0.97654094195024077</v>
      </c>
      <c r="G164" s="137">
        <v>12553628.58</v>
      </c>
      <c r="H164" s="280">
        <f>+G164/D164</f>
        <v>0.97235438477849223</v>
      </c>
      <c r="I164" s="137">
        <v>7081193.5199999996</v>
      </c>
      <c r="J164" s="178">
        <f>+I164/D164</f>
        <v>0.5484812239551734</v>
      </c>
      <c r="K164" s="34">
        <v>12547145.189999999</v>
      </c>
      <c r="L164" s="280">
        <v>0.9836913443622326</v>
      </c>
      <c r="M164" s="211">
        <f t="shared" si="49"/>
        <v>5.16722322235319E-4</v>
      </c>
      <c r="N164" s="34">
        <v>12415376.720000001</v>
      </c>
      <c r="O164" s="280">
        <v>0.97336074712787846</v>
      </c>
      <c r="P164" s="210">
        <f t="shared" si="50"/>
        <v>-0.42964328189954437</v>
      </c>
    </row>
    <row r="165" spans="1:18" ht="14.1" customHeight="1" x14ac:dyDescent="0.25">
      <c r="A165" s="39" t="s">
        <v>671</v>
      </c>
      <c r="B165" s="40" t="s">
        <v>672</v>
      </c>
      <c r="C165" s="200">
        <v>48067327.659999996</v>
      </c>
      <c r="D165" s="535">
        <v>51847827.659999996</v>
      </c>
      <c r="E165" s="137">
        <v>48067327.659999996</v>
      </c>
      <c r="F165" s="280">
        <f>+E165/D165</f>
        <v>0.9270846982289942</v>
      </c>
      <c r="G165" s="137">
        <v>48067327.659999996</v>
      </c>
      <c r="H165" s="280">
        <f>+G165/D165</f>
        <v>0.9270846982289942</v>
      </c>
      <c r="I165" s="137">
        <v>40000000</v>
      </c>
      <c r="J165" s="178">
        <f>+I165/D165</f>
        <v>0.77148844619500889</v>
      </c>
      <c r="K165" s="34">
        <v>48905673.659999996</v>
      </c>
      <c r="L165" s="280">
        <v>1</v>
      </c>
      <c r="M165" s="211">
        <f t="shared" si="49"/>
        <v>-1.7142101054129499E-2</v>
      </c>
      <c r="N165" s="34">
        <v>47370497.799999997</v>
      </c>
      <c r="O165" s="280">
        <v>0.96860945274626442</v>
      </c>
      <c r="P165" s="210">
        <f t="shared" si="50"/>
        <v>-0.15559257644111135</v>
      </c>
      <c r="R165" s="275"/>
    </row>
    <row r="166" spans="1:18" ht="14.1" customHeight="1" x14ac:dyDescent="0.25">
      <c r="A166" s="39" t="s">
        <v>673</v>
      </c>
      <c r="B166" s="40" t="s">
        <v>674</v>
      </c>
      <c r="C166" s="200">
        <v>17219551.329999998</v>
      </c>
      <c r="D166" s="535">
        <v>18169551.329999998</v>
      </c>
      <c r="E166" s="137">
        <v>17219551.329999998</v>
      </c>
      <c r="F166" s="280">
        <f>+E166/D166</f>
        <v>0.94771472433491288</v>
      </c>
      <c r="G166" s="137">
        <v>17219551.329999998</v>
      </c>
      <c r="H166" s="280">
        <f>+G166/D166</f>
        <v>0.94771472433491288</v>
      </c>
      <c r="I166" s="137">
        <v>13500000</v>
      </c>
      <c r="J166" s="178">
        <f>+I166/D166</f>
        <v>0.74300128576702729</v>
      </c>
      <c r="K166" s="34">
        <v>17284551.329999998</v>
      </c>
      <c r="L166" s="280">
        <v>1</v>
      </c>
      <c r="M166" s="211">
        <f t="shared" si="49"/>
        <v>-3.7605835846709068E-3</v>
      </c>
      <c r="N166" s="34">
        <v>11265000</v>
      </c>
      <c r="O166" s="280">
        <v>0.6517380627895073</v>
      </c>
      <c r="P166" s="210">
        <f t="shared" si="50"/>
        <v>0.19840213049267641</v>
      </c>
      <c r="R166" s="275"/>
    </row>
    <row r="167" spans="1:18" ht="14.1" customHeight="1" x14ac:dyDescent="0.25">
      <c r="A167" s="39" t="s">
        <v>675</v>
      </c>
      <c r="B167" s="40" t="s">
        <v>102</v>
      </c>
      <c r="C167" s="200">
        <v>17748245.370000001</v>
      </c>
      <c r="D167" s="535">
        <v>20626145.18</v>
      </c>
      <c r="E167" s="137">
        <v>17799364.100000001</v>
      </c>
      <c r="F167" s="280">
        <f t="shared" ref="F167:F173" si="54">+E167/D167</f>
        <v>0.86295155709749549</v>
      </c>
      <c r="G167" s="137">
        <v>17481627.039999999</v>
      </c>
      <c r="H167" s="280">
        <f t="shared" ref="H167:H173" si="55">+G167/D167</f>
        <v>0.84754697920728972</v>
      </c>
      <c r="I167" s="137">
        <v>15990246.060000001</v>
      </c>
      <c r="J167" s="178">
        <f t="shared" ref="J167:J173" si="56">+I167/D167</f>
        <v>0.77524161303319217</v>
      </c>
      <c r="K167" s="34">
        <v>15873381.609999999</v>
      </c>
      <c r="L167" s="604">
        <v>0.96376719604282679</v>
      </c>
      <c r="M167" s="211">
        <f t="shared" si="49"/>
        <v>0.10131712759849654</v>
      </c>
      <c r="N167" s="34">
        <v>1856734.55</v>
      </c>
      <c r="O167" s="604">
        <v>0.11273337307798398</v>
      </c>
      <c r="P167" s="210">
        <f t="shared" si="50"/>
        <v>7.6120259139896973</v>
      </c>
      <c r="R167" s="275"/>
    </row>
    <row r="168" spans="1:18" ht="14.1" customHeight="1" x14ac:dyDescent="0.25">
      <c r="A168" s="253">
        <v>3361</v>
      </c>
      <c r="B168" s="40" t="s">
        <v>676</v>
      </c>
      <c r="C168" s="200">
        <v>211322.62</v>
      </c>
      <c r="D168" s="535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5">
      <c r="A169" s="253">
        <v>3371</v>
      </c>
      <c r="B169" s="40" t="s">
        <v>677</v>
      </c>
      <c r="C169" s="200">
        <v>15245118.1</v>
      </c>
      <c r="D169" s="535">
        <v>15961850.99</v>
      </c>
      <c r="E169" s="137">
        <v>14768633.91</v>
      </c>
      <c r="F169" s="280">
        <f t="shared" si="54"/>
        <v>0.92524569482903063</v>
      </c>
      <c r="G169" s="137">
        <v>14352081.09</v>
      </c>
      <c r="H169" s="280">
        <f t="shared" si="55"/>
        <v>0.89914892069794972</v>
      </c>
      <c r="I169" s="137">
        <v>8897816.4100000001</v>
      </c>
      <c r="J169" s="178">
        <f t="shared" si="56"/>
        <v>0.55744264343617955</v>
      </c>
      <c r="K169" s="34">
        <v>13690626.720000001</v>
      </c>
      <c r="L169" s="280">
        <v>0.92334012849085134</v>
      </c>
      <c r="M169" s="211">
        <f t="shared" si="49"/>
        <v>4.8314396669197901E-2</v>
      </c>
      <c r="N169" s="34">
        <v>7797979.71</v>
      </c>
      <c r="O169" s="280">
        <v>0.52592096290829637</v>
      </c>
      <c r="P169" s="210">
        <f t="shared" si="50"/>
        <v>0.14104123643584088</v>
      </c>
    </row>
    <row r="170" spans="1:18" ht="14.1" customHeight="1" x14ac:dyDescent="0.25">
      <c r="A170" s="253">
        <v>3381</v>
      </c>
      <c r="B170" s="40" t="s">
        <v>678</v>
      </c>
      <c r="C170" s="200">
        <v>8127724.7699999996</v>
      </c>
      <c r="D170" s="535">
        <v>8567515.1500000004</v>
      </c>
      <c r="E170" s="137">
        <v>7842454.3099999996</v>
      </c>
      <c r="F170" s="280">
        <f t="shared" si="54"/>
        <v>0.91537092992476343</v>
      </c>
      <c r="G170" s="137">
        <v>7612729.8399999999</v>
      </c>
      <c r="H170" s="280">
        <f t="shared" si="55"/>
        <v>0.8885574996619644</v>
      </c>
      <c r="I170" s="137">
        <v>2558034.31</v>
      </c>
      <c r="J170" s="178">
        <f t="shared" si="56"/>
        <v>0.29857365469613439</v>
      </c>
      <c r="K170" s="34">
        <v>7130776.8099999996</v>
      </c>
      <c r="L170" s="280">
        <v>0.91673133107398797</v>
      </c>
      <c r="M170" s="211">
        <f t="shared" si="49"/>
        <v>6.7587731721475697E-2</v>
      </c>
      <c r="N170" s="34">
        <v>5133974.8</v>
      </c>
      <c r="O170" s="280">
        <v>0.66002283867643741</v>
      </c>
      <c r="P170" s="210">
        <f t="shared" si="50"/>
        <v>-0.5017438905231868</v>
      </c>
    </row>
    <row r="171" spans="1:18" ht="14.1" customHeight="1" x14ac:dyDescent="0.25">
      <c r="A171" s="253" t="s">
        <v>679</v>
      </c>
      <c r="B171" s="40" t="s">
        <v>680</v>
      </c>
      <c r="C171" s="200">
        <v>14042820.529999999</v>
      </c>
      <c r="D171" s="535">
        <v>13085983.560000001</v>
      </c>
      <c r="E171" s="137">
        <v>12609912.76</v>
      </c>
      <c r="F171" s="390">
        <f t="shared" si="54"/>
        <v>0.96361979229018679</v>
      </c>
      <c r="G171" s="137">
        <v>12499572.58</v>
      </c>
      <c r="H171" s="390">
        <f t="shared" si="55"/>
        <v>0.95518785597496192</v>
      </c>
      <c r="I171" s="137">
        <v>6959772.5800000001</v>
      </c>
      <c r="J171" s="392">
        <f t="shared" si="56"/>
        <v>0.53184940574692263</v>
      </c>
      <c r="K171" s="34">
        <v>12422023.470000001</v>
      </c>
      <c r="L171" s="390">
        <v>0.97508529817660383</v>
      </c>
      <c r="M171" s="211">
        <f t="shared" si="49"/>
        <v>6.2428726034278181E-3</v>
      </c>
      <c r="N171" s="34">
        <v>10343982.640000001</v>
      </c>
      <c r="O171" s="390">
        <v>0.81196637739551891</v>
      </c>
      <c r="P171" s="210">
        <f t="shared" si="50"/>
        <v>-0.32716702819215093</v>
      </c>
    </row>
    <row r="172" spans="1:18" ht="14.1" customHeight="1" x14ac:dyDescent="0.25">
      <c r="A172" s="253">
        <v>3421</v>
      </c>
      <c r="B172" s="40" t="s">
        <v>484</v>
      </c>
      <c r="C172" s="200">
        <v>5455050.5800000001</v>
      </c>
      <c r="D172" s="535">
        <v>6467254.8399999999</v>
      </c>
      <c r="E172" s="137">
        <v>6456013.3300000001</v>
      </c>
      <c r="F172" s="390">
        <f t="shared" si="54"/>
        <v>0.9982617802640974</v>
      </c>
      <c r="G172" s="137">
        <v>6456013.3300000001</v>
      </c>
      <c r="H172" s="390">
        <f t="shared" si="55"/>
        <v>0.9982617802640974</v>
      </c>
      <c r="I172" s="137">
        <v>1433683.53</v>
      </c>
      <c r="J172" s="392">
        <f t="shared" si="56"/>
        <v>0.22168347551926684</v>
      </c>
      <c r="K172" s="34">
        <v>6362437.7199999997</v>
      </c>
      <c r="L172" s="390">
        <v>0.9980841898224021</v>
      </c>
      <c r="M172" s="211">
        <f t="shared" si="49"/>
        <v>1.4707508995467355E-2</v>
      </c>
      <c r="N172" s="34">
        <v>83803.34</v>
      </c>
      <c r="O172" s="390">
        <v>1.3146343019654942E-2</v>
      </c>
      <c r="P172" s="210">
        <f t="shared" si="50"/>
        <v>16.10771348731447</v>
      </c>
    </row>
    <row r="173" spans="1:18" ht="14.1" customHeight="1" x14ac:dyDescent="0.25">
      <c r="A173" s="526">
        <v>3431</v>
      </c>
      <c r="B173" s="528" t="s">
        <v>435</v>
      </c>
      <c r="C173" s="200">
        <v>6518951.2199999997</v>
      </c>
      <c r="D173" s="535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5">
      <c r="A174" s="527">
        <v>3</v>
      </c>
      <c r="B174" s="2" t="s">
        <v>124</v>
      </c>
      <c r="C174" s="201">
        <f>SUM(C150:C173)</f>
        <v>314074850.86000001</v>
      </c>
      <c r="D174" s="207">
        <f>SUM(D150:D173)</f>
        <v>317281568.44999999</v>
      </c>
      <c r="E174" s="203">
        <f>SUM(E150:E173)</f>
        <v>303594339.80000001</v>
      </c>
      <c r="F174" s="90">
        <f t="shared" ref="F174:F211" si="57">+E174/D174</f>
        <v>0.95686093989995846</v>
      </c>
      <c r="G174" s="203">
        <f>SUM(G150:G173)</f>
        <v>302264701.80999994</v>
      </c>
      <c r="H174" s="90">
        <f t="shared" ref="H174:H211" si="58">+G174/D174</f>
        <v>0.95267022060764128</v>
      </c>
      <c r="I174" s="203">
        <f>SUM(I150:I173)</f>
        <v>195921832.09999999</v>
      </c>
      <c r="J174" s="170">
        <f t="shared" ref="J174:J211" si="59">+I174/D174</f>
        <v>0.61750146110638338</v>
      </c>
      <c r="K174" s="562">
        <f>SUM(K150:K173)</f>
        <v>284546643.38000005</v>
      </c>
      <c r="L174" s="90">
        <v>0.97476112214618271</v>
      </c>
      <c r="M174" s="213">
        <f t="shared" si="49"/>
        <v>6.2267676819290907E-2</v>
      </c>
      <c r="N174" s="562">
        <f>SUM(N150:N173)</f>
        <v>196908576.94000003</v>
      </c>
      <c r="O174" s="90">
        <v>0.67500000000000004</v>
      </c>
      <c r="P174" s="213">
        <f t="shared" ref="P174:P211" si="60">+I174/N174-1</f>
        <v>-5.0111826276653115E-3</v>
      </c>
    </row>
    <row r="175" spans="1:18" ht="14.1" customHeight="1" x14ac:dyDescent="0.25">
      <c r="A175" s="37">
        <v>4301</v>
      </c>
      <c r="B175" s="529" t="s">
        <v>681</v>
      </c>
      <c r="C175" s="198">
        <v>4583248.97</v>
      </c>
      <c r="D175" s="512">
        <v>5239143.75</v>
      </c>
      <c r="E175" s="180">
        <v>3175495.1</v>
      </c>
      <c r="F175" s="78">
        <f>+E175/D175</f>
        <v>0.6061095575016433</v>
      </c>
      <c r="G175" s="180">
        <v>3086802.74</v>
      </c>
      <c r="H175" s="78">
        <f>+G175/D175</f>
        <v>0.58918076832688548</v>
      </c>
      <c r="I175" s="180">
        <v>3061170.56</v>
      </c>
      <c r="J175" s="153">
        <f>+I175/D175</f>
        <v>0.58428833146637749</v>
      </c>
      <c r="K175" s="180">
        <v>3189759.11</v>
      </c>
      <c r="L175" s="48">
        <v>0.66922743258876993</v>
      </c>
      <c r="M175" s="210">
        <f t="shared" si="49"/>
        <v>-3.2277161518946107E-2</v>
      </c>
      <c r="N175" s="180">
        <v>3042445.62</v>
      </c>
      <c r="O175" s="48">
        <v>0.63832032477949363</v>
      </c>
      <c r="P175" s="210">
        <f>+I175/N175-1</f>
        <v>6.1545685079491541E-3</v>
      </c>
    </row>
    <row r="176" spans="1:18" ht="14.1" customHeight="1" x14ac:dyDescent="0.25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1623817.5</v>
      </c>
      <c r="J176" s="153">
        <f>+I176/D176</f>
        <v>0.75</v>
      </c>
      <c r="K176" s="34">
        <v>1252000</v>
      </c>
      <c r="L176" s="48">
        <v>0.65375517599695054</v>
      </c>
      <c r="M176" s="210">
        <f t="shared" si="49"/>
        <v>0.72930511182108626</v>
      </c>
      <c r="N176" s="34">
        <v>1252000</v>
      </c>
      <c r="O176" s="48">
        <v>0.65375517599695054</v>
      </c>
      <c r="P176" s="210">
        <f>+I176/N176-1</f>
        <v>0.29697883386581481</v>
      </c>
    </row>
    <row r="177" spans="1:19" ht="14.1" customHeight="1" x14ac:dyDescent="0.25">
      <c r="A177" s="37" t="s">
        <v>683</v>
      </c>
      <c r="B177" s="38" t="s">
        <v>685</v>
      </c>
      <c r="C177" s="200">
        <v>7512544.6100000003</v>
      </c>
      <c r="D177" s="206">
        <v>7348611.75</v>
      </c>
      <c r="E177" s="34">
        <v>4158191.23</v>
      </c>
      <c r="F177" s="48">
        <f>+E177/D177</f>
        <v>0.5658471792308255</v>
      </c>
      <c r="G177" s="34">
        <v>2527311.3199999998</v>
      </c>
      <c r="H177" s="48">
        <f>+G177/D177</f>
        <v>0.34391683844230847</v>
      </c>
      <c r="I177" s="34">
        <v>1630880.84</v>
      </c>
      <c r="J177" s="153">
        <f>+I177/D177</f>
        <v>0.22193046734303251</v>
      </c>
      <c r="K177" s="34">
        <v>2900558.46</v>
      </c>
      <c r="L177" s="48">
        <v>0.39533422067869234</v>
      </c>
      <c r="M177" s="210">
        <f t="shared" si="49"/>
        <v>-0.12868112990903147</v>
      </c>
      <c r="N177" s="34">
        <v>2301809.58</v>
      </c>
      <c r="O177" s="48">
        <v>0.31372720426398448</v>
      </c>
      <c r="P177" s="210">
        <f>+I177/N177-1</f>
        <v>-0.29147881989438928</v>
      </c>
    </row>
    <row r="178" spans="1:19" ht="14.1" customHeight="1" x14ac:dyDescent="0.25">
      <c r="A178" s="41" t="s">
        <v>686</v>
      </c>
      <c r="B178" s="42" t="s">
        <v>687</v>
      </c>
      <c r="C178" s="200">
        <v>2743104</v>
      </c>
      <c r="D178" s="206">
        <v>5833148.3099999996</v>
      </c>
      <c r="E178" s="34">
        <v>3987597.39</v>
      </c>
      <c r="F178" s="390">
        <f>+E178/D178</f>
        <v>0.68360980693117335</v>
      </c>
      <c r="G178" s="34">
        <v>3816357.38</v>
      </c>
      <c r="H178" s="390">
        <f>+G178/D178</f>
        <v>0.65425344551200004</v>
      </c>
      <c r="I178" s="34">
        <v>3211812.62</v>
      </c>
      <c r="J178" s="392">
        <f>+I178/D178</f>
        <v>0.55061391367228929</v>
      </c>
      <c r="K178" s="34">
        <v>4842353.6500000004</v>
      </c>
      <c r="L178" s="390">
        <v>0.61717968915105337</v>
      </c>
      <c r="M178" s="516">
        <f t="shared" si="49"/>
        <v>-0.21187966517067591</v>
      </c>
      <c r="N178" s="34">
        <v>4210453.38</v>
      </c>
      <c r="O178" s="390">
        <v>0.53664116586226651</v>
      </c>
      <c r="P178" s="516">
        <f>+I178/N178-1</f>
        <v>-0.2371812890135836</v>
      </c>
    </row>
    <row r="179" spans="1:19" ht="14.4" thickBot="1" x14ac:dyDescent="0.3">
      <c r="A179" s="665" t="s">
        <v>19</v>
      </c>
      <c r="B179" s="666"/>
      <c r="C179" s="666"/>
      <c r="D179" s="666"/>
      <c r="E179" s="666"/>
      <c r="F179" s="667"/>
      <c r="G179" s="666"/>
      <c r="H179" s="667"/>
      <c r="I179" s="666"/>
      <c r="J179" s="667"/>
      <c r="K179" s="667"/>
      <c r="L179" s="667"/>
      <c r="M179" s="667"/>
      <c r="N179" s="667"/>
      <c r="O179" s="667"/>
      <c r="P179" s="667"/>
    </row>
    <row r="180" spans="1:19" ht="12.75" customHeight="1" x14ac:dyDescent="0.25">
      <c r="A180" s="765" t="s">
        <v>756</v>
      </c>
      <c r="B180" s="766"/>
      <c r="C180" s="164" t="s">
        <v>765</v>
      </c>
      <c r="D180" s="769" t="s">
        <v>782</v>
      </c>
      <c r="E180" s="770"/>
      <c r="F180" s="771"/>
      <c r="G180" s="770"/>
      <c r="H180" s="770"/>
      <c r="I180" s="770"/>
      <c r="J180" s="772"/>
      <c r="K180" s="773" t="s">
        <v>783</v>
      </c>
      <c r="L180" s="774"/>
      <c r="M180" s="774"/>
      <c r="N180" s="774"/>
      <c r="O180" s="774"/>
      <c r="P180" s="775"/>
    </row>
    <row r="181" spans="1:19" ht="14.1" customHeight="1" x14ac:dyDescent="0.25">
      <c r="A181" s="39" t="s">
        <v>688</v>
      </c>
      <c r="B181" s="40" t="s">
        <v>689</v>
      </c>
      <c r="C181" s="200">
        <v>36360668.060000002</v>
      </c>
      <c r="D181" s="534">
        <v>40237330.359999999</v>
      </c>
      <c r="E181" s="136">
        <v>27615865.460000001</v>
      </c>
      <c r="F181" s="686">
        <f>+E181/D181</f>
        <v>0.68632449551009433</v>
      </c>
      <c r="G181" s="136">
        <v>23803287.629999999</v>
      </c>
      <c r="H181" s="48">
        <f>+G181/D181</f>
        <v>0.59157223943621495</v>
      </c>
      <c r="I181" s="136">
        <v>23018763.629999999</v>
      </c>
      <c r="J181" s="153">
        <f>+I181/D181</f>
        <v>0.57207482265978049</v>
      </c>
      <c r="K181" s="180">
        <v>16308424.720000001</v>
      </c>
      <c r="L181" s="48">
        <v>0.44895044168390719</v>
      </c>
      <c r="M181" s="210">
        <f>+G181/K181-1</f>
        <v>0.45957000989854024</v>
      </c>
      <c r="N181" s="180">
        <v>15488424.720000001</v>
      </c>
      <c r="O181" s="48">
        <v>0.42637687197981844</v>
      </c>
      <c r="P181" s="210">
        <f>+I181/N181-1</f>
        <v>0.48619140074820977</v>
      </c>
      <c r="R181" s="279"/>
      <c r="S181" s="279"/>
    </row>
    <row r="182" spans="1:19" ht="14.1" customHeight="1" x14ac:dyDescent="0.25">
      <c r="A182" s="39" t="s">
        <v>690</v>
      </c>
      <c r="B182" s="40" t="s">
        <v>691</v>
      </c>
      <c r="C182" s="200">
        <v>1922280</v>
      </c>
      <c r="D182" s="535">
        <v>1922280</v>
      </c>
      <c r="E182" s="137">
        <v>1602411.47</v>
      </c>
      <c r="F182" s="280">
        <f t="shared" ref="F182:F189" si="61">+E182/D182</f>
        <v>0.83359940799467303</v>
      </c>
      <c r="G182" s="137">
        <v>1602411.47</v>
      </c>
      <c r="H182" s="280">
        <f t="shared" ref="H182:H189" si="62">+G182/D182</f>
        <v>0.83359940799467303</v>
      </c>
      <c r="I182" s="137">
        <v>112500</v>
      </c>
      <c r="J182" s="178">
        <f t="shared" ref="J182:J189" si="63">+I182/D182</f>
        <v>5.8524252450215371E-2</v>
      </c>
      <c r="K182" s="34">
        <v>129500</v>
      </c>
      <c r="L182" s="280">
        <v>0.14677880038083149</v>
      </c>
      <c r="M182" s="210">
        <f t="shared" ref="M182:M189" si="64">+G182/K182-1</f>
        <v>11.373833745173744</v>
      </c>
      <c r="N182" s="34">
        <v>129500</v>
      </c>
      <c r="O182" s="280">
        <v>0.14677880038083149</v>
      </c>
      <c r="P182" s="210">
        <f t="shared" ref="P182:P189" si="65">+I182/N182-1</f>
        <v>-0.13127413127413123</v>
      </c>
      <c r="R182" s="279"/>
      <c r="S182" s="279"/>
    </row>
    <row r="183" spans="1:19" ht="14.1" customHeight="1" x14ac:dyDescent="0.25">
      <c r="A183" s="39" t="s">
        <v>692</v>
      </c>
      <c r="B183" s="40" t="s">
        <v>693</v>
      </c>
      <c r="C183" s="200">
        <v>10510570.890000001</v>
      </c>
      <c r="D183" s="535">
        <v>12064771.609999999</v>
      </c>
      <c r="E183" s="137">
        <v>6142614.2699999996</v>
      </c>
      <c r="F183" s="280">
        <f t="shared" si="61"/>
        <v>0.50913639052301962</v>
      </c>
      <c r="G183" s="137">
        <v>6142614.2699999996</v>
      </c>
      <c r="H183" s="280">
        <f t="shared" si="62"/>
        <v>0.50913639052301962</v>
      </c>
      <c r="I183" s="137">
        <v>5853293.3700000001</v>
      </c>
      <c r="J183" s="178">
        <f t="shared" si="63"/>
        <v>0.48515575422484108</v>
      </c>
      <c r="K183" s="34">
        <v>9489313.5500000007</v>
      </c>
      <c r="L183" s="280">
        <v>0.78065552295915241</v>
      </c>
      <c r="M183" s="210">
        <f t="shared" si="64"/>
        <v>-0.3526808617257674</v>
      </c>
      <c r="N183" s="34">
        <v>9360093.3699999992</v>
      </c>
      <c r="O183" s="280">
        <v>0.77002499139717484</v>
      </c>
      <c r="P183" s="210">
        <f t="shared" si="65"/>
        <v>-0.37465438232054726</v>
      </c>
      <c r="R183" s="279"/>
      <c r="S183" s="279"/>
    </row>
    <row r="184" spans="1:19" ht="14.1" customHeight="1" x14ac:dyDescent="0.25">
      <c r="A184" s="39" t="s">
        <v>694</v>
      </c>
      <c r="B184" s="40" t="s">
        <v>695</v>
      </c>
      <c r="C184" s="200">
        <v>1031566.99</v>
      </c>
      <c r="D184" s="535">
        <v>1171983.49</v>
      </c>
      <c r="E184" s="137">
        <v>797341.84</v>
      </c>
      <c r="F184" s="390">
        <f t="shared" si="61"/>
        <v>0.68033538595326115</v>
      </c>
      <c r="G184" s="137">
        <v>549905.30000000005</v>
      </c>
      <c r="H184" s="280">
        <f t="shared" si="62"/>
        <v>0.4692090841655116</v>
      </c>
      <c r="I184" s="137">
        <v>339514.12</v>
      </c>
      <c r="J184" s="178">
        <f>+I184/D184</f>
        <v>0.28969189659830447</v>
      </c>
      <c r="K184" s="34">
        <v>630564.82999999996</v>
      </c>
      <c r="L184" s="280">
        <v>0.56617372266876453</v>
      </c>
      <c r="M184" s="210">
        <f t="shared" si="64"/>
        <v>-0.12791631591631891</v>
      </c>
      <c r="N184" s="34">
        <v>245281.95</v>
      </c>
      <c r="O184" s="280">
        <v>0.22023460257838007</v>
      </c>
      <c r="P184" s="210">
        <f t="shared" si="65"/>
        <v>0.38417898259533567</v>
      </c>
      <c r="R184" s="279"/>
      <c r="S184" s="279"/>
    </row>
    <row r="185" spans="1:19" ht="14.1" customHeight="1" x14ac:dyDescent="0.25">
      <c r="A185" s="39" t="s">
        <v>696</v>
      </c>
      <c r="B185" s="40" t="s">
        <v>697</v>
      </c>
      <c r="C185" s="200">
        <v>4649794.68</v>
      </c>
      <c r="D185" s="535">
        <v>5433609.5800000001</v>
      </c>
      <c r="E185" s="133">
        <v>2916958.32</v>
      </c>
      <c r="F185" s="390">
        <f t="shared" si="61"/>
        <v>0.5368362001452448</v>
      </c>
      <c r="G185" s="675">
        <v>1916204.34</v>
      </c>
      <c r="H185" s="280">
        <f t="shared" si="62"/>
        <v>0.35265771524202888</v>
      </c>
      <c r="I185" s="675">
        <v>530178.85</v>
      </c>
      <c r="J185" s="178">
        <f>+I185/D185</f>
        <v>9.7573968499959834E-2</v>
      </c>
      <c r="K185" s="675">
        <v>676577.2</v>
      </c>
      <c r="L185" s="418">
        <v>0.1691443</v>
      </c>
      <c r="M185" s="210">
        <f t="shared" si="64"/>
        <v>1.8322035386353548</v>
      </c>
      <c r="N185" s="675">
        <v>476728.62</v>
      </c>
      <c r="O185" s="418">
        <v>0.119182155</v>
      </c>
      <c r="P185" s="210">
        <f t="shared" si="65"/>
        <v>0.11211877734548437</v>
      </c>
      <c r="R185" s="279"/>
      <c r="S185" s="279"/>
    </row>
    <row r="186" spans="1:19" ht="14.1" customHeight="1" x14ac:dyDescent="0.25">
      <c r="A186" s="39" t="s">
        <v>698</v>
      </c>
      <c r="B186" s="40" t="s">
        <v>700</v>
      </c>
      <c r="C186" s="200">
        <v>136713543.02000001</v>
      </c>
      <c r="D186" s="535">
        <v>137185641.09999999</v>
      </c>
      <c r="E186" s="137">
        <v>112255416.90000001</v>
      </c>
      <c r="F186" s="280">
        <f t="shared" si="61"/>
        <v>0.81827380766601243</v>
      </c>
      <c r="G186" s="137">
        <v>112255416.90000001</v>
      </c>
      <c r="H186" s="280">
        <f t="shared" si="62"/>
        <v>0.81827380766601243</v>
      </c>
      <c r="I186" s="137">
        <v>81588500.189999998</v>
      </c>
      <c r="J186" s="178">
        <f t="shared" si="63"/>
        <v>0.59473061127823823</v>
      </c>
      <c r="K186" s="34">
        <v>110924325</v>
      </c>
      <c r="L186" s="280">
        <v>0.83941589547272522</v>
      </c>
      <c r="M186" s="210">
        <f t="shared" si="64"/>
        <v>1.2000000000000011E-2</v>
      </c>
      <c r="N186" s="34">
        <v>96706164.079999998</v>
      </c>
      <c r="O186" s="280">
        <v>0.73182046696200764</v>
      </c>
      <c r="P186" s="210">
        <f t="shared" si="65"/>
        <v>-0.15632575269446047</v>
      </c>
      <c r="R186" s="279"/>
      <c r="S186" s="279"/>
    </row>
    <row r="187" spans="1:19" ht="14.1" customHeight="1" x14ac:dyDescent="0.25">
      <c r="A187" s="39" t="s">
        <v>699</v>
      </c>
      <c r="B187" s="40" t="s">
        <v>701</v>
      </c>
      <c r="C187" s="200">
        <v>16809054</v>
      </c>
      <c r="D187" s="535">
        <v>15734854</v>
      </c>
      <c r="E187" s="137">
        <v>14327012</v>
      </c>
      <c r="F187" s="280">
        <f t="shared" si="61"/>
        <v>0.91052716472615502</v>
      </c>
      <c r="G187" s="137">
        <v>14327012</v>
      </c>
      <c r="H187" s="280">
        <f t="shared" si="62"/>
        <v>0.91052716472615502</v>
      </c>
      <c r="I187" s="137">
        <v>7744750.4800000004</v>
      </c>
      <c r="J187" s="178">
        <f t="shared" si="63"/>
        <v>0.49220351710921501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9205263.1999999993</v>
      </c>
      <c r="O187" s="280">
        <v>0.54763719600163097</v>
      </c>
      <c r="P187" s="210">
        <f t="shared" si="65"/>
        <v>-0.15866061494037442</v>
      </c>
      <c r="R187" s="279"/>
      <c r="S187" s="279"/>
    </row>
    <row r="188" spans="1:19" ht="14.1" customHeight="1" x14ac:dyDescent="0.25">
      <c r="A188" s="39">
        <v>4911</v>
      </c>
      <c r="B188" s="40" t="s">
        <v>702</v>
      </c>
      <c r="C188" s="200">
        <v>16869480</v>
      </c>
      <c r="D188" s="535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10650000</v>
      </c>
      <c r="J188" s="178">
        <f t="shared" si="63"/>
        <v>0.6313176221199468</v>
      </c>
      <c r="K188" s="34">
        <v>15669752</v>
      </c>
      <c r="L188" s="280">
        <v>1</v>
      </c>
      <c r="M188" s="210">
        <f t="shared" si="64"/>
        <v>7.6563304894678552E-2</v>
      </c>
      <c r="N188" s="34">
        <v>7900000</v>
      </c>
      <c r="O188" s="280">
        <v>0.50415603259068809</v>
      </c>
      <c r="P188" s="210">
        <f t="shared" si="65"/>
        <v>0.34810126582278489</v>
      </c>
      <c r="R188" s="279"/>
      <c r="S188" s="279"/>
    </row>
    <row r="189" spans="1:19" ht="14.1" customHeight="1" x14ac:dyDescent="0.25">
      <c r="A189" s="41" t="s">
        <v>703</v>
      </c>
      <c r="B189" s="42" t="s">
        <v>704</v>
      </c>
      <c r="C189" s="200">
        <v>1548192.01</v>
      </c>
      <c r="D189" s="535">
        <v>1470667.36</v>
      </c>
      <c r="E189" s="137">
        <v>1032886.47</v>
      </c>
      <c r="F189" s="390">
        <f t="shared" si="61"/>
        <v>0.70232501114324042</v>
      </c>
      <c r="G189" s="137">
        <v>839530.57</v>
      </c>
      <c r="H189" s="390">
        <f t="shared" si="62"/>
        <v>0.57085007312598535</v>
      </c>
      <c r="I189" s="137">
        <v>786084.39</v>
      </c>
      <c r="J189" s="392">
        <f t="shared" si="63"/>
        <v>0.53450862607027594</v>
      </c>
      <c r="K189" s="34">
        <v>999628.55</v>
      </c>
      <c r="L189" s="412">
        <v>0.57784273075356851</v>
      </c>
      <c r="M189" s="210">
        <f t="shared" si="64"/>
        <v>-0.16015747049241447</v>
      </c>
      <c r="N189" s="34">
        <v>954845.97</v>
      </c>
      <c r="O189" s="412">
        <v>0.55195582674568455</v>
      </c>
      <c r="P189" s="210">
        <f t="shared" si="65"/>
        <v>-0.1767422027240686</v>
      </c>
    </row>
    <row r="190" spans="1:19" ht="14.1" customHeight="1" x14ac:dyDescent="0.25">
      <c r="A190" s="527">
        <v>4</v>
      </c>
      <c r="B190" s="2" t="s">
        <v>123</v>
      </c>
      <c r="C190" s="201">
        <f>SUM(C175:C189)</f>
        <v>243419137.23000002</v>
      </c>
      <c r="D190" s="207">
        <f>SUM(D175:D189)</f>
        <v>252676611.31</v>
      </c>
      <c r="E190" s="203">
        <f>SUM(E175:E189)</f>
        <v>197046360.45000002</v>
      </c>
      <c r="F190" s="90">
        <f>+E190/D190</f>
        <v>0.77983616856508653</v>
      </c>
      <c r="G190" s="203">
        <f>SUM(G175:G189)</f>
        <v>189901423.92000002</v>
      </c>
      <c r="H190" s="90">
        <f>+G190/D190</f>
        <v>0.7515591685967985</v>
      </c>
      <c r="I190" s="203">
        <f>SUM(I175:I189)</f>
        <v>140151266.54999998</v>
      </c>
      <c r="J190" s="170">
        <f>+I190/D190</f>
        <v>0.55466655905897577</v>
      </c>
      <c r="K190" s="562">
        <f>SUM(K175:K189)</f>
        <v>183704800.06999999</v>
      </c>
      <c r="L190" s="90">
        <v>0.75665636358668575</v>
      </c>
      <c r="M190" s="623">
        <f t="shared" si="49"/>
        <v>3.3731420450847427E-2</v>
      </c>
      <c r="N190" s="562">
        <f>SUM(N175:N189)</f>
        <v>151273010.48999998</v>
      </c>
      <c r="O190" s="90">
        <v>0.62307400776985022</v>
      </c>
      <c r="P190" s="213">
        <f t="shared" si="60"/>
        <v>-7.3521006185933047E-2</v>
      </c>
    </row>
    <row r="191" spans="1:19" ht="14.1" customHeight="1" x14ac:dyDescent="0.25">
      <c r="A191" s="37" t="s">
        <v>705</v>
      </c>
      <c r="B191" s="38" t="s">
        <v>113</v>
      </c>
      <c r="C191" s="670">
        <v>22797084.350000001</v>
      </c>
      <c r="D191" s="190">
        <v>23207316.52</v>
      </c>
      <c r="E191" s="82">
        <v>16282043.220000001</v>
      </c>
      <c r="F191" s="414">
        <f>+E191/D191</f>
        <v>0.70159094895647167</v>
      </c>
      <c r="G191" s="82">
        <v>15757043.220000001</v>
      </c>
      <c r="H191" s="414">
        <f>+G191/D191</f>
        <v>0.67896877290489943</v>
      </c>
      <c r="I191" s="82">
        <v>15082569.91</v>
      </c>
      <c r="J191" s="431">
        <f>+I191/D191</f>
        <v>0.64990581297936301</v>
      </c>
      <c r="K191" s="472">
        <v>16153474.779999999</v>
      </c>
      <c r="L191" s="414">
        <v>0.70994680524458487</v>
      </c>
      <c r="M191" s="585">
        <f t="shared" si="49"/>
        <v>-2.4541565539250465E-2</v>
      </c>
      <c r="N191" s="472">
        <v>15453337.859999999</v>
      </c>
      <c r="O191" s="414">
        <v>0.67917571875344762</v>
      </c>
      <c r="P191" s="585">
        <f t="shared" ref="P191:P196" si="66">+I191/N191-1</f>
        <v>-2.3992742109114729E-2</v>
      </c>
    </row>
    <row r="192" spans="1:19" ht="14.1" customHeight="1" x14ac:dyDescent="0.25">
      <c r="A192" s="37" t="s">
        <v>706</v>
      </c>
      <c r="B192" s="38" t="s">
        <v>707</v>
      </c>
      <c r="C192" s="525">
        <v>7386447.1399999997</v>
      </c>
      <c r="D192" s="534">
        <v>7146896.0199999996</v>
      </c>
      <c r="E192" s="56">
        <v>4516955.8499999996</v>
      </c>
      <c r="F192" s="48">
        <f t="shared" ref="F192:F210" si="67">+E192/D192</f>
        <v>0.63201644984895133</v>
      </c>
      <c r="G192" s="56">
        <v>3933030.96</v>
      </c>
      <c r="H192" s="414">
        <f t="shared" ref="H192:H210" si="68">+G192/D192</f>
        <v>0.55031316378379325</v>
      </c>
      <c r="I192" s="56">
        <v>3639214.31</v>
      </c>
      <c r="J192" s="431">
        <f t="shared" ref="J192:J210" si="69">+I192/D192</f>
        <v>0.50920207875082535</v>
      </c>
      <c r="K192" s="180">
        <v>5116106.34</v>
      </c>
      <c r="L192" s="48">
        <v>0.63776874306905262</v>
      </c>
      <c r="M192" s="210">
        <f t="shared" si="49"/>
        <v>-0.23124526766580067</v>
      </c>
      <c r="N192" s="180">
        <v>4854507.6100000003</v>
      </c>
      <c r="O192" s="48">
        <v>0.60515810479593179</v>
      </c>
      <c r="P192" s="210">
        <f t="shared" si="66"/>
        <v>-0.25034326807863427</v>
      </c>
    </row>
    <row r="193" spans="1:21" ht="14.1" customHeight="1" x14ac:dyDescent="0.25">
      <c r="A193" s="39" t="s">
        <v>708</v>
      </c>
      <c r="B193" s="40" t="s">
        <v>709</v>
      </c>
      <c r="C193" s="200">
        <v>51339420.009999998</v>
      </c>
      <c r="D193" s="535">
        <v>49839289.119999997</v>
      </c>
      <c r="E193" s="137">
        <v>35160980.490000002</v>
      </c>
      <c r="F193" s="48">
        <f t="shared" si="67"/>
        <v>0.70548719917215397</v>
      </c>
      <c r="G193" s="137">
        <v>32589320.68</v>
      </c>
      <c r="H193" s="414">
        <f t="shared" si="68"/>
        <v>0.65388815240790099</v>
      </c>
      <c r="I193" s="137">
        <v>26670341.469999999</v>
      </c>
      <c r="J193" s="431">
        <f t="shared" si="69"/>
        <v>0.53512684351867013</v>
      </c>
      <c r="K193" s="34">
        <v>33720052.530000001</v>
      </c>
      <c r="L193" s="280">
        <v>0.63140101215267097</v>
      </c>
      <c r="M193" s="211">
        <f t="shared" si="49"/>
        <v>-3.3532920774486108E-2</v>
      </c>
      <c r="N193" s="34">
        <v>28694234.460000001</v>
      </c>
      <c r="O193" s="280">
        <v>0.5372936078575572</v>
      </c>
      <c r="P193" s="211">
        <f t="shared" si="66"/>
        <v>-7.05330888970509E-2</v>
      </c>
    </row>
    <row r="194" spans="1:21" ht="14.1" customHeight="1" x14ac:dyDescent="0.25">
      <c r="A194" s="39" t="s">
        <v>710</v>
      </c>
      <c r="B194" s="40" t="s">
        <v>711</v>
      </c>
      <c r="C194" s="200">
        <v>877692.04</v>
      </c>
      <c r="D194" s="535">
        <v>884664.91</v>
      </c>
      <c r="E194" s="137">
        <v>603709.63</v>
      </c>
      <c r="F194" s="48">
        <f t="shared" si="67"/>
        <v>0.68241615913080578</v>
      </c>
      <c r="G194" s="137">
        <v>595312.36</v>
      </c>
      <c r="H194" s="414">
        <f t="shared" si="68"/>
        <v>0.67292412445747396</v>
      </c>
      <c r="I194" s="137">
        <v>582424.75</v>
      </c>
      <c r="J194" s="431">
        <f t="shared" si="69"/>
        <v>0.65835633742950195</v>
      </c>
      <c r="K194" s="34">
        <v>666331.37</v>
      </c>
      <c r="L194" s="280">
        <v>0.70757762652066802</v>
      </c>
      <c r="M194" s="211">
        <f t="shared" si="49"/>
        <v>-0.10658211994431543</v>
      </c>
      <c r="N194" s="34">
        <v>643353.31999999995</v>
      </c>
      <c r="O194" s="280">
        <v>0.68317722333827957</v>
      </c>
      <c r="P194" s="211">
        <f t="shared" si="66"/>
        <v>-9.4704679537520597E-2</v>
      </c>
    </row>
    <row r="195" spans="1:21" ht="14.1" customHeight="1" x14ac:dyDescent="0.25">
      <c r="A195" s="39" t="s">
        <v>712</v>
      </c>
      <c r="B195" s="40" t="s">
        <v>713</v>
      </c>
      <c r="C195" s="200">
        <v>4144550.55</v>
      </c>
      <c r="D195" s="535">
        <v>4318955.24</v>
      </c>
      <c r="E195" s="137">
        <v>3169572.92</v>
      </c>
      <c r="F195" s="48">
        <f t="shared" si="67"/>
        <v>0.73387491739784727</v>
      </c>
      <c r="G195" s="137">
        <v>2950128.55</v>
      </c>
      <c r="H195" s="414">
        <f t="shared" si="68"/>
        <v>0.68306532160310129</v>
      </c>
      <c r="I195" s="137">
        <v>2550521.64</v>
      </c>
      <c r="J195" s="431">
        <f t="shared" si="69"/>
        <v>0.59054134582788587</v>
      </c>
      <c r="K195" s="34">
        <v>3230743.65</v>
      </c>
      <c r="L195" s="280">
        <v>0.70320577795008765</v>
      </c>
      <c r="M195" s="211">
        <f t="shared" si="49"/>
        <v>-8.6857742489101608E-2</v>
      </c>
      <c r="N195" s="34">
        <v>2853565.16</v>
      </c>
      <c r="O195" s="280">
        <v>0.6211088608868941</v>
      </c>
      <c r="P195" s="211">
        <f t="shared" si="66"/>
        <v>-0.10619821276483488</v>
      </c>
    </row>
    <row r="196" spans="1:21" ht="14.1" customHeight="1" x14ac:dyDescent="0.25">
      <c r="A196" s="39" t="s">
        <v>714</v>
      </c>
      <c r="B196" s="40" t="s">
        <v>715</v>
      </c>
      <c r="C196" s="200">
        <v>7218581.6100000003</v>
      </c>
      <c r="D196" s="535">
        <v>7260705.21</v>
      </c>
      <c r="E196" s="137">
        <v>5534112.0800000001</v>
      </c>
      <c r="F196" s="48">
        <f t="shared" si="67"/>
        <v>0.76220035381384121</v>
      </c>
      <c r="G196" s="137">
        <v>5170633.22</v>
      </c>
      <c r="H196" s="414">
        <f t="shared" si="68"/>
        <v>0.71213925788897303</v>
      </c>
      <c r="I196" s="137">
        <v>4682932.3600000003</v>
      </c>
      <c r="J196" s="431">
        <f t="shared" si="69"/>
        <v>0.64496935553178869</v>
      </c>
      <c r="K196" s="34">
        <v>4397259.41</v>
      </c>
      <c r="L196" s="280">
        <v>0.58517508755137448</v>
      </c>
      <c r="M196" s="211">
        <f>+G196/K196-1</f>
        <v>0.1758763215654815</v>
      </c>
      <c r="N196" s="34">
        <v>4219793.66</v>
      </c>
      <c r="O196" s="280">
        <v>0.56155843769954772</v>
      </c>
      <c r="P196" s="211">
        <f t="shared" si="66"/>
        <v>0.10975387360527966</v>
      </c>
      <c r="T196" s="254"/>
      <c r="U196" s="254"/>
    </row>
    <row r="197" spans="1:21" ht="14.1" customHeight="1" x14ac:dyDescent="0.25">
      <c r="A197" s="39" t="s">
        <v>716</v>
      </c>
      <c r="B197" s="40" t="s">
        <v>717</v>
      </c>
      <c r="C197" s="200">
        <v>1128377.3799999999</v>
      </c>
      <c r="D197" s="535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718</v>
      </c>
      <c r="B198" s="40" t="s">
        <v>719</v>
      </c>
      <c r="C198" s="200">
        <v>2204546.69</v>
      </c>
      <c r="D198" s="535">
        <v>2409129.67</v>
      </c>
      <c r="E198" s="137">
        <v>1726480.71</v>
      </c>
      <c r="F198" s="48">
        <f t="shared" si="67"/>
        <v>0.71664083984321192</v>
      </c>
      <c r="G198" s="137">
        <v>1628948.21</v>
      </c>
      <c r="H198" s="414">
        <f t="shared" si="68"/>
        <v>0.67615630253725612</v>
      </c>
      <c r="I198" s="137">
        <v>1523728.2</v>
      </c>
      <c r="J198" s="431">
        <f t="shared" si="69"/>
        <v>0.63248077468573949</v>
      </c>
      <c r="K198" s="34">
        <v>1668053.31</v>
      </c>
      <c r="L198" s="280">
        <v>0.6977673396941857</v>
      </c>
      <c r="M198" s="211">
        <f t="shared" si="49"/>
        <v>-2.3443555290208362E-2</v>
      </c>
      <c r="N198" s="34">
        <v>1514211.64</v>
      </c>
      <c r="O198" s="280">
        <v>0.63341346553052913</v>
      </c>
      <c r="P198" s="211">
        <f>+I198/N198-1</f>
        <v>6.2848281895389047E-3</v>
      </c>
      <c r="T198" s="254"/>
      <c r="U198" s="254"/>
    </row>
    <row r="199" spans="1:21" ht="14.1" customHeight="1" x14ac:dyDescent="0.25">
      <c r="A199" s="39" t="s">
        <v>720</v>
      </c>
      <c r="B199" s="42" t="s">
        <v>721</v>
      </c>
      <c r="C199" s="200">
        <v>14812972.529999999</v>
      </c>
      <c r="D199" s="535">
        <v>14016033.23</v>
      </c>
      <c r="E199" s="137">
        <v>11090981.1</v>
      </c>
      <c r="F199" s="48">
        <f t="shared" si="67"/>
        <v>0.79130670696904448</v>
      </c>
      <c r="G199" s="137">
        <v>9937894.1999999993</v>
      </c>
      <c r="H199" s="414">
        <f t="shared" si="68"/>
        <v>0.70903757410683588</v>
      </c>
      <c r="I199" s="137">
        <v>7515320.6299999999</v>
      </c>
      <c r="J199" s="431">
        <f t="shared" si="69"/>
        <v>0.53619454996112337</v>
      </c>
      <c r="K199" s="34">
        <v>9146487.3000000007</v>
      </c>
      <c r="L199" s="390">
        <v>0.63116119702216511</v>
      </c>
      <c r="M199" s="516">
        <f t="shared" si="49"/>
        <v>8.6525774763826391E-2</v>
      </c>
      <c r="N199" s="34">
        <v>7366924.5599999996</v>
      </c>
      <c r="O199" s="390">
        <v>0.50836094460674386</v>
      </c>
      <c r="P199" s="516">
        <f>+I199/N199-1</f>
        <v>2.0143557707342774E-2</v>
      </c>
      <c r="T199" s="254"/>
      <c r="U199" s="254"/>
    </row>
    <row r="200" spans="1:21" ht="14.1" customHeight="1" x14ac:dyDescent="0.25">
      <c r="A200" s="39" t="s">
        <v>722</v>
      </c>
      <c r="B200" s="671" t="s">
        <v>723</v>
      </c>
      <c r="C200" s="672">
        <v>871764.12</v>
      </c>
      <c r="D200" s="535">
        <v>943301.14</v>
      </c>
      <c r="E200" s="137">
        <v>61187.46</v>
      </c>
      <c r="F200" s="48">
        <f t="shared" si="67"/>
        <v>6.4865245471875499E-2</v>
      </c>
      <c r="G200" s="675">
        <v>46126.97</v>
      </c>
      <c r="H200" s="414">
        <f t="shared" si="68"/>
        <v>4.8899516860543599E-2</v>
      </c>
      <c r="I200" s="675">
        <v>46126.97</v>
      </c>
      <c r="J200" s="431">
        <f t="shared" si="69"/>
        <v>4.8899516860543599E-2</v>
      </c>
      <c r="K200" s="675">
        <v>380000</v>
      </c>
      <c r="L200" s="668">
        <v>1</v>
      </c>
      <c r="M200" s="673" t="s">
        <v>129</v>
      </c>
      <c r="N200" s="669">
        <v>380000</v>
      </c>
      <c r="O200" s="668">
        <v>1</v>
      </c>
      <c r="P200" s="673" t="s">
        <v>129</v>
      </c>
      <c r="T200" s="254"/>
      <c r="U200" s="254"/>
    </row>
    <row r="201" spans="1:21" ht="14.1" customHeight="1" x14ac:dyDescent="0.25">
      <c r="A201" s="39" t="s">
        <v>724</v>
      </c>
      <c r="B201" s="40" t="s">
        <v>725</v>
      </c>
      <c r="C201" s="200">
        <v>16719312.35</v>
      </c>
      <c r="D201" s="535">
        <v>17223968.010000002</v>
      </c>
      <c r="E201" s="137">
        <v>14079860.74</v>
      </c>
      <c r="F201" s="48">
        <f t="shared" si="67"/>
        <v>0.81745743674311433</v>
      </c>
      <c r="G201" s="137">
        <v>14046135.560000001</v>
      </c>
      <c r="H201" s="414">
        <f t="shared" si="68"/>
        <v>0.81549939896805457</v>
      </c>
      <c r="I201" s="137">
        <v>9781329.3800000008</v>
      </c>
      <c r="J201" s="431">
        <f t="shared" si="69"/>
        <v>0.56789059143172438</v>
      </c>
      <c r="K201" s="34">
        <v>12701971.68</v>
      </c>
      <c r="L201" s="280">
        <v>0.75515350656719837</v>
      </c>
      <c r="M201" s="211">
        <f>+G201/K201-1</f>
        <v>0.10582324648987096</v>
      </c>
      <c r="N201" s="34">
        <v>9943090.8699999992</v>
      </c>
      <c r="O201" s="280">
        <v>0.59113341816211595</v>
      </c>
      <c r="P201" s="211">
        <f>+I201/N201-1</f>
        <v>-1.6268732943803266E-2</v>
      </c>
      <c r="T201" s="254"/>
      <c r="U201" s="254"/>
    </row>
    <row r="202" spans="1:21" ht="14.1" customHeight="1" x14ac:dyDescent="0.25">
      <c r="A202" s="39" t="s">
        <v>726</v>
      </c>
      <c r="B202" s="40" t="s">
        <v>727</v>
      </c>
      <c r="C202" s="200">
        <v>22448323.75</v>
      </c>
      <c r="D202" s="535">
        <v>21798881.219999999</v>
      </c>
      <c r="E202" s="137">
        <v>19825242.780000001</v>
      </c>
      <c r="F202" s="48">
        <f t="shared" si="67"/>
        <v>0.90946148015205353</v>
      </c>
      <c r="G202" s="137">
        <v>15307086.34</v>
      </c>
      <c r="H202" s="414">
        <f t="shared" si="68"/>
        <v>0.70219596067875634</v>
      </c>
      <c r="I202" s="137">
        <v>9726276.2100000009</v>
      </c>
      <c r="J202" s="431">
        <f t="shared" si="69"/>
        <v>0.44618235733475875</v>
      </c>
      <c r="K202" s="34">
        <v>11340914.109999999</v>
      </c>
      <c r="L202" s="280">
        <v>0.50097789673550697</v>
      </c>
      <c r="M202" s="211">
        <f>+G202/K202-1</f>
        <v>0.34972244666792562</v>
      </c>
      <c r="N202" s="34">
        <v>7167811.2599999998</v>
      </c>
      <c r="O202" s="280">
        <v>0.31663364825817242</v>
      </c>
      <c r="P202" s="211">
        <f>+I202/N202-1</f>
        <v>0.35693810246895374</v>
      </c>
      <c r="T202" s="254"/>
      <c r="U202" s="254"/>
    </row>
    <row r="203" spans="1:21" ht="14.1" customHeight="1" x14ac:dyDescent="0.25">
      <c r="A203" s="39" t="s">
        <v>728</v>
      </c>
      <c r="B203" s="40" t="s">
        <v>729</v>
      </c>
      <c r="C203" s="200">
        <v>42228054.409999996</v>
      </c>
      <c r="D203" s="535">
        <v>49421625.579999998</v>
      </c>
      <c r="E203" s="137">
        <v>46684760.880000003</v>
      </c>
      <c r="F203" s="48">
        <f t="shared" si="67"/>
        <v>0.94462212305077331</v>
      </c>
      <c r="G203" s="137">
        <v>46242295.340000004</v>
      </c>
      <c r="H203" s="414">
        <f t="shared" si="68"/>
        <v>0.93566924999556045</v>
      </c>
      <c r="I203" s="137">
        <v>36455235.189999998</v>
      </c>
      <c r="J203" s="431">
        <f t="shared" si="69"/>
        <v>0.73763731488331996</v>
      </c>
      <c r="K203" s="34">
        <v>34321950.149999999</v>
      </c>
      <c r="L203" s="280">
        <v>0.87033515855845844</v>
      </c>
      <c r="M203" s="211">
        <f>+G203/K203-1</f>
        <v>0.3473096702810754</v>
      </c>
      <c r="N203" s="34">
        <v>24539825.399999999</v>
      </c>
      <c r="O203" s="280">
        <v>0.62228028236052568</v>
      </c>
      <c r="P203" s="211">
        <f>+I203/N203-1</f>
        <v>0.48555397586488125</v>
      </c>
    </row>
    <row r="204" spans="1:21" ht="14.1" customHeight="1" x14ac:dyDescent="0.25">
      <c r="A204" s="39" t="s">
        <v>730</v>
      </c>
      <c r="B204" s="40" t="s">
        <v>731</v>
      </c>
      <c r="C204" s="200">
        <v>13647818.9</v>
      </c>
      <c r="D204" s="535">
        <v>6908292.3700000001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732</v>
      </c>
      <c r="B205" s="40" t="s">
        <v>733</v>
      </c>
      <c r="C205" s="200">
        <v>30916505.399999999</v>
      </c>
      <c r="D205" s="535">
        <v>12025614.550000001</v>
      </c>
      <c r="E205" s="137">
        <v>11528.1</v>
      </c>
      <c r="F205" s="48">
        <f t="shared" si="67"/>
        <v>9.5862876296829249E-4</v>
      </c>
      <c r="G205" s="137">
        <v>11528.1</v>
      </c>
      <c r="H205" s="414">
        <f t="shared" si="68"/>
        <v>9.5862876296829249E-4</v>
      </c>
      <c r="I205" s="137">
        <v>11528.1</v>
      </c>
      <c r="J205" s="431">
        <f t="shared" si="69"/>
        <v>9.5862876296829249E-4</v>
      </c>
      <c r="K205" s="34">
        <v>9410582.3200000003</v>
      </c>
      <c r="L205" s="280">
        <v>0.16841847591205167</v>
      </c>
      <c r="M205" s="211">
        <f t="shared" ref="M205:M210" si="70">+G205/K205-1</f>
        <v>-0.99877498547826316</v>
      </c>
      <c r="N205" s="34">
        <v>9410582.3200000003</v>
      </c>
      <c r="O205" s="280">
        <v>0.16841847591205167</v>
      </c>
      <c r="P205" s="211">
        <f>+I205/N205-1</f>
        <v>-0.99877498547826316</v>
      </c>
    </row>
    <row r="206" spans="1:21" ht="14.1" customHeight="1" x14ac:dyDescent="0.25">
      <c r="A206" s="253">
        <v>9311</v>
      </c>
      <c r="B206" s="40" t="s">
        <v>734</v>
      </c>
      <c r="C206" s="200">
        <v>5805408.6299999999</v>
      </c>
      <c r="D206" s="535">
        <v>5750047.5999999996</v>
      </c>
      <c r="E206" s="137">
        <v>4172522.75</v>
      </c>
      <c r="F206" s="48">
        <f t="shared" si="67"/>
        <v>0.72565012331376189</v>
      </c>
      <c r="G206" s="137">
        <v>4094092.39</v>
      </c>
      <c r="H206" s="414">
        <f t="shared" si="68"/>
        <v>0.71201017362012797</v>
      </c>
      <c r="I206" s="137">
        <v>3824753.04</v>
      </c>
      <c r="J206" s="431">
        <f t="shared" si="69"/>
        <v>0.66516893529716181</v>
      </c>
      <c r="K206" s="34">
        <v>3357166.25</v>
      </c>
      <c r="L206" s="280">
        <v>0.69287382018430166</v>
      </c>
      <c r="M206" s="211">
        <f t="shared" si="70"/>
        <v>0.21950838448944854</v>
      </c>
      <c r="N206" s="34">
        <v>3054361.55</v>
      </c>
      <c r="O206" s="280">
        <v>0.63037901544868225</v>
      </c>
      <c r="P206" s="211">
        <f t="shared" ref="P206:P210" si="71">+I206/N206-1</f>
        <v>0.25222668547539828</v>
      </c>
    </row>
    <row r="207" spans="1:21" ht="14.1" customHeight="1" x14ac:dyDescent="0.25">
      <c r="A207" s="39" t="s">
        <v>735</v>
      </c>
      <c r="B207" s="40" t="s">
        <v>736</v>
      </c>
      <c r="C207" s="200">
        <v>28425422.43</v>
      </c>
      <c r="D207" s="535">
        <v>28629129.52</v>
      </c>
      <c r="E207" s="137">
        <v>26846896.149999999</v>
      </c>
      <c r="F207" s="48">
        <f t="shared" si="67"/>
        <v>0.93774755293363177</v>
      </c>
      <c r="G207" s="137">
        <v>26761191.100000001</v>
      </c>
      <c r="H207" s="414">
        <f t="shared" si="68"/>
        <v>0.93475392192085072</v>
      </c>
      <c r="I207" s="137">
        <v>16265792.48</v>
      </c>
      <c r="J207" s="431">
        <f t="shared" si="69"/>
        <v>0.56815532825183857</v>
      </c>
      <c r="K207" s="34">
        <v>27675617.390000001</v>
      </c>
      <c r="L207" s="280">
        <v>0.97594605305539317</v>
      </c>
      <c r="M207" s="211">
        <f t="shared" si="70"/>
        <v>-3.3040863266537546E-2</v>
      </c>
      <c r="N207" s="34">
        <v>19187172.09</v>
      </c>
      <c r="O207" s="280">
        <v>0.67661164000974428</v>
      </c>
      <c r="P207" s="211">
        <f t="shared" si="71"/>
        <v>-0.15225691395776708</v>
      </c>
    </row>
    <row r="208" spans="1:21" ht="14.1" customHeight="1" x14ac:dyDescent="0.25">
      <c r="A208" s="39" t="s">
        <v>737</v>
      </c>
      <c r="B208" s="40" t="s">
        <v>738</v>
      </c>
      <c r="C208" s="200">
        <v>68365574.019999996</v>
      </c>
      <c r="D208" s="535">
        <v>71880079.299999997</v>
      </c>
      <c r="E208" s="137">
        <v>63606127.119999997</v>
      </c>
      <c r="F208" s="48">
        <f t="shared" si="67"/>
        <v>0.88489227807515791</v>
      </c>
      <c r="G208" s="137">
        <v>60919742.270000003</v>
      </c>
      <c r="H208" s="414">
        <f t="shared" si="68"/>
        <v>0.84751912996289647</v>
      </c>
      <c r="I208" s="137">
        <v>31557158.129999999</v>
      </c>
      <c r="J208" s="431">
        <f t="shared" si="69"/>
        <v>0.43902508785907807</v>
      </c>
      <c r="K208" s="34">
        <v>61723760.82</v>
      </c>
      <c r="L208" s="280">
        <v>0.89009992288715978</v>
      </c>
      <c r="M208" s="211">
        <f t="shared" si="70"/>
        <v>-1.3026078439139388E-2</v>
      </c>
      <c r="N208" s="34">
        <v>31378344.890000001</v>
      </c>
      <c r="O208" s="280">
        <v>0.45249774148346689</v>
      </c>
      <c r="P208" s="211">
        <f t="shared" si="71"/>
        <v>5.69861924288384E-3</v>
      </c>
    </row>
    <row r="209" spans="1:19" ht="14.1" customHeight="1" x14ac:dyDescent="0.25">
      <c r="A209" s="39" t="s">
        <v>739</v>
      </c>
      <c r="B209" s="40" t="s">
        <v>117</v>
      </c>
      <c r="C209" s="200">
        <v>799840.54</v>
      </c>
      <c r="D209" s="535">
        <v>801333.05</v>
      </c>
      <c r="E209" s="137">
        <v>535531.34</v>
      </c>
      <c r="F209" s="48">
        <f t="shared" si="67"/>
        <v>0.66830057739413085</v>
      </c>
      <c r="G209" s="137">
        <v>535531.34</v>
      </c>
      <c r="H209" s="414">
        <f t="shared" si="68"/>
        <v>0.66830057739413085</v>
      </c>
      <c r="I209" s="137">
        <v>535531.34</v>
      </c>
      <c r="J209" s="431">
        <f t="shared" si="69"/>
        <v>0.66830057739413085</v>
      </c>
      <c r="K209" s="34">
        <v>611647.24</v>
      </c>
      <c r="L209" s="280">
        <v>0.73048221012513226</v>
      </c>
      <c r="M209" s="211">
        <f t="shared" si="70"/>
        <v>-0.12444411585998494</v>
      </c>
      <c r="N209" s="34">
        <v>611647.24</v>
      </c>
      <c r="O209" s="280">
        <v>0.73048221012513226</v>
      </c>
      <c r="P209" s="211">
        <f t="shared" si="71"/>
        <v>-0.12444411585998494</v>
      </c>
    </row>
    <row r="210" spans="1:19" ht="14.1" customHeight="1" x14ac:dyDescent="0.25">
      <c r="A210" s="250">
        <v>9431</v>
      </c>
      <c r="B210" s="42" t="s">
        <v>740</v>
      </c>
      <c r="C210" s="200">
        <v>97687346.239999995</v>
      </c>
      <c r="D210" s="535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4">
        <f t="shared" si="68"/>
        <v>0.99999999989763266</v>
      </c>
      <c r="I210" s="137">
        <v>64261061.18</v>
      </c>
      <c r="J210" s="431">
        <f t="shared" si="69"/>
        <v>0.65782379861279361</v>
      </c>
      <c r="K210" s="34">
        <v>84274401.209999993</v>
      </c>
      <c r="L210" s="78">
        <v>0.7444128037021408</v>
      </c>
      <c r="M210" s="516">
        <f t="shared" si="70"/>
        <v>0.15915799848374879</v>
      </c>
      <c r="N210" s="34">
        <v>63962384.490000002</v>
      </c>
      <c r="O210" s="78">
        <v>0.56499265834030399</v>
      </c>
      <c r="P210" s="516">
        <f t="shared" si="71"/>
        <v>4.6695677839636573E-3</v>
      </c>
    </row>
    <row r="211" spans="1:19" ht="14.1" customHeight="1" thickBot="1" x14ac:dyDescent="0.3">
      <c r="A211" s="18">
        <v>9</v>
      </c>
      <c r="B211" s="2" t="s">
        <v>534</v>
      </c>
      <c r="C211" s="515">
        <f>SUM(C191:C210)</f>
        <v>439825043.08999997</v>
      </c>
      <c r="D211" s="207">
        <f>SUM(D191:D210)</f>
        <v>422152608.50000006</v>
      </c>
      <c r="E211" s="203">
        <f>SUM(E191:E210)</f>
        <v>351595839.55000001</v>
      </c>
      <c r="F211" s="530">
        <f t="shared" si="57"/>
        <v>0.83286430658168009</v>
      </c>
      <c r="G211" s="203">
        <f>SUM(G191:G210)</f>
        <v>338213387.04000002</v>
      </c>
      <c r="H211" s="530">
        <f t="shared" si="58"/>
        <v>0.80116379771226731</v>
      </c>
      <c r="I211" s="203">
        <f>SUM(I191:I210)</f>
        <v>234711845.29000002</v>
      </c>
      <c r="J211" s="531">
        <f t="shared" si="59"/>
        <v>0.5559881440126172</v>
      </c>
      <c r="K211" s="613">
        <f>SUM(K191:K210)</f>
        <v>319896519.85999995</v>
      </c>
      <c r="L211" s="90">
        <v>0.67181428944912036</v>
      </c>
      <c r="M211" s="43">
        <f t="shared" si="49"/>
        <v>5.7258726003072136E-2</v>
      </c>
      <c r="N211" s="613">
        <f>SUM(N191:N210)</f>
        <v>235235148.38</v>
      </c>
      <c r="O211" s="90">
        <v>0.49401704692358173</v>
      </c>
      <c r="P211" s="43">
        <f t="shared" si="60"/>
        <v>-2.2245956592958915E-3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2169932427.4099998</v>
      </c>
      <c r="E212" s="209">
        <f>E86+E121+E149+E174+E190+E211</f>
        <v>1811338513.4599998</v>
      </c>
      <c r="F212" s="181">
        <f>+E212/D212</f>
        <v>0.83474420243674929</v>
      </c>
      <c r="G212" s="209">
        <f>G86+G121+G149+G174+G190+G211</f>
        <v>1756634061.2399998</v>
      </c>
      <c r="H212" s="181">
        <f>+G212/D212</f>
        <v>0.80953399241869151</v>
      </c>
      <c r="I212" s="209">
        <f>I86+I121+I149+I174+I190+I211</f>
        <v>1166142554.6100001</v>
      </c>
      <c r="J212" s="173">
        <f>+I212/D212</f>
        <v>0.5374096169445659</v>
      </c>
      <c r="K212" s="614">
        <f>K86+K121+K149+K174+K190+K211</f>
        <v>1697541424.6299999</v>
      </c>
      <c r="L212" s="181">
        <v>0.78315352421829865</v>
      </c>
      <c r="M212" s="615">
        <f t="shared" si="49"/>
        <v>3.4810718461777634E-2</v>
      </c>
      <c r="N212" s="614">
        <f>N211+N190+N174+N149+N121+N86</f>
        <v>1190696143.0899999</v>
      </c>
      <c r="O212" s="181">
        <v>0.54932260692095847</v>
      </c>
      <c r="P212" s="615">
        <f>+I212/N212-1</f>
        <v>-2.0621204345451449E-2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19" spans="1:19" x14ac:dyDescent="0.25">
      <c r="E219" t="s">
        <v>148</v>
      </c>
    </row>
    <row r="220" spans="1:19" x14ac:dyDescent="0.25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28" sqref="A28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533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76" t="s">
        <v>465</v>
      </c>
      <c r="B29" s="777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topLeftCell="A51" zoomScaleNormal="100" workbookViewId="0">
      <pane xSplit="1" topLeftCell="B1" activePane="topRight" state="frozen"/>
      <selection activeCell="C41" sqref="C41"/>
      <selection pane="topRight" activeCell="J60" sqref="J60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81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17" t="s">
        <v>362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8" t="s">
        <v>764</v>
      </c>
      <c r="N4" s="558" t="s">
        <v>17</v>
      </c>
      <c r="O4" s="89" t="s">
        <v>18</v>
      </c>
      <c r="P4" s="618" t="s">
        <v>764</v>
      </c>
    </row>
    <row r="5" spans="1:16384" ht="15" customHeight="1" x14ac:dyDescent="0.25">
      <c r="A5" s="29">
        <v>1</v>
      </c>
      <c r="B5" s="21" t="s">
        <v>512</v>
      </c>
      <c r="C5" s="198">
        <v>150522241.06999999</v>
      </c>
      <c r="D5" s="204">
        <v>152386401.59999999</v>
      </c>
      <c r="E5" s="30">
        <v>124010986.40000001</v>
      </c>
      <c r="F5" s="48">
        <f t="shared" ref="F5:F16" si="0">+E5/D5</f>
        <v>0.81379299660554494</v>
      </c>
      <c r="G5" s="30">
        <v>116241293.59999999</v>
      </c>
      <c r="H5" s="48">
        <f t="shared" ref="H5:H16" si="1">+G5/D5</f>
        <v>0.76280621091849443</v>
      </c>
      <c r="I5" s="30">
        <v>85118344.260000005</v>
      </c>
      <c r="J5" s="153">
        <f t="shared" ref="J5:J16" si="2">+I5/D5</f>
        <v>0.55856915949382202</v>
      </c>
      <c r="K5" s="572">
        <v>115968768.29000001</v>
      </c>
      <c r="L5" s="48">
        <v>0.72504112697397416</v>
      </c>
      <c r="M5" s="619">
        <f>+G5/K5-1</f>
        <v>2.349988829048355E-3</v>
      </c>
      <c r="N5" s="572">
        <v>80423164.219999999</v>
      </c>
      <c r="O5" s="48">
        <v>0.50280866547678837</v>
      </c>
      <c r="P5" s="619">
        <f t="shared" ref="P5:P16" si="3">+I5/N5-1</f>
        <v>5.8380941430707711E-2</v>
      </c>
    </row>
    <row r="6" spans="1:16384" ht="15" customHeight="1" x14ac:dyDescent="0.25">
      <c r="A6" s="31">
        <v>2</v>
      </c>
      <c r="B6" s="23" t="s">
        <v>513</v>
      </c>
      <c r="C6" s="199">
        <v>349217889.70999998</v>
      </c>
      <c r="D6" s="204">
        <v>358179031.30000001</v>
      </c>
      <c r="E6" s="30">
        <v>326694746.60000002</v>
      </c>
      <c r="F6" s="48">
        <f t="shared" si="0"/>
        <v>0.91209902884116711</v>
      </c>
      <c r="G6" s="30">
        <v>315215799.19999999</v>
      </c>
      <c r="H6" s="280">
        <f t="shared" si="1"/>
        <v>0.88005095679647616</v>
      </c>
      <c r="I6" s="30">
        <v>198465481.09999999</v>
      </c>
      <c r="J6" s="178">
        <f t="shared" si="2"/>
        <v>0.554095755911996</v>
      </c>
      <c r="K6" s="572">
        <v>287351746.74000001</v>
      </c>
      <c r="L6" s="48">
        <v>0.87662043999494477</v>
      </c>
      <c r="M6" s="620">
        <f t="shared" ref="M6:M29" si="4">+G6/K6-1</f>
        <v>9.6968446428870259E-2</v>
      </c>
      <c r="N6" s="572">
        <v>204918044.25999999</v>
      </c>
      <c r="O6" s="48">
        <v>0.62514095758965893</v>
      </c>
      <c r="P6" s="620">
        <f t="shared" si="3"/>
        <v>-3.1488506457796328E-2</v>
      </c>
    </row>
    <row r="7" spans="1:16384" ht="15" customHeight="1" x14ac:dyDescent="0.25">
      <c r="A7" s="31">
        <v>3</v>
      </c>
      <c r="B7" s="23" t="s">
        <v>771</v>
      </c>
      <c r="C7" s="199">
        <v>220166239.43000001</v>
      </c>
      <c r="D7" s="204">
        <v>228090118</v>
      </c>
      <c r="E7" s="30">
        <v>149755178.19999999</v>
      </c>
      <c r="F7" s="48">
        <f t="shared" si="0"/>
        <v>0.65656144822547724</v>
      </c>
      <c r="G7" s="30">
        <v>148124298.19999999</v>
      </c>
      <c r="H7" s="280">
        <f t="shared" si="1"/>
        <v>0.64941129189998481</v>
      </c>
      <c r="I7" s="30">
        <v>102078813.5</v>
      </c>
      <c r="J7" s="178">
        <f t="shared" si="2"/>
        <v>0.44753720325577628</v>
      </c>
      <c r="K7" s="572">
        <v>0</v>
      </c>
      <c r="L7" s="48" t="s">
        <v>129</v>
      </c>
      <c r="M7" s="620" t="s">
        <v>129</v>
      </c>
      <c r="N7" s="572">
        <v>0</v>
      </c>
      <c r="O7" s="48" t="s">
        <v>129</v>
      </c>
      <c r="P7" s="620" t="s">
        <v>129</v>
      </c>
    </row>
    <row r="8" spans="1:16384" ht="15" customHeight="1" x14ac:dyDescent="0.25">
      <c r="A8" s="31">
        <v>4</v>
      </c>
      <c r="B8" s="23" t="s">
        <v>514</v>
      </c>
      <c r="C8" s="199">
        <v>241357694.44</v>
      </c>
      <c r="D8" s="204">
        <v>240290238.09999999</v>
      </c>
      <c r="E8" s="30">
        <v>164535607</v>
      </c>
      <c r="F8" s="48">
        <f t="shared" si="0"/>
        <v>0.68473695935798407</v>
      </c>
      <c r="G8" s="30">
        <v>162148354.59999999</v>
      </c>
      <c r="H8" s="280">
        <f t="shared" si="1"/>
        <v>0.67480208884940129</v>
      </c>
      <c r="I8" s="30">
        <v>151644646.40000001</v>
      </c>
      <c r="J8" s="178">
        <f t="shared" si="2"/>
        <v>0.63108950075987302</v>
      </c>
      <c r="K8" s="572">
        <v>181803086.24000001</v>
      </c>
      <c r="L8" s="48">
        <v>0.69626746323435018</v>
      </c>
      <c r="M8" s="620">
        <f t="shared" si="4"/>
        <v>-0.1081099999262588</v>
      </c>
      <c r="N8" s="572">
        <v>171281810.21000001</v>
      </c>
      <c r="O8" s="48">
        <v>0.65597319583271851</v>
      </c>
      <c r="P8" s="620">
        <f t="shared" si="3"/>
        <v>-0.11464827342683892</v>
      </c>
    </row>
    <row r="9" spans="1:16384" ht="15" customHeight="1" x14ac:dyDescent="0.25">
      <c r="A9" s="131" t="s">
        <v>420</v>
      </c>
      <c r="B9" s="23" t="s">
        <v>515</v>
      </c>
      <c r="C9" s="199">
        <v>65215120.890000001</v>
      </c>
      <c r="D9" s="204">
        <v>68458463.209999993</v>
      </c>
      <c r="E9" s="30">
        <v>61722213.299999997</v>
      </c>
      <c r="F9" s="48">
        <f t="shared" si="0"/>
        <v>0.90160091836510858</v>
      </c>
      <c r="G9" s="30">
        <v>57620050.060000002</v>
      </c>
      <c r="H9" s="280">
        <f t="shared" si="1"/>
        <v>0.8416789883706185</v>
      </c>
      <c r="I9" s="30">
        <v>31843370.969999999</v>
      </c>
      <c r="J9" s="178">
        <f t="shared" si="2"/>
        <v>0.46514878477944732</v>
      </c>
      <c r="K9" s="572">
        <v>57144029.350000001</v>
      </c>
      <c r="L9" s="48">
        <v>0.70749340103121883</v>
      </c>
      <c r="M9" s="621">
        <f t="shared" si="4"/>
        <v>8.3301915425746387E-3</v>
      </c>
      <c r="N9" s="572">
        <v>45847575.509999998</v>
      </c>
      <c r="O9" s="48">
        <v>0.56763335549780436</v>
      </c>
      <c r="P9" s="621">
        <f t="shared" si="3"/>
        <v>-0.30545136540416373</v>
      </c>
    </row>
    <row r="10" spans="1:16384" ht="15" customHeight="1" x14ac:dyDescent="0.25">
      <c r="A10" s="131" t="s">
        <v>419</v>
      </c>
      <c r="B10" s="23" t="s">
        <v>516</v>
      </c>
      <c r="C10" s="199">
        <v>286675054.51999998</v>
      </c>
      <c r="D10" s="204">
        <v>286635157.69999999</v>
      </c>
      <c r="E10" s="30">
        <v>278538673.30000001</v>
      </c>
      <c r="F10" s="48">
        <f t="shared" si="0"/>
        <v>0.97175334503636157</v>
      </c>
      <c r="G10" s="30">
        <v>274624810.60000002</v>
      </c>
      <c r="H10" s="280">
        <f t="shared" si="1"/>
        <v>0.95809883478226243</v>
      </c>
      <c r="I10" s="30">
        <v>136042977.90000001</v>
      </c>
      <c r="J10" s="178">
        <f t="shared" si="2"/>
        <v>0.47462069549188457</v>
      </c>
      <c r="K10" s="572">
        <v>274010470.31</v>
      </c>
      <c r="L10" s="48">
        <v>0.94090894155689819</v>
      </c>
      <c r="M10" s="619">
        <f t="shared" si="4"/>
        <v>2.2420321723655157E-3</v>
      </c>
      <c r="N10" s="572">
        <v>136801287.19</v>
      </c>
      <c r="O10" s="48">
        <v>0.46975414548188749</v>
      </c>
      <c r="P10" s="619">
        <f t="shared" si="3"/>
        <v>-5.5431444073095193E-3</v>
      </c>
    </row>
    <row r="11" spans="1:16384" ht="15" customHeight="1" x14ac:dyDescent="0.25">
      <c r="A11" s="131" t="s">
        <v>443</v>
      </c>
      <c r="B11" s="23" t="s">
        <v>517</v>
      </c>
      <c r="C11" s="199">
        <v>4757330.3899999997</v>
      </c>
      <c r="D11" s="204">
        <v>4403734.24</v>
      </c>
      <c r="E11" s="30">
        <v>3769498.83</v>
      </c>
      <c r="F11" s="48">
        <f t="shared" si="0"/>
        <v>0.85597781895212643</v>
      </c>
      <c r="G11" s="30">
        <v>3629731.7</v>
      </c>
      <c r="H11" s="280">
        <f t="shared" si="1"/>
        <v>0.82423949815827213</v>
      </c>
      <c r="I11" s="30">
        <v>1954870.13</v>
      </c>
      <c r="J11" s="178">
        <f t="shared" si="2"/>
        <v>0.44391192189654022</v>
      </c>
      <c r="K11" s="560">
        <v>3623753.36</v>
      </c>
      <c r="L11" s="280">
        <v>0.72597678871800153</v>
      </c>
      <c r="M11" s="620">
        <f t="shared" si="4"/>
        <v>1.6497645965618535E-3</v>
      </c>
      <c r="N11" s="560">
        <v>1770453.58</v>
      </c>
      <c r="O11" s="280">
        <v>0.35468975862714053</v>
      </c>
      <c r="P11" s="620">
        <f t="shared" si="3"/>
        <v>0.10416344832943869</v>
      </c>
    </row>
    <row r="12" spans="1:16384" ht="15" customHeight="1" x14ac:dyDescent="0.25">
      <c r="A12" s="131" t="s">
        <v>447</v>
      </c>
      <c r="B12" s="23" t="s">
        <v>518</v>
      </c>
      <c r="C12" s="199">
        <v>60930053.189999998</v>
      </c>
      <c r="D12" s="204">
        <v>52660394.490000002</v>
      </c>
      <c r="E12" s="30">
        <v>47471647.259999998</v>
      </c>
      <c r="F12" s="48">
        <f t="shared" si="0"/>
        <v>0.90146774857553857</v>
      </c>
      <c r="G12" s="30">
        <v>45318984.18</v>
      </c>
      <c r="H12" s="280">
        <f t="shared" si="1"/>
        <v>0.86058953068811317</v>
      </c>
      <c r="I12" s="30">
        <v>18553354.440000001</v>
      </c>
      <c r="J12" s="178">
        <f t="shared" si="2"/>
        <v>0.35232084035229189</v>
      </c>
      <c r="K12" s="560">
        <v>35172801.670000002</v>
      </c>
      <c r="L12" s="280">
        <v>0.69551600845890649</v>
      </c>
      <c r="M12" s="620">
        <f t="shared" si="4"/>
        <v>0.28846671371800325</v>
      </c>
      <c r="N12" s="560">
        <v>16597239.01</v>
      </c>
      <c r="O12" s="280">
        <v>0.32819806440155136</v>
      </c>
      <c r="P12" s="620">
        <f t="shared" si="3"/>
        <v>0.11785788159231925</v>
      </c>
    </row>
    <row r="13" spans="1:16384" ht="15" customHeight="1" x14ac:dyDescent="0.25">
      <c r="A13" s="131" t="s">
        <v>510</v>
      </c>
      <c r="B13" s="23" t="s">
        <v>519</v>
      </c>
      <c r="C13" s="199">
        <v>84785705.450000003</v>
      </c>
      <c r="D13" s="204">
        <v>99878844.5</v>
      </c>
      <c r="E13" s="30">
        <v>85472270.170000002</v>
      </c>
      <c r="F13" s="48">
        <f t="shared" si="0"/>
        <v>0.85575950140272194</v>
      </c>
      <c r="G13" s="30">
        <v>75233982.810000002</v>
      </c>
      <c r="H13" s="280">
        <f t="shared" si="1"/>
        <v>0.75325243485370919</v>
      </c>
      <c r="I13" s="30">
        <v>55665600.600000001</v>
      </c>
      <c r="J13" s="178">
        <f t="shared" si="2"/>
        <v>0.55733124345466378</v>
      </c>
      <c r="K13" s="560">
        <v>92409104.650000006</v>
      </c>
      <c r="L13" s="280">
        <v>0.76717877449362371</v>
      </c>
      <c r="M13" s="620">
        <f t="shared" si="4"/>
        <v>-0.18585962828068592</v>
      </c>
      <c r="N13" s="560">
        <v>73600211.349999994</v>
      </c>
      <c r="O13" s="280">
        <v>0.61102767048576401</v>
      </c>
      <c r="P13" s="620">
        <f t="shared" si="3"/>
        <v>-0.24367607675354852</v>
      </c>
    </row>
    <row r="14" spans="1:16384" ht="29.4" customHeight="1" x14ac:dyDescent="0.25">
      <c r="A14" s="131" t="s">
        <v>511</v>
      </c>
      <c r="B14" s="722" t="s">
        <v>778</v>
      </c>
      <c r="C14" s="199">
        <v>39445338.359999999</v>
      </c>
      <c r="D14" s="204">
        <v>47688130.020000003</v>
      </c>
      <c r="E14" s="30">
        <v>32155096.739999998</v>
      </c>
      <c r="F14" s="48">
        <f t="shared" si="0"/>
        <v>0.67427883472290528</v>
      </c>
      <c r="G14" s="30">
        <v>26859431.989999998</v>
      </c>
      <c r="H14" s="412">
        <f t="shared" si="1"/>
        <v>0.56323097548038425</v>
      </c>
      <c r="I14" s="30">
        <v>25245561.68</v>
      </c>
      <c r="J14" s="427">
        <f t="shared" si="2"/>
        <v>0.52938879485130208</v>
      </c>
      <c r="K14" s="573">
        <v>31804669.510000002</v>
      </c>
      <c r="L14" s="280">
        <v>0.51720214996537917</v>
      </c>
      <c r="M14" s="620">
        <f t="shared" si="4"/>
        <v>-0.1554877820203453</v>
      </c>
      <c r="N14" s="573">
        <v>30897435.059999999</v>
      </c>
      <c r="O14" s="280">
        <v>0.50244885696495589</v>
      </c>
      <c r="P14" s="620">
        <f t="shared" si="3"/>
        <v>-0.18292370771310229</v>
      </c>
    </row>
    <row r="15" spans="1:16384" ht="15" customHeight="1" x14ac:dyDescent="0.25">
      <c r="A15" s="710" t="s">
        <v>421</v>
      </c>
      <c r="B15" s="502" t="s">
        <v>23</v>
      </c>
      <c r="C15" s="199">
        <v>820954321.05999994</v>
      </c>
      <c r="D15" s="503">
        <v>790886813.89999998</v>
      </c>
      <c r="E15" s="504">
        <v>490469595</v>
      </c>
      <c r="F15" s="48">
        <f t="shared" si="0"/>
        <v>0.62015143808177731</v>
      </c>
      <c r="G15" s="504">
        <v>490469595</v>
      </c>
      <c r="H15" s="412">
        <f t="shared" si="1"/>
        <v>0.62015143808177731</v>
      </c>
      <c r="I15" s="504">
        <v>329644983.30000001</v>
      </c>
      <c r="J15" s="427">
        <f t="shared" si="2"/>
        <v>0.41680424746805861</v>
      </c>
      <c r="K15" s="616">
        <v>562068881.39999998</v>
      </c>
      <c r="L15" s="495">
        <v>0.6458322033224565</v>
      </c>
      <c r="M15" s="620">
        <f t="shared" si="4"/>
        <v>-0.12738525253641619</v>
      </c>
      <c r="N15" s="616">
        <v>465105344.48000002</v>
      </c>
      <c r="O15" s="495">
        <v>0.53441850161564308</v>
      </c>
      <c r="P15" s="620">
        <f t="shared" si="3"/>
        <v>-0.29124662356105202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19" t="s">
        <v>520</v>
      </c>
      <c r="C16" s="200">
        <v>76829628.569999993</v>
      </c>
      <c r="D16" s="521">
        <v>74647946.739999995</v>
      </c>
      <c r="E16" s="180">
        <v>65398762.859999999</v>
      </c>
      <c r="F16" s="78">
        <f t="shared" si="0"/>
        <v>0.87609593721023493</v>
      </c>
      <c r="G16" s="180">
        <v>62116444.450000003</v>
      </c>
      <c r="H16" s="78">
        <f t="shared" si="1"/>
        <v>0.83212529162191939</v>
      </c>
      <c r="I16" s="180">
        <v>34258217.210000001</v>
      </c>
      <c r="J16" s="392">
        <f t="shared" si="2"/>
        <v>0.45893046903650175</v>
      </c>
      <c r="K16" s="574">
        <v>161994890.16</v>
      </c>
      <c r="L16" s="390">
        <v>0.93759923886154395</v>
      </c>
      <c r="M16" s="622">
        <f t="shared" si="4"/>
        <v>-0.61655306294755041</v>
      </c>
      <c r="N16" s="574">
        <v>109393023.56</v>
      </c>
      <c r="O16" s="390">
        <v>0.63314846243184086</v>
      </c>
      <c r="P16" s="622">
        <f t="shared" si="3"/>
        <v>-0.68683361977640178</v>
      </c>
    </row>
    <row r="17" spans="1:18" ht="15" customHeight="1" x14ac:dyDescent="0.25">
      <c r="A17" s="522"/>
      <c r="B17" s="2" t="s">
        <v>24</v>
      </c>
      <c r="C17" s="201">
        <f>SUM(C5:C16)</f>
        <v>2400856617.0800004</v>
      </c>
      <c r="D17" s="207">
        <f>SUM(D5:D16)</f>
        <v>2404205273.7999997</v>
      </c>
      <c r="E17" s="203">
        <f>SUM(E5:E16)</f>
        <v>1829994275.6599998</v>
      </c>
      <c r="F17" s="90">
        <f t="shared" ref="F17:F29" si="5">+E17/D17</f>
        <v>0.76116390542957979</v>
      </c>
      <c r="G17" s="203">
        <f>SUM(G5:G16)</f>
        <v>1777602776.3900003</v>
      </c>
      <c r="H17" s="90">
        <f t="shared" ref="H17:H29" si="6">+G17/D17</f>
        <v>0.73937229726660814</v>
      </c>
      <c r="I17" s="203">
        <f>SUM(I5:I16)</f>
        <v>1170516221.49</v>
      </c>
      <c r="J17" s="170">
        <f>+I17/D17</f>
        <v>0.48686201392442857</v>
      </c>
      <c r="K17" s="562">
        <f>SUM(K5:K16)</f>
        <v>1803352201.6800001</v>
      </c>
      <c r="L17" s="90">
        <v>0.75094944328044277</v>
      </c>
      <c r="M17" s="623">
        <f t="shared" si="4"/>
        <v>-1.4278644662984674E-2</v>
      </c>
      <c r="N17" s="562">
        <f>SUM(N5:N16)</f>
        <v>1336635588.4300001</v>
      </c>
      <c r="O17" s="90">
        <v>0.55700000000000005</v>
      </c>
      <c r="P17" s="623">
        <f t="shared" ref="P17:P29" si="7">+I17/N17-1</f>
        <v>-0.1242817177530956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52203286.329999998</v>
      </c>
      <c r="E18" s="30">
        <v>47790359.359999999</v>
      </c>
      <c r="F18" s="48">
        <f t="shared" si="5"/>
        <v>0.91546649109207534</v>
      </c>
      <c r="G18" s="30">
        <v>46589788.439999998</v>
      </c>
      <c r="H18" s="48">
        <f t="shared" si="6"/>
        <v>0.89246849605378087</v>
      </c>
      <c r="I18" s="30">
        <v>28833823.399999999</v>
      </c>
      <c r="J18" s="153">
        <f t="shared" ref="J18:J29" si="8">+I18/D18</f>
        <v>0.55233732255338641</v>
      </c>
      <c r="K18" s="572">
        <v>45832680.32</v>
      </c>
      <c r="L18" s="48">
        <v>0.93589150963277545</v>
      </c>
      <c r="M18" s="619">
        <f t="shared" si="4"/>
        <v>1.6518957973086668E-2</v>
      </c>
      <c r="N18" s="572">
        <v>30013595.75</v>
      </c>
      <c r="O18" s="48">
        <v>0.61286988323303349</v>
      </c>
      <c r="P18" s="619">
        <f t="shared" si="7"/>
        <v>-3.9307930973249028E-2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44030180.289999999</v>
      </c>
      <c r="E19" s="30">
        <v>41061020.149999999</v>
      </c>
      <c r="F19" s="280">
        <f t="shared" si="5"/>
        <v>0.93256534221654441</v>
      </c>
      <c r="G19" s="30">
        <v>40471330.899999999</v>
      </c>
      <c r="H19" s="280">
        <f t="shared" si="6"/>
        <v>0.9191725001678388</v>
      </c>
      <c r="I19" s="30">
        <v>25297796.989999998</v>
      </c>
      <c r="J19" s="178">
        <f t="shared" si="8"/>
        <v>0.57455583473378502</v>
      </c>
      <c r="K19" s="573">
        <v>39241804.329999998</v>
      </c>
      <c r="L19" s="280">
        <v>0.89107944741247058</v>
      </c>
      <c r="M19" s="620">
        <f t="shared" si="4"/>
        <v>3.1332060056678879E-2</v>
      </c>
      <c r="N19" s="573">
        <v>23370778.629999999</v>
      </c>
      <c r="O19" s="280">
        <v>0.53068967808136402</v>
      </c>
      <c r="P19" s="620">
        <f>+I19/N19-1</f>
        <v>8.2454178806279588E-2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38307014.939999998</v>
      </c>
      <c r="E20" s="30">
        <v>35134162.079999998</v>
      </c>
      <c r="F20" s="280">
        <f t="shared" si="5"/>
        <v>0.91717305916502201</v>
      </c>
      <c r="G20" s="30">
        <v>34542910.520000003</v>
      </c>
      <c r="H20" s="280">
        <f t="shared" si="6"/>
        <v>0.9017385085761529</v>
      </c>
      <c r="I20" s="30">
        <v>20438148.489999998</v>
      </c>
      <c r="J20" s="178">
        <f t="shared" si="8"/>
        <v>0.53353539872558908</v>
      </c>
      <c r="K20" s="573">
        <v>33695512.450000003</v>
      </c>
      <c r="L20" s="280">
        <v>0.87520233833968153</v>
      </c>
      <c r="M20" s="620">
        <f t="shared" si="4"/>
        <v>2.5148692166573561E-2</v>
      </c>
      <c r="N20" s="573">
        <v>20165875.329999998</v>
      </c>
      <c r="O20" s="280">
        <v>0.52378551208181712</v>
      </c>
      <c r="P20" s="620">
        <f t="shared" si="7"/>
        <v>1.3501678233374337E-2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17121530.84</v>
      </c>
      <c r="E21" s="30">
        <v>15141426.58</v>
      </c>
      <c r="F21" s="280">
        <f t="shared" si="5"/>
        <v>0.88435004565281039</v>
      </c>
      <c r="G21" s="30">
        <v>14545421.630000001</v>
      </c>
      <c r="H21" s="280">
        <f t="shared" si="6"/>
        <v>0.84953978507683492</v>
      </c>
      <c r="I21" s="30">
        <v>8677173.25</v>
      </c>
      <c r="J21" s="178">
        <f t="shared" si="8"/>
        <v>0.50679891483348227</v>
      </c>
      <c r="K21" s="573">
        <v>14909343.119999999</v>
      </c>
      <c r="L21" s="280">
        <v>0.83844935021996958</v>
      </c>
      <c r="M21" s="620">
        <f t="shared" si="4"/>
        <v>-2.4408955315530889E-2</v>
      </c>
      <c r="N21" s="573">
        <v>9420076.8000000007</v>
      </c>
      <c r="O21" s="280">
        <v>0.52975219688835029</v>
      </c>
      <c r="P21" s="620">
        <f t="shared" si="7"/>
        <v>-7.8863852787272481E-2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23495602.699999999</v>
      </c>
      <c r="E22" s="30">
        <v>20451897.949999999</v>
      </c>
      <c r="F22" s="280">
        <f t="shared" si="5"/>
        <v>0.87045640884964404</v>
      </c>
      <c r="G22" s="30">
        <v>20021135.170000002</v>
      </c>
      <c r="H22" s="280">
        <f t="shared" si="6"/>
        <v>0.8521226471879354</v>
      </c>
      <c r="I22" s="30">
        <v>12996757.01</v>
      </c>
      <c r="J22" s="178">
        <f t="shared" si="8"/>
        <v>0.55315699605356372</v>
      </c>
      <c r="K22" s="573">
        <v>20174788.25</v>
      </c>
      <c r="L22" s="280">
        <v>0.87216168412024042</v>
      </c>
      <c r="M22" s="620">
        <f t="shared" si="4"/>
        <v>-7.6160938145161117E-3</v>
      </c>
      <c r="N22" s="573">
        <v>13523514.02</v>
      </c>
      <c r="O22" s="280">
        <v>0.5846252568676592</v>
      </c>
      <c r="P22" s="620">
        <f t="shared" si="7"/>
        <v>-3.8951193396995487E-2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26901977.829999998</v>
      </c>
      <c r="E23" s="30">
        <v>24505437.890000001</v>
      </c>
      <c r="F23" s="280">
        <f t="shared" si="5"/>
        <v>0.91091584584805241</v>
      </c>
      <c r="G23" s="30">
        <v>23779952.280000001</v>
      </c>
      <c r="H23" s="280">
        <f t="shared" si="6"/>
        <v>0.88394810338002583</v>
      </c>
      <c r="I23" s="30">
        <v>15694294.73</v>
      </c>
      <c r="J23" s="178">
        <f t="shared" si="8"/>
        <v>0.58338813707958515</v>
      </c>
      <c r="K23" s="573">
        <v>24071714.09</v>
      </c>
      <c r="L23" s="280">
        <v>0.86724544278579263</v>
      </c>
      <c r="M23" s="620">
        <f t="shared" si="4"/>
        <v>-1.2120524899438045E-2</v>
      </c>
      <c r="N23" s="573">
        <v>14362684.609999999</v>
      </c>
      <c r="O23" s="280">
        <v>0.51745267194606082</v>
      </c>
      <c r="P23" s="620">
        <f t="shared" si="7"/>
        <v>9.2713176969218436E-2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32806970.890000001</v>
      </c>
      <c r="E24" s="30">
        <v>30192315.219999999</v>
      </c>
      <c r="F24" s="280">
        <f t="shared" si="5"/>
        <v>0.92030182613424438</v>
      </c>
      <c r="G24" s="30">
        <v>29544766.289999999</v>
      </c>
      <c r="H24" s="280">
        <f t="shared" si="6"/>
        <v>0.90056367559998152</v>
      </c>
      <c r="I24" s="30">
        <v>17815160.32</v>
      </c>
      <c r="J24" s="178">
        <f t="shared" si="8"/>
        <v>0.54302972315649833</v>
      </c>
      <c r="K24" s="573">
        <v>29218363.670000002</v>
      </c>
      <c r="L24" s="280">
        <v>0.89411184140019151</v>
      </c>
      <c r="M24" s="620">
        <f t="shared" si="4"/>
        <v>1.1171146464137305E-2</v>
      </c>
      <c r="N24" s="573">
        <v>17541180.670000002</v>
      </c>
      <c r="O24" s="280">
        <v>0.53677808676501926</v>
      </c>
      <c r="P24" s="620">
        <f t="shared" si="7"/>
        <v>1.5619225133948644E-2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39544278.990000002</v>
      </c>
      <c r="E25" s="30">
        <v>35353583.270000003</v>
      </c>
      <c r="F25" s="280">
        <f t="shared" si="5"/>
        <v>0.89402523381296839</v>
      </c>
      <c r="G25" s="30">
        <v>33164398.280000001</v>
      </c>
      <c r="H25" s="280">
        <f t="shared" si="6"/>
        <v>0.83866488723657473</v>
      </c>
      <c r="I25" s="30">
        <v>19884802.460000001</v>
      </c>
      <c r="J25" s="178">
        <f t="shared" si="8"/>
        <v>0.50284903323255659</v>
      </c>
      <c r="K25" s="573">
        <v>31616013.059999999</v>
      </c>
      <c r="L25" s="280">
        <v>0.82531680548184094</v>
      </c>
      <c r="M25" s="620">
        <f t="shared" si="4"/>
        <v>4.8974714713759804E-2</v>
      </c>
      <c r="N25" s="573">
        <v>15657228.789999999</v>
      </c>
      <c r="O25" s="280">
        <v>0.4087224414772907</v>
      </c>
      <c r="P25" s="620">
        <f t="shared" si="7"/>
        <v>0.27000778533044612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30633478.559999999</v>
      </c>
      <c r="E26" s="30">
        <v>26997226.109999999</v>
      </c>
      <c r="F26" s="280">
        <f t="shared" si="5"/>
        <v>0.88129808885798311</v>
      </c>
      <c r="G26" s="30">
        <v>25432708.07</v>
      </c>
      <c r="H26" s="280">
        <f t="shared" si="6"/>
        <v>0.83022592488758484</v>
      </c>
      <c r="I26" s="30">
        <v>17864006.68</v>
      </c>
      <c r="J26" s="178">
        <f t="shared" si="8"/>
        <v>0.58315305736535328</v>
      </c>
      <c r="K26" s="573">
        <v>26018136.43</v>
      </c>
      <c r="L26" s="280">
        <v>0.83311839521921982</v>
      </c>
      <c r="M26" s="620">
        <f t="shared" si="4"/>
        <v>-2.250077985312493E-2</v>
      </c>
      <c r="N26" s="573">
        <v>16322308.68</v>
      </c>
      <c r="O26" s="280">
        <v>0.52265140704215851</v>
      </c>
      <c r="P26" s="620">
        <f t="shared" si="7"/>
        <v>9.4453427528243594E-2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45538070.359999999</v>
      </c>
      <c r="E27" s="180">
        <v>42673235.170000002</v>
      </c>
      <c r="F27" s="390">
        <f t="shared" si="5"/>
        <v>0.93708922737937472</v>
      </c>
      <c r="G27" s="180">
        <v>42064711.869999997</v>
      </c>
      <c r="H27" s="390">
        <f t="shared" si="6"/>
        <v>0.92372626985418005</v>
      </c>
      <c r="I27" s="180">
        <v>26306653.620000001</v>
      </c>
      <c r="J27" s="392">
        <f t="shared" si="8"/>
        <v>0.57768485603437858</v>
      </c>
      <c r="K27" s="574">
        <v>41091822.899999999</v>
      </c>
      <c r="L27" s="390">
        <v>0.90882721029531011</v>
      </c>
      <c r="M27" s="622">
        <f t="shared" si="4"/>
        <v>2.3675974958998536E-2</v>
      </c>
      <c r="N27" s="574">
        <v>27460107.420000002</v>
      </c>
      <c r="O27" s="390">
        <v>0.60733477026954064</v>
      </c>
      <c r="P27" s="622">
        <f t="shared" si="7"/>
        <v>-4.2004708224845033E-2</v>
      </c>
    </row>
    <row r="28" spans="1:18" ht="15" customHeight="1" thickBot="1" x14ac:dyDescent="0.3">
      <c r="A28" s="10">
        <v>6</v>
      </c>
      <c r="B28" s="2" t="s">
        <v>35</v>
      </c>
      <c r="C28" s="523">
        <f>SUM(C18:C27)</f>
        <v>335327036.75999999</v>
      </c>
      <c r="D28" s="207">
        <f>SUM(D18:D27)</f>
        <v>350582391.73000002</v>
      </c>
      <c r="E28" s="524">
        <f>SUM(E18:E27)</f>
        <v>319300663.78000003</v>
      </c>
      <c r="F28" s="90">
        <f t="shared" si="5"/>
        <v>0.91077210753330839</v>
      </c>
      <c r="G28" s="524">
        <f>SUM(G18:G27)</f>
        <v>310157123.44999999</v>
      </c>
      <c r="H28" s="90">
        <f t="shared" si="6"/>
        <v>0.88469110476280444</v>
      </c>
      <c r="I28" s="524">
        <f>SUM(I18:I27)</f>
        <v>193808616.95000002</v>
      </c>
      <c r="J28" s="170">
        <f t="shared" si="8"/>
        <v>0.55281902777154068</v>
      </c>
      <c r="K28" s="562">
        <f>SUM(K18:K27)</f>
        <v>305870178.62</v>
      </c>
      <c r="L28" s="90">
        <v>0.87991890055138</v>
      </c>
      <c r="M28" s="623">
        <f t="shared" si="4"/>
        <v>1.4015569773233372E-2</v>
      </c>
      <c r="N28" s="562">
        <f>SUM(N18:N27)</f>
        <v>187837350.69999999</v>
      </c>
      <c r="O28" s="90">
        <v>0.54036531399083132</v>
      </c>
      <c r="P28" s="623">
        <f t="shared" si="7"/>
        <v>3.178955744290124E-2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2754787665.5299997</v>
      </c>
      <c r="E29" s="209">
        <f>+E17+E28</f>
        <v>2149294939.4400001</v>
      </c>
      <c r="F29" s="181">
        <f t="shared" si="5"/>
        <v>0.78020348585613852</v>
      </c>
      <c r="G29" s="209">
        <f>+G17+G28</f>
        <v>2087759899.8400004</v>
      </c>
      <c r="H29" s="181">
        <f t="shared" si="6"/>
        <v>0.75786599670226551</v>
      </c>
      <c r="I29" s="209">
        <f>+I17+I28</f>
        <v>1364324838.4400001</v>
      </c>
      <c r="J29" s="173">
        <f t="shared" si="8"/>
        <v>0.49525589776354489</v>
      </c>
      <c r="K29" s="570">
        <f>K17+K28</f>
        <v>2109222380.3000002</v>
      </c>
      <c r="L29" s="181">
        <v>0.76725742023040866</v>
      </c>
      <c r="M29" s="624">
        <f t="shared" si="4"/>
        <v>-1.0175541782819097E-2</v>
      </c>
      <c r="N29" s="570">
        <f>+N28+N17</f>
        <v>1524472939.1300001</v>
      </c>
      <c r="O29" s="181">
        <v>0.55454710959476372</v>
      </c>
      <c r="P29" s="624">
        <f t="shared" si="7"/>
        <v>-0.1050514552140196</v>
      </c>
    </row>
    <row r="30" spans="1:18" ht="33.6" customHeight="1" x14ac:dyDescent="0.25">
      <c r="A30" s="712" t="s">
        <v>772</v>
      </c>
      <c r="B30" s="778" t="s">
        <v>773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</row>
    <row r="32" spans="1:18" ht="14.4" thickBot="1" x14ac:dyDescent="0.3">
      <c r="A32" s="7" t="s">
        <v>19</v>
      </c>
    </row>
    <row r="33" spans="1:16" ht="26.25" customHeight="1" x14ac:dyDescent="0.25">
      <c r="A33" s="780" t="s">
        <v>464</v>
      </c>
      <c r="B33" s="779"/>
      <c r="C33" s="164" t="s">
        <v>765</v>
      </c>
      <c r="D33" s="754" t="s">
        <v>782</v>
      </c>
      <c r="E33" s="752"/>
      <c r="F33" s="752"/>
      <c r="G33" s="752"/>
      <c r="H33" s="752"/>
      <c r="I33" s="752"/>
      <c r="J33" s="753"/>
      <c r="K33" s="763" t="s">
        <v>783</v>
      </c>
      <c r="L33" s="761"/>
      <c r="M33" s="761"/>
      <c r="N33" s="761"/>
      <c r="O33" s="761"/>
      <c r="P33" s="764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05" t="s">
        <v>362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58" t="s">
        <v>17</v>
      </c>
      <c r="O35" s="89" t="s">
        <v>18</v>
      </c>
      <c r="P35" s="581" t="s">
        <v>764</v>
      </c>
    </row>
    <row r="36" spans="1:16" ht="15" customHeight="1" x14ac:dyDescent="0.25">
      <c r="A36" s="29">
        <v>1</v>
      </c>
      <c r="B36" s="21" t="s">
        <v>512</v>
      </c>
      <c r="C36" s="198">
        <v>147387289.73999998</v>
      </c>
      <c r="D36" s="204">
        <v>147994750.21000001</v>
      </c>
      <c r="E36" s="30">
        <v>121131262.73</v>
      </c>
      <c r="F36" s="48">
        <f t="shared" ref="F36:F47" si="9">+E36/D36</f>
        <v>0.81848351078750059</v>
      </c>
      <c r="G36" s="30">
        <v>113684104.37</v>
      </c>
      <c r="H36" s="48">
        <f t="shared" ref="H36:H47" si="10">+G36/D36</f>
        <v>0.76816308827634594</v>
      </c>
      <c r="I36" s="30">
        <v>84319702.359999999</v>
      </c>
      <c r="J36" s="153">
        <f t="shared" ref="J36:J47" si="11">+I36/D36</f>
        <v>0.5697479284930913</v>
      </c>
      <c r="K36" s="572">
        <v>113854005.06</v>
      </c>
      <c r="L36" s="48">
        <v>0.74681106143349207</v>
      </c>
      <c r="M36" s="210">
        <f t="shared" ref="M36:M60" si="12">+G36/K36-1</f>
        <v>-1.4922680138521605E-3</v>
      </c>
      <c r="N36" s="572">
        <v>79828780.780000001</v>
      </c>
      <c r="O36" s="48">
        <v>0.52362687176297174</v>
      </c>
      <c r="P36" s="210">
        <f t="shared" ref="P36:P43" si="13">+I36/N36-1</f>
        <v>5.6256923081119403E-2</v>
      </c>
    </row>
    <row r="37" spans="1:16" ht="15" customHeight="1" x14ac:dyDescent="0.25">
      <c r="A37" s="31">
        <v>2</v>
      </c>
      <c r="B37" s="23" t="s">
        <v>513</v>
      </c>
      <c r="C37" s="199">
        <v>347088506.07999998</v>
      </c>
      <c r="D37" s="204">
        <v>350411893.91000003</v>
      </c>
      <c r="E37" s="30">
        <v>321558874</v>
      </c>
      <c r="F37" s="48">
        <f t="shared" si="9"/>
        <v>0.91765970159274712</v>
      </c>
      <c r="G37" s="30">
        <v>311148240.92000002</v>
      </c>
      <c r="H37" s="280">
        <f t="shared" si="10"/>
        <v>0.88794999920840445</v>
      </c>
      <c r="I37" s="30">
        <v>198368648.75999999</v>
      </c>
      <c r="J37" s="178">
        <f t="shared" si="11"/>
        <v>0.56610135730994648</v>
      </c>
      <c r="K37" s="573">
        <v>286543211.85000002</v>
      </c>
      <c r="L37" s="280">
        <v>0.87916881122179802</v>
      </c>
      <c r="M37" s="211">
        <f t="shared" si="12"/>
        <v>8.5868476559410656E-2</v>
      </c>
      <c r="N37" s="573">
        <v>204716870.58000001</v>
      </c>
      <c r="O37" s="280">
        <v>0.62811010801080081</v>
      </c>
      <c r="P37" s="211">
        <f t="shared" si="13"/>
        <v>-3.100976388518617E-2</v>
      </c>
    </row>
    <row r="38" spans="1:16" ht="15" customHeight="1" x14ac:dyDescent="0.25">
      <c r="A38" s="31">
        <v>3</v>
      </c>
      <c r="B38" s="23" t="s">
        <v>771</v>
      </c>
      <c r="C38" s="199">
        <v>220166239.43000001</v>
      </c>
      <c r="D38" s="204">
        <v>223840869.88999999</v>
      </c>
      <c r="E38" s="30">
        <v>145855930</v>
      </c>
      <c r="F38" s="48">
        <f t="shared" si="9"/>
        <v>0.65160544663571318</v>
      </c>
      <c r="G38" s="30">
        <v>144225050.09</v>
      </c>
      <c r="H38" s="280">
        <f t="shared" si="10"/>
        <v>0.64431955683908471</v>
      </c>
      <c r="I38" s="30">
        <v>98179565.329999998</v>
      </c>
      <c r="J38" s="178">
        <f t="shared" si="11"/>
        <v>0.43861322276958387</v>
      </c>
      <c r="K38" s="573">
        <v>0</v>
      </c>
      <c r="L38" s="280" t="s">
        <v>129</v>
      </c>
      <c r="M38" s="211" t="s">
        <v>129</v>
      </c>
      <c r="N38" s="573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514</v>
      </c>
      <c r="C39" s="199">
        <v>239984203.19</v>
      </c>
      <c r="D39" s="204">
        <v>237747257.66999999</v>
      </c>
      <c r="E39" s="30">
        <v>162630413.83000001</v>
      </c>
      <c r="F39" s="48">
        <f t="shared" si="9"/>
        <v>0.6840474856527502</v>
      </c>
      <c r="G39" s="30">
        <v>160516730</v>
      </c>
      <c r="H39" s="280">
        <f t="shared" si="10"/>
        <v>0.67515701999306266</v>
      </c>
      <c r="I39" s="30">
        <v>151305544.19</v>
      </c>
      <c r="J39" s="178">
        <f t="shared" si="11"/>
        <v>0.63641341512345195</v>
      </c>
      <c r="K39" s="573">
        <v>178908615.77000001</v>
      </c>
      <c r="L39" s="280">
        <v>0.70103966632632975</v>
      </c>
      <c r="M39" s="211">
        <f t="shared" si="12"/>
        <v>-0.10280044754045892</v>
      </c>
      <c r="N39" s="573">
        <v>170280979.05000001</v>
      </c>
      <c r="O39" s="280">
        <v>0.667232934653054</v>
      </c>
      <c r="P39" s="211">
        <f t="shared" si="13"/>
        <v>-0.11143602160302479</v>
      </c>
    </row>
    <row r="40" spans="1:16" ht="15" customHeight="1" x14ac:dyDescent="0.25">
      <c r="A40" s="131" t="s">
        <v>420</v>
      </c>
      <c r="B40" s="23" t="s">
        <v>515</v>
      </c>
      <c r="C40" s="199">
        <v>50177184.560000002</v>
      </c>
      <c r="D40" s="204">
        <v>54534969.630000003</v>
      </c>
      <c r="E40" s="30">
        <v>48122348.259999998</v>
      </c>
      <c r="F40" s="48">
        <f t="shared" si="9"/>
        <v>0.88241267184143835</v>
      </c>
      <c r="G40" s="30">
        <v>44771996.740000002</v>
      </c>
      <c r="H40" s="280">
        <f t="shared" si="10"/>
        <v>0.82097775140908247</v>
      </c>
      <c r="I40" s="30">
        <v>31797627.969999999</v>
      </c>
      <c r="J40" s="178">
        <f t="shared" si="11"/>
        <v>0.5830685922397203</v>
      </c>
      <c r="K40" s="573">
        <v>40574445.189999998</v>
      </c>
      <c r="L40" s="280">
        <v>0.84099370581693</v>
      </c>
      <c r="M40" s="211">
        <f t="shared" si="12"/>
        <v>0.10345308556516097</v>
      </c>
      <c r="N40" s="573">
        <v>31061246.620000001</v>
      </c>
      <c r="O40" s="280">
        <v>0.64381195552824255</v>
      </c>
      <c r="P40" s="211">
        <f t="shared" si="13"/>
        <v>2.3707398450835138E-2</v>
      </c>
    </row>
    <row r="41" spans="1:16" ht="15" customHeight="1" x14ac:dyDescent="0.25">
      <c r="A41" s="131" t="s">
        <v>419</v>
      </c>
      <c r="B41" s="23" t="s">
        <v>516</v>
      </c>
      <c r="C41" s="199">
        <v>283222598.26999998</v>
      </c>
      <c r="D41" s="204">
        <v>283723738.50999999</v>
      </c>
      <c r="E41" s="30">
        <v>275719020.85000002</v>
      </c>
      <c r="F41" s="48">
        <f t="shared" si="9"/>
        <v>0.97178693012422068</v>
      </c>
      <c r="G41" s="30">
        <v>271805158.10000002</v>
      </c>
      <c r="H41" s="280">
        <f t="shared" si="10"/>
        <v>0.95799230451215878</v>
      </c>
      <c r="I41" s="30">
        <v>135788591.97</v>
      </c>
      <c r="J41" s="178">
        <f t="shared" si="11"/>
        <v>0.47859439849166535</v>
      </c>
      <c r="K41" s="573">
        <v>273702684.01999998</v>
      </c>
      <c r="L41" s="280">
        <v>0.94562162389325743</v>
      </c>
      <c r="M41" s="211">
        <f t="shared" si="12"/>
        <v>-6.9327998254532508E-3</v>
      </c>
      <c r="N41" s="573">
        <v>136593807.16999999</v>
      </c>
      <c r="O41" s="280">
        <v>0.47192104897451226</v>
      </c>
      <c r="P41" s="211">
        <f t="shared" si="13"/>
        <v>-5.8949612481175029E-3</v>
      </c>
    </row>
    <row r="42" spans="1:16" ht="15" customHeight="1" x14ac:dyDescent="0.25">
      <c r="A42" s="131" t="s">
        <v>443</v>
      </c>
      <c r="B42" s="23" t="s">
        <v>517</v>
      </c>
      <c r="C42" s="199">
        <v>4757330.3899999997</v>
      </c>
      <c r="D42" s="204">
        <v>4403734.24</v>
      </c>
      <c r="E42" s="30">
        <v>3769498.83</v>
      </c>
      <c r="F42" s="48">
        <f t="shared" si="9"/>
        <v>0.85597781895212643</v>
      </c>
      <c r="G42" s="30">
        <v>3629731.7</v>
      </c>
      <c r="H42" s="280">
        <f t="shared" si="10"/>
        <v>0.82423949815827213</v>
      </c>
      <c r="I42" s="30">
        <v>1954870.13</v>
      </c>
      <c r="J42" s="178">
        <f t="shared" si="11"/>
        <v>0.44391192189654022</v>
      </c>
      <c r="K42" s="560">
        <v>3623753.36</v>
      </c>
      <c r="L42" s="280">
        <v>0.72597678871800153</v>
      </c>
      <c r="M42" s="211">
        <f t="shared" si="12"/>
        <v>1.6497645965618535E-3</v>
      </c>
      <c r="N42" s="560">
        <v>1770453.58</v>
      </c>
      <c r="O42" s="280">
        <v>0.35468975862714053</v>
      </c>
      <c r="P42" s="211">
        <f t="shared" si="13"/>
        <v>0.10416344832943869</v>
      </c>
    </row>
    <row r="43" spans="1:16" ht="15" customHeight="1" x14ac:dyDescent="0.25">
      <c r="A43" s="131" t="s">
        <v>447</v>
      </c>
      <c r="B43" s="23" t="s">
        <v>518</v>
      </c>
      <c r="C43" s="199">
        <v>36983581.259999998</v>
      </c>
      <c r="D43" s="204">
        <v>36875388.020000003</v>
      </c>
      <c r="E43" s="30">
        <v>34260826.57</v>
      </c>
      <c r="F43" s="48">
        <f t="shared" si="9"/>
        <v>0.92909738472224479</v>
      </c>
      <c r="G43" s="30">
        <v>33363609.82</v>
      </c>
      <c r="H43" s="280">
        <f t="shared" si="10"/>
        <v>0.90476633905261339</v>
      </c>
      <c r="I43" s="30">
        <v>15149929.789999999</v>
      </c>
      <c r="J43" s="178">
        <f t="shared" si="11"/>
        <v>0.41084123051893512</v>
      </c>
      <c r="K43" s="560">
        <v>31445468.699999999</v>
      </c>
      <c r="L43" s="280">
        <v>0.84654187533923575</v>
      </c>
      <c r="M43" s="211">
        <f t="shared" si="12"/>
        <v>6.0998967396532988E-2</v>
      </c>
      <c r="N43" s="560">
        <v>14347421.9</v>
      </c>
      <c r="O43" s="280">
        <v>0.38624622063620956</v>
      </c>
      <c r="P43" s="211">
        <f t="shared" si="13"/>
        <v>5.5933943784004736E-2</v>
      </c>
    </row>
    <row r="44" spans="1:16" ht="15" customHeight="1" x14ac:dyDescent="0.25">
      <c r="A44" s="131" t="s">
        <v>510</v>
      </c>
      <c r="B44" s="23" t="s">
        <v>519</v>
      </c>
      <c r="C44" s="199">
        <v>82667330.079999998</v>
      </c>
      <c r="D44" s="204">
        <v>83249657.640000001</v>
      </c>
      <c r="E44" s="30">
        <v>69639496.180000007</v>
      </c>
      <c r="F44" s="48">
        <f t="shared" si="9"/>
        <v>0.83651390473153675</v>
      </c>
      <c r="G44" s="30">
        <v>59420748.590000004</v>
      </c>
      <c r="H44" s="280">
        <f t="shared" si="10"/>
        <v>0.7137656811389621</v>
      </c>
      <c r="I44" s="30">
        <v>39852366.380000003</v>
      </c>
      <c r="J44" s="178">
        <f t="shared" si="11"/>
        <v>0.47870907232237841</v>
      </c>
      <c r="K44" s="560">
        <v>63371604.649999999</v>
      </c>
      <c r="L44" s="280">
        <v>0.71116930993164729</v>
      </c>
      <c r="M44" s="211">
        <f t="shared" si="12"/>
        <v>-6.2344264151436346E-2</v>
      </c>
      <c r="N44" s="560">
        <v>44562711.350000001</v>
      </c>
      <c r="O44" s="280">
        <v>0.50009200263264419</v>
      </c>
      <c r="P44" s="211">
        <f t="shared" ref="P44:P45" si="14">+I44/N44-1</f>
        <v>-0.10570148959304737</v>
      </c>
    </row>
    <row r="45" spans="1:16" ht="26.4" x14ac:dyDescent="0.25">
      <c r="A45" s="711" t="s">
        <v>511</v>
      </c>
      <c r="B45" s="722" t="s">
        <v>778</v>
      </c>
      <c r="C45" s="199">
        <v>39407700.859999999</v>
      </c>
      <c r="D45" s="204">
        <v>47238130.020000003</v>
      </c>
      <c r="E45" s="30">
        <v>32155096.739999998</v>
      </c>
      <c r="F45" s="48">
        <f t="shared" si="9"/>
        <v>0.68070215155396607</v>
      </c>
      <c r="G45" s="30">
        <v>26859431.989999998</v>
      </c>
      <c r="H45" s="390">
        <f t="shared" si="10"/>
        <v>0.56859642789898901</v>
      </c>
      <c r="I45" s="30">
        <v>25245561.68</v>
      </c>
      <c r="J45" s="392">
        <f t="shared" si="11"/>
        <v>0.53443185979867025</v>
      </c>
      <c r="K45" s="573">
        <v>31801242.850000001</v>
      </c>
      <c r="L45" s="280">
        <v>0.51724986525301497</v>
      </c>
      <c r="M45" s="211">
        <f t="shared" si="12"/>
        <v>-0.15539678380840394</v>
      </c>
      <c r="N45" s="573">
        <v>30894008.399999999</v>
      </c>
      <c r="O45" s="280">
        <v>0.50249362131535402</v>
      </c>
      <c r="P45" s="211">
        <f t="shared" si="14"/>
        <v>-0.18283308034576695</v>
      </c>
    </row>
    <row r="46" spans="1:16" ht="15" customHeight="1" x14ac:dyDescent="0.25">
      <c r="A46" s="711" t="s">
        <v>421</v>
      </c>
      <c r="B46" s="24" t="s">
        <v>23</v>
      </c>
      <c r="C46" s="199">
        <v>298770260.13</v>
      </c>
      <c r="D46" s="204">
        <v>291888240.02999997</v>
      </c>
      <c r="E46" s="30">
        <v>223310486.13999999</v>
      </c>
      <c r="F46" s="48">
        <f>+E46/D46</f>
        <v>0.76505475560457104</v>
      </c>
      <c r="G46" s="30">
        <v>223310486.13999999</v>
      </c>
      <c r="H46" s="390">
        <f t="shared" si="10"/>
        <v>0.76505475560457104</v>
      </c>
      <c r="I46" s="30">
        <v>158648881.62</v>
      </c>
      <c r="J46" s="392">
        <f t="shared" si="11"/>
        <v>0.54352611672088691</v>
      </c>
      <c r="K46" s="574">
        <v>219475844.59</v>
      </c>
      <c r="L46" s="390">
        <v>0.53688026490740148</v>
      </c>
      <c r="M46" s="211">
        <f t="shared" si="12"/>
        <v>1.7471815894653187E-2</v>
      </c>
      <c r="N46" s="574">
        <v>184865366.09999999</v>
      </c>
      <c r="O46" s="390">
        <v>0.4522163562435787</v>
      </c>
      <c r="P46" s="211">
        <f>+I46/N46-1</f>
        <v>-0.14181393212300564</v>
      </c>
    </row>
    <row r="47" spans="1:16" ht="15" customHeight="1" x14ac:dyDescent="0.25">
      <c r="A47" s="31">
        <v>8</v>
      </c>
      <c r="B47" s="519" t="s">
        <v>520</v>
      </c>
      <c r="C47" s="200">
        <v>72658648.889999986</v>
      </c>
      <c r="D47" s="512">
        <v>73918479.030000001</v>
      </c>
      <c r="E47" s="180">
        <v>64729558.479999997</v>
      </c>
      <c r="F47" s="78">
        <f t="shared" si="9"/>
        <v>0.87568845205444967</v>
      </c>
      <c r="G47" s="180">
        <v>61608314.170000002</v>
      </c>
      <c r="H47" s="390">
        <f t="shared" si="10"/>
        <v>0.83346295782136037</v>
      </c>
      <c r="I47" s="180">
        <v>33969818.020000003</v>
      </c>
      <c r="J47" s="392">
        <f t="shared" si="11"/>
        <v>0.45955785976350066</v>
      </c>
      <c r="K47" s="574">
        <v>157487550.66999999</v>
      </c>
      <c r="L47" s="390">
        <v>0.941686376083676</v>
      </c>
      <c r="M47" s="516">
        <f t="shared" si="12"/>
        <v>-0.60880517915289512</v>
      </c>
      <c r="N47" s="574">
        <v>106393023.56</v>
      </c>
      <c r="O47" s="390">
        <v>0.63617003611122058</v>
      </c>
      <c r="P47" s="516">
        <f>+I47/N47-1</f>
        <v>-0.68071385807695528</v>
      </c>
    </row>
    <row r="48" spans="1:16" ht="15" customHeight="1" x14ac:dyDescent="0.25">
      <c r="A48" s="9"/>
      <c r="B48" s="2" t="s">
        <v>24</v>
      </c>
      <c r="C48" s="520">
        <f>SUM(C36:C47)</f>
        <v>1823270872.8799996</v>
      </c>
      <c r="D48" s="207">
        <f>SUM(D36:D47)</f>
        <v>1835827108.8</v>
      </c>
      <c r="E48" s="203">
        <f>SUM(E36:E47)</f>
        <v>1502882812.6100001</v>
      </c>
      <c r="F48" s="90">
        <f t="shared" ref="F48:F60" si="15">+E48/D48</f>
        <v>0.81864071262809113</v>
      </c>
      <c r="G48" s="203">
        <f>SUM(G36:G47)</f>
        <v>1454343602.6300001</v>
      </c>
      <c r="H48" s="90">
        <f t="shared" ref="H48:H60" si="16">+G48/D48</f>
        <v>0.79220074464454393</v>
      </c>
      <c r="I48" s="203">
        <f>SUM(I36:I47)</f>
        <v>974581108.19999993</v>
      </c>
      <c r="J48" s="170">
        <f t="shared" ref="J48:J60" si="17">+I48/D48</f>
        <v>0.53086758743694606</v>
      </c>
      <c r="K48" s="613">
        <f>SUM(K36:K47)</f>
        <v>1400788426.7100003</v>
      </c>
      <c r="L48" s="90">
        <v>0.76128255047869153</v>
      </c>
      <c r="M48" s="213">
        <f t="shared" si="12"/>
        <v>3.8232166184998917E-2</v>
      </c>
      <c r="N48" s="613">
        <f>SUM(N36:N47)</f>
        <v>1005314669.0900002</v>
      </c>
      <c r="O48" s="90">
        <v>0.54600000000000004</v>
      </c>
      <c r="P48" s="213">
        <f t="shared" ref="P48:P60" si="18">+I48/N48-1</f>
        <v>-3.0571085685857868E-2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49162083.210000001</v>
      </c>
      <c r="E49" s="30">
        <v>46639197.729999997</v>
      </c>
      <c r="F49" s="48">
        <f t="shared" si="15"/>
        <v>0.94868229100009283</v>
      </c>
      <c r="G49" s="30">
        <v>46008140.93</v>
      </c>
      <c r="H49" s="48">
        <f t="shared" si="16"/>
        <v>0.93584604080897738</v>
      </c>
      <c r="I49" s="30">
        <v>28588482.780000001</v>
      </c>
      <c r="J49" s="153">
        <f t="shared" si="17"/>
        <v>0.58151487718455452</v>
      </c>
      <c r="K49" s="572">
        <v>45249334.840000004</v>
      </c>
      <c r="L49" s="48">
        <v>0.94335630926721448</v>
      </c>
      <c r="M49" s="210">
        <f t="shared" si="12"/>
        <v>1.6769441864352475E-2</v>
      </c>
      <c r="N49" s="572">
        <v>29867752.02</v>
      </c>
      <c r="O49" s="48">
        <v>0.62268169048947697</v>
      </c>
      <c r="P49" s="210">
        <f>+I49/N49-1</f>
        <v>-4.2831118965477422E-2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43033540.289999999</v>
      </c>
      <c r="E50" s="30">
        <v>40366478.409999996</v>
      </c>
      <c r="F50" s="280">
        <f t="shared" si="15"/>
        <v>0.93802364708952923</v>
      </c>
      <c r="G50" s="30">
        <v>39776789.159999996</v>
      </c>
      <c r="H50" s="280">
        <f t="shared" si="16"/>
        <v>0.92432063204530734</v>
      </c>
      <c r="I50" s="30">
        <v>25047964.629999999</v>
      </c>
      <c r="J50" s="178">
        <f t="shared" si="17"/>
        <v>0.58205679712158298</v>
      </c>
      <c r="K50" s="573">
        <v>38608655.630000003</v>
      </c>
      <c r="L50" s="280">
        <v>0.91184560409669246</v>
      </c>
      <c r="M50" s="211">
        <f t="shared" si="12"/>
        <v>3.0255742162965227E-2</v>
      </c>
      <c r="N50" s="573">
        <v>23336899.91</v>
      </c>
      <c r="O50" s="280">
        <v>0.55116266673743275</v>
      </c>
      <c r="P50" s="211">
        <f>+I50/N50-1</f>
        <v>7.3320137918867268E-2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37056162.259999998</v>
      </c>
      <c r="E51" s="30">
        <v>34357890.210000001</v>
      </c>
      <c r="F51" s="280">
        <f t="shared" si="15"/>
        <v>0.92718425531851079</v>
      </c>
      <c r="G51" s="30">
        <v>33766638.649999999</v>
      </c>
      <c r="H51" s="280">
        <f t="shared" si="16"/>
        <v>0.91122870234323072</v>
      </c>
      <c r="I51" s="30">
        <v>20345952.41</v>
      </c>
      <c r="J51" s="178">
        <f t="shared" si="17"/>
        <v>0.54905719235697237</v>
      </c>
      <c r="K51" s="573">
        <v>32616686.289999999</v>
      </c>
      <c r="L51" s="280">
        <v>0.89635372102624122</v>
      </c>
      <c r="M51" s="211">
        <f t="shared" si="12"/>
        <v>3.5256566218149654E-2</v>
      </c>
      <c r="N51" s="573">
        <v>19781499.48</v>
      </c>
      <c r="O51" s="280">
        <v>0.54362422070487582</v>
      </c>
      <c r="P51" s="211">
        <f t="shared" si="18"/>
        <v>2.8534385402415374E-2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16184156.949999999</v>
      </c>
      <c r="E52" s="30">
        <v>14526139.949999999</v>
      </c>
      <c r="F52" s="280">
        <f t="shared" si="15"/>
        <v>0.89755308199726769</v>
      </c>
      <c r="G52" s="30">
        <v>14125945.130000001</v>
      </c>
      <c r="H52" s="280">
        <f t="shared" si="16"/>
        <v>0.87282551532596209</v>
      </c>
      <c r="I52" s="30">
        <v>8646342.8200000003</v>
      </c>
      <c r="J52" s="178">
        <f t="shared" si="17"/>
        <v>0.53424734119375927</v>
      </c>
      <c r="K52" s="573">
        <v>13981449.49</v>
      </c>
      <c r="L52" s="280">
        <v>0.86770981168559935</v>
      </c>
      <c r="M52" s="211">
        <f t="shared" si="12"/>
        <v>1.0334811144105505E-2</v>
      </c>
      <c r="N52" s="573">
        <v>9212308.9499999993</v>
      </c>
      <c r="O52" s="280">
        <v>0.57172976735433323</v>
      </c>
      <c r="P52" s="211">
        <f t="shared" si="18"/>
        <v>-6.1435860767565686E-2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22209227.390000001</v>
      </c>
      <c r="E53" s="30">
        <v>19713373.809999999</v>
      </c>
      <c r="F53" s="280">
        <f t="shared" si="15"/>
        <v>0.88762087324461392</v>
      </c>
      <c r="G53" s="30">
        <v>19398186.539999999</v>
      </c>
      <c r="H53" s="280">
        <f t="shared" si="16"/>
        <v>0.87342914723518428</v>
      </c>
      <c r="I53" s="30">
        <v>12928305.76</v>
      </c>
      <c r="J53" s="178">
        <f t="shared" si="17"/>
        <v>0.58211416061331067</v>
      </c>
      <c r="K53" s="573">
        <v>19651256.829999998</v>
      </c>
      <c r="L53" s="280">
        <v>0.89624729210841325</v>
      </c>
      <c r="M53" s="211">
        <f t="shared" si="12"/>
        <v>-1.2878071473456987E-2</v>
      </c>
      <c r="N53" s="573">
        <v>13441834.91</v>
      </c>
      <c r="O53" s="280">
        <v>0.61305026153158459</v>
      </c>
      <c r="P53" s="211">
        <f t="shared" si="18"/>
        <v>-3.8203798323543037E-2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25656461.359999999</v>
      </c>
      <c r="E54" s="30">
        <v>23534615.399999999</v>
      </c>
      <c r="F54" s="280">
        <f t="shared" si="15"/>
        <v>0.91729779371257758</v>
      </c>
      <c r="G54" s="30">
        <v>23148379.399999999</v>
      </c>
      <c r="H54" s="280">
        <f t="shared" si="16"/>
        <v>0.90224365220099079</v>
      </c>
      <c r="I54" s="30">
        <v>15638829.23</v>
      </c>
      <c r="J54" s="178">
        <f t="shared" si="17"/>
        <v>0.60954739667964875</v>
      </c>
      <c r="K54" s="573">
        <v>22930304.940000001</v>
      </c>
      <c r="L54" s="280">
        <v>0.91172544807639333</v>
      </c>
      <c r="M54" s="211">
        <f t="shared" si="12"/>
        <v>9.5103166124748117E-3</v>
      </c>
      <c r="N54" s="573">
        <v>14266249.42</v>
      </c>
      <c r="O54" s="280">
        <v>0.56723635725095101</v>
      </c>
      <c r="P54" s="211">
        <f t="shared" si="18"/>
        <v>9.621167901885741E-2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31649146.800000001</v>
      </c>
      <c r="E55" s="30">
        <v>29304092.010000002</v>
      </c>
      <c r="F55" s="280">
        <f t="shared" si="15"/>
        <v>0.92590464429202246</v>
      </c>
      <c r="G55" s="30">
        <v>28688697.170000002</v>
      </c>
      <c r="H55" s="280">
        <f t="shared" si="16"/>
        <v>0.90646036530754126</v>
      </c>
      <c r="I55" s="30">
        <v>17411013.02</v>
      </c>
      <c r="J55" s="178">
        <f t="shared" si="17"/>
        <v>0.55012582582478964</v>
      </c>
      <c r="K55" s="573">
        <v>28452365.77</v>
      </c>
      <c r="L55" s="280">
        <v>0.91139014539048513</v>
      </c>
      <c r="M55" s="211">
        <f t="shared" si="12"/>
        <v>8.3062126330875063E-3</v>
      </c>
      <c r="N55" s="573">
        <v>17378753.309999999</v>
      </c>
      <c r="O55" s="280">
        <v>0.55667864788265287</v>
      </c>
      <c r="P55" s="211">
        <f t="shared" si="18"/>
        <v>1.8562729687541246E-3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35250192.039999999</v>
      </c>
      <c r="E56" s="30">
        <v>32052001.989999998</v>
      </c>
      <c r="F56" s="280">
        <f t="shared" si="15"/>
        <v>0.90927169853795775</v>
      </c>
      <c r="G56" s="30">
        <v>30881202.280000001</v>
      </c>
      <c r="H56" s="280">
        <f t="shared" si="16"/>
        <v>0.87605770331570654</v>
      </c>
      <c r="I56" s="30">
        <v>19408452.690000001</v>
      </c>
      <c r="J56" s="178">
        <f t="shared" si="17"/>
        <v>0.55059140296246745</v>
      </c>
      <c r="K56" s="573">
        <v>30229461.18</v>
      </c>
      <c r="L56" s="280">
        <v>0.90305096120953476</v>
      </c>
      <c r="M56" s="211">
        <f t="shared" si="12"/>
        <v>2.1559798771114025E-2</v>
      </c>
      <c r="N56" s="573">
        <v>15470992.93</v>
      </c>
      <c r="O56" s="280">
        <v>0.46216817935034121</v>
      </c>
      <c r="P56" s="211">
        <f t="shared" si="18"/>
        <v>0.25450595044645286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29325752.039999999</v>
      </c>
      <c r="E57" s="30">
        <v>25883634.760000002</v>
      </c>
      <c r="F57" s="280">
        <f t="shared" si="15"/>
        <v>0.88262475672218099</v>
      </c>
      <c r="G57" s="30">
        <v>25026726.129999999</v>
      </c>
      <c r="H57" s="280">
        <f t="shared" si="16"/>
        <v>0.85340441042616144</v>
      </c>
      <c r="I57" s="30">
        <v>17522389.079999998</v>
      </c>
      <c r="J57" s="178">
        <f t="shared" si="17"/>
        <v>0.59750860118095706</v>
      </c>
      <c r="K57" s="573">
        <v>24581441.239999998</v>
      </c>
      <c r="L57" s="280">
        <v>0.83846964937818647</v>
      </c>
      <c r="M57" s="211">
        <f t="shared" si="12"/>
        <v>1.8114677884525809E-2</v>
      </c>
      <c r="N57" s="573">
        <v>15511979.73</v>
      </c>
      <c r="O57" s="280">
        <v>0.5291115390016341</v>
      </c>
      <c r="P57" s="211">
        <f t="shared" si="18"/>
        <v>0.12960366020282299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2">
        <v>44578596.299999997</v>
      </c>
      <c r="E58" s="34">
        <v>42063453.979999997</v>
      </c>
      <c r="F58" s="390">
        <f t="shared" si="15"/>
        <v>0.94357959808617842</v>
      </c>
      <c r="G58" s="180">
        <v>41454930.68</v>
      </c>
      <c r="H58" s="390">
        <f t="shared" si="16"/>
        <v>0.9299290269487468</v>
      </c>
      <c r="I58" s="180">
        <v>26023714.02</v>
      </c>
      <c r="J58" s="392">
        <f t="shared" si="17"/>
        <v>0.58377149977690079</v>
      </c>
      <c r="K58" s="574">
        <v>40452041.710000001</v>
      </c>
      <c r="L58" s="390">
        <v>0.92698359542687003</v>
      </c>
      <c r="M58" s="516">
        <f t="shared" si="12"/>
        <v>2.4792048252834542E-2</v>
      </c>
      <c r="N58" s="574">
        <v>27113203.34</v>
      </c>
      <c r="O58" s="390">
        <v>0.6213158508990626</v>
      </c>
      <c r="P58" s="516">
        <f t="shared" si="18"/>
        <v>-4.0182980459290918E-2</v>
      </c>
    </row>
    <row r="59" spans="1:16" ht="15" customHeight="1" thickBot="1" x14ac:dyDescent="0.3">
      <c r="A59" s="10">
        <v>6</v>
      </c>
      <c r="B59" s="2" t="s">
        <v>35</v>
      </c>
      <c r="C59" s="523">
        <f>SUM(C49:C58)</f>
        <v>328129038.37999994</v>
      </c>
      <c r="D59" s="552">
        <f>SUM(D49:D58)</f>
        <v>334105318.63999999</v>
      </c>
      <c r="E59" s="203">
        <f>SUM(E49:E58)</f>
        <v>308440878.25</v>
      </c>
      <c r="F59" s="90">
        <f t="shared" si="15"/>
        <v>0.92318457995679637</v>
      </c>
      <c r="G59" s="524">
        <f>SUM(G49:G58)</f>
        <v>302275636.06999999</v>
      </c>
      <c r="H59" s="90">
        <f t="shared" si="16"/>
        <v>0.90473158972875667</v>
      </c>
      <c r="I59" s="524">
        <f>SUM(I49:I58)</f>
        <v>191561446.44000003</v>
      </c>
      <c r="J59" s="170">
        <f t="shared" si="17"/>
        <v>0.57335647100670184</v>
      </c>
      <c r="K59" s="613">
        <f>SUM(K49:K58)</f>
        <v>296752997.92000002</v>
      </c>
      <c r="L59" s="90">
        <v>0.90602132780229139</v>
      </c>
      <c r="M59" s="213">
        <f t="shared" si="12"/>
        <v>1.8610218561258884E-2</v>
      </c>
      <c r="N59" s="613">
        <f>SUM(N49:N58)</f>
        <v>185381474</v>
      </c>
      <c r="O59" s="90">
        <v>0.56599114550042473</v>
      </c>
      <c r="P59" s="213">
        <f t="shared" si="18"/>
        <v>3.3336515816030365E-2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2169932427.4400001</v>
      </c>
      <c r="E60" s="209">
        <f>+E48+E59</f>
        <v>1811323690.8600001</v>
      </c>
      <c r="F60" s="181">
        <f t="shared" si="15"/>
        <v>0.83473737152125416</v>
      </c>
      <c r="G60" s="209">
        <f>+G48+G59</f>
        <v>1756619238.7</v>
      </c>
      <c r="H60" s="181">
        <f t="shared" si="16"/>
        <v>0.80952716153119553</v>
      </c>
      <c r="I60" s="209">
        <f>+I48+I59</f>
        <v>1166142554.6399999</v>
      </c>
      <c r="J60" s="173">
        <f t="shared" si="17"/>
        <v>0.53740961695096123</v>
      </c>
      <c r="K60" s="614">
        <f>K48+K59</f>
        <v>1697541424.6300004</v>
      </c>
      <c r="L60" s="181">
        <v>0.78315352421829887</v>
      </c>
      <c r="M60" s="601">
        <f t="shared" si="12"/>
        <v>3.4801986692534648E-2</v>
      </c>
      <c r="N60" s="614">
        <f>+N59+N48</f>
        <v>1190696143.0900002</v>
      </c>
      <c r="O60" s="181">
        <v>0.54932260692095847</v>
      </c>
      <c r="P60" s="601">
        <f t="shared" si="18"/>
        <v>-2.0621204320256492E-2</v>
      </c>
    </row>
    <row r="61" spans="1:16" ht="32.4" customHeight="1" x14ac:dyDescent="0.25">
      <c r="A61" s="712" t="s">
        <v>772</v>
      </c>
      <c r="B61" s="778" t="s">
        <v>773</v>
      </c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80"/>
      <c r="O138" s="680"/>
    </row>
    <row r="139" spans="12:15" x14ac:dyDescent="0.25">
      <c r="L139" s="680"/>
      <c r="N139" s="46"/>
      <c r="O139" s="680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110" zoomScaleNormal="110" workbookViewId="0">
      <selection activeCell="C41" sqref="C41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82" t="s">
        <v>505</v>
      </c>
      <c r="C18" s="783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topLeftCell="C1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2.6640625" style="46" bestFit="1" customWidth="1"/>
    <col min="15" max="15" width="9.33203125" style="442" bestFit="1" customWidth="1"/>
    <col min="16" max="16" width="9" style="97" bestFit="1" customWidth="1"/>
  </cols>
  <sheetData>
    <row r="1" spans="1:16384" ht="14.4" thickBot="1" x14ac:dyDescent="0.3">
      <c r="A1" s="7" t="s">
        <v>776</v>
      </c>
    </row>
    <row r="2" spans="1:16384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7" t="s">
        <v>544</v>
      </c>
      <c r="M3" s="88" t="s">
        <v>545</v>
      </c>
      <c r="N3" s="217" t="s">
        <v>39</v>
      </c>
      <c r="O3" s="637" t="s">
        <v>40</v>
      </c>
      <c r="P3" s="605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638" t="s">
        <v>18</v>
      </c>
      <c r="P4" s="581" t="s">
        <v>764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331294351.63</v>
      </c>
      <c r="E5" s="30">
        <v>214908147.90000001</v>
      </c>
      <c r="F5" s="48">
        <f t="shared" ref="F5:F13" si="0">E5/D5</f>
        <v>0.64869245987029756</v>
      </c>
      <c r="G5" s="30">
        <v>214513679.81</v>
      </c>
      <c r="H5" s="48">
        <f t="shared" ref="H5:H13" si="1">G5/D5</f>
        <v>0.64750177222935468</v>
      </c>
      <c r="I5" s="30">
        <v>213998342.03</v>
      </c>
      <c r="J5" s="153">
        <f t="shared" ref="J5:J13" si="2">I5/D5</f>
        <v>0.64594624380738042</v>
      </c>
      <c r="K5" s="30">
        <v>245759947.08000001</v>
      </c>
      <c r="L5" s="48">
        <v>0.62439999999999996</v>
      </c>
      <c r="M5" s="210">
        <f>+G5/K5-1</f>
        <v>-0.12714141438119975</v>
      </c>
      <c r="N5" s="683">
        <v>244700131.80000001</v>
      </c>
      <c r="O5" s="48">
        <v>0.62170000000000003</v>
      </c>
      <c r="P5" s="210">
        <f>+I5/N5-1</f>
        <v>-0.1254669931894169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476919826.13</v>
      </c>
      <c r="E6" s="32">
        <v>433462679.75999999</v>
      </c>
      <c r="F6" s="48">
        <f t="shared" si="0"/>
        <v>0.90887955587286839</v>
      </c>
      <c r="G6" s="32">
        <v>405670691.20999998</v>
      </c>
      <c r="H6" s="48">
        <f t="shared" si="1"/>
        <v>0.85060563428835367</v>
      </c>
      <c r="I6" s="32">
        <v>199448312.13999999</v>
      </c>
      <c r="J6" s="153">
        <f t="shared" si="2"/>
        <v>0.41820092437430745</v>
      </c>
      <c r="K6" s="32">
        <v>384466627.31999999</v>
      </c>
      <c r="L6" s="280">
        <v>0.84250000000000003</v>
      </c>
      <c r="M6" s="210">
        <f>+G6/K6-1</f>
        <v>5.5151897156346275E-2</v>
      </c>
      <c r="N6" s="32">
        <v>187818171.03999999</v>
      </c>
      <c r="O6" s="280">
        <v>0.41160000000000002</v>
      </c>
      <c r="P6" s="210">
        <f>+I6/N6-1</f>
        <v>6.1922342420867693E-2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10767853.82</v>
      </c>
      <c r="F7" s="48">
        <f t="shared" si="0"/>
        <v>0.48723320452488689</v>
      </c>
      <c r="G7" s="32">
        <v>10767853.82</v>
      </c>
      <c r="H7" s="48">
        <f t="shared" si="1"/>
        <v>0.48723320452488689</v>
      </c>
      <c r="I7" s="32">
        <v>10767853.82</v>
      </c>
      <c r="J7" s="153">
        <f t="shared" si="2"/>
        <v>0.48723320452488689</v>
      </c>
      <c r="K7" s="32">
        <v>11907779.859999999</v>
      </c>
      <c r="L7" s="280">
        <v>0.47920000000000001</v>
      </c>
      <c r="M7" s="210">
        <f>+G7/K7-1</f>
        <v>-9.5729519138087138E-2</v>
      </c>
      <c r="N7" s="32">
        <v>11907779.859999999</v>
      </c>
      <c r="O7" s="280">
        <v>0.47920000000000001</v>
      </c>
      <c r="P7" s="210">
        <f>+I7/N7-1</f>
        <v>-9.5729519138087138E-2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998604638.66999996</v>
      </c>
      <c r="E8" s="34">
        <v>843744131.13</v>
      </c>
      <c r="F8" s="390">
        <f t="shared" si="0"/>
        <v>0.8449231041563634</v>
      </c>
      <c r="G8" s="34">
        <v>823391377.78999996</v>
      </c>
      <c r="H8" s="390">
        <f t="shared" si="1"/>
        <v>0.82454191168853441</v>
      </c>
      <c r="I8" s="34">
        <v>550366600.21000004</v>
      </c>
      <c r="J8" s="392">
        <f t="shared" si="2"/>
        <v>0.55113563356065565</v>
      </c>
      <c r="K8" s="34">
        <v>758654072.45000005</v>
      </c>
      <c r="L8" s="390">
        <v>0.79900000000000004</v>
      </c>
      <c r="M8" s="516">
        <f>+G8/K8-1</f>
        <v>8.5331783866838151E-2</v>
      </c>
      <c r="N8" s="34">
        <v>560888586.38999999</v>
      </c>
      <c r="O8" s="390">
        <v>0.5907</v>
      </c>
      <c r="P8" s="516">
        <f>+I8/N8-1</f>
        <v>-1.8759494194242277E-2</v>
      </c>
    </row>
    <row r="9" spans="1:16384" ht="15" customHeight="1" x14ac:dyDescent="0.25">
      <c r="A9" s="24">
        <v>5</v>
      </c>
      <c r="B9" s="24" t="s">
        <v>453</v>
      </c>
      <c r="C9" s="161">
        <v>13197818.9</v>
      </c>
      <c r="D9" s="206">
        <v>6908292.3700000001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16" t="s">
        <v>129</v>
      </c>
      <c r="N9" s="34">
        <v>0</v>
      </c>
      <c r="O9" s="390">
        <v>0</v>
      </c>
      <c r="P9" s="516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6"/>
      <c r="AD9" s="34"/>
      <c r="AE9" s="390"/>
      <c r="AF9" s="516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6"/>
      <c r="AT9" s="34"/>
      <c r="AU9" s="390"/>
      <c r="AV9" s="516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6"/>
      <c r="BJ9" s="34"/>
      <c r="BK9" s="390"/>
      <c r="BL9" s="516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6"/>
      <c r="BZ9" s="34"/>
      <c r="CA9" s="390"/>
      <c r="CB9" s="516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6"/>
      <c r="CP9" s="34"/>
      <c r="CQ9" s="390"/>
      <c r="CR9" s="516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6"/>
      <c r="DF9" s="34"/>
      <c r="DG9" s="390"/>
      <c r="DH9" s="516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6"/>
      <c r="DV9" s="34"/>
      <c r="DW9" s="390"/>
      <c r="DX9" s="516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6"/>
      <c r="EL9" s="34"/>
      <c r="EM9" s="390"/>
      <c r="EN9" s="516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6"/>
      <c r="FB9" s="34"/>
      <c r="FC9" s="390"/>
      <c r="FD9" s="516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6"/>
      <c r="FR9" s="34"/>
      <c r="FS9" s="390"/>
      <c r="FT9" s="516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6"/>
      <c r="GH9" s="34"/>
      <c r="GI9" s="390"/>
      <c r="GJ9" s="516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6"/>
      <c r="GX9" s="34"/>
      <c r="GY9" s="390"/>
      <c r="GZ9" s="516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6"/>
      <c r="HN9" s="34"/>
      <c r="HO9" s="390"/>
      <c r="HP9" s="516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6"/>
      <c r="ID9" s="34"/>
      <c r="IE9" s="390"/>
      <c r="IF9" s="516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6"/>
      <c r="IT9" s="34"/>
      <c r="IU9" s="390"/>
      <c r="IV9" s="516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6"/>
      <c r="JJ9" s="34"/>
      <c r="JK9" s="390"/>
      <c r="JL9" s="516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6"/>
      <c r="JZ9" s="34"/>
      <c r="KA9" s="390"/>
      <c r="KB9" s="516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6"/>
      <c r="KP9" s="34"/>
      <c r="KQ9" s="390"/>
      <c r="KR9" s="516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6"/>
      <c r="LF9" s="34"/>
      <c r="LG9" s="390"/>
      <c r="LH9" s="516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6"/>
      <c r="LV9" s="34"/>
      <c r="LW9" s="390"/>
      <c r="LX9" s="516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6"/>
      <c r="ML9" s="34"/>
      <c r="MM9" s="390"/>
      <c r="MN9" s="516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6"/>
      <c r="NB9" s="34"/>
      <c r="NC9" s="390"/>
      <c r="ND9" s="516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6"/>
      <c r="NR9" s="34"/>
      <c r="NS9" s="390"/>
      <c r="NT9" s="516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6"/>
      <c r="OH9" s="34"/>
      <c r="OI9" s="390"/>
      <c r="OJ9" s="516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6"/>
      <c r="OX9" s="34"/>
      <c r="OY9" s="390"/>
      <c r="OZ9" s="516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6"/>
      <c r="PN9" s="34"/>
      <c r="PO9" s="390"/>
      <c r="PP9" s="516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6"/>
      <c r="QD9" s="34"/>
      <c r="QE9" s="390"/>
      <c r="QF9" s="516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6"/>
      <c r="QT9" s="34"/>
      <c r="QU9" s="390"/>
      <c r="QV9" s="516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6"/>
      <c r="RJ9" s="34"/>
      <c r="RK9" s="390"/>
      <c r="RL9" s="516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6"/>
      <c r="RZ9" s="34"/>
      <c r="SA9" s="390"/>
      <c r="SB9" s="516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6"/>
      <c r="SP9" s="34"/>
      <c r="SQ9" s="390"/>
      <c r="SR9" s="516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6"/>
      <c r="TF9" s="34"/>
      <c r="TG9" s="390"/>
      <c r="TH9" s="516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6"/>
      <c r="TV9" s="34"/>
      <c r="TW9" s="390"/>
      <c r="TX9" s="516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6"/>
      <c r="UL9" s="34"/>
      <c r="UM9" s="390"/>
      <c r="UN9" s="516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6"/>
      <c r="VB9" s="34"/>
      <c r="VC9" s="390"/>
      <c r="VD9" s="516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6"/>
      <c r="VR9" s="34"/>
      <c r="VS9" s="390"/>
      <c r="VT9" s="516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6"/>
      <c r="WH9" s="34"/>
      <c r="WI9" s="390"/>
      <c r="WJ9" s="516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6"/>
      <c r="WX9" s="34"/>
      <c r="WY9" s="390"/>
      <c r="WZ9" s="516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6"/>
      <c r="XN9" s="34"/>
      <c r="XO9" s="390"/>
      <c r="XP9" s="516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6"/>
      <c r="YD9" s="34"/>
      <c r="YE9" s="390"/>
      <c r="YF9" s="516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6"/>
      <c r="YT9" s="34"/>
      <c r="YU9" s="390"/>
      <c r="YV9" s="516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6"/>
      <c r="ZJ9" s="34"/>
      <c r="ZK9" s="390"/>
      <c r="ZL9" s="516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6"/>
      <c r="ZZ9" s="34"/>
      <c r="AAA9" s="390"/>
      <c r="AAB9" s="516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6"/>
      <c r="AAP9" s="34"/>
      <c r="AAQ9" s="390"/>
      <c r="AAR9" s="516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6"/>
      <c r="ABF9" s="34"/>
      <c r="ABG9" s="390"/>
      <c r="ABH9" s="516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6"/>
      <c r="ABV9" s="34"/>
      <c r="ABW9" s="390"/>
      <c r="ABX9" s="516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6"/>
      <c r="ACL9" s="34"/>
      <c r="ACM9" s="390"/>
      <c r="ACN9" s="516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6"/>
      <c r="ADB9" s="34"/>
      <c r="ADC9" s="390"/>
      <c r="ADD9" s="516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6"/>
      <c r="ADR9" s="34"/>
      <c r="ADS9" s="390"/>
      <c r="ADT9" s="516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6"/>
      <c r="AEH9" s="34"/>
      <c r="AEI9" s="390"/>
      <c r="AEJ9" s="516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6"/>
      <c r="AEX9" s="34"/>
      <c r="AEY9" s="390"/>
      <c r="AEZ9" s="516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6"/>
      <c r="AFN9" s="34"/>
      <c r="AFO9" s="390"/>
      <c r="AFP9" s="516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6"/>
      <c r="AGD9" s="34"/>
      <c r="AGE9" s="390"/>
      <c r="AGF9" s="516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6"/>
      <c r="AGT9" s="34"/>
      <c r="AGU9" s="390"/>
      <c r="AGV9" s="516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6"/>
      <c r="AHJ9" s="34"/>
      <c r="AHK9" s="390"/>
      <c r="AHL9" s="516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6"/>
      <c r="AHZ9" s="34"/>
      <c r="AIA9" s="390"/>
      <c r="AIB9" s="516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6"/>
      <c r="AIP9" s="34"/>
      <c r="AIQ9" s="390"/>
      <c r="AIR9" s="516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6"/>
      <c r="AJF9" s="34"/>
      <c r="AJG9" s="390"/>
      <c r="AJH9" s="516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6"/>
      <c r="AJV9" s="34"/>
      <c r="AJW9" s="390"/>
      <c r="AJX9" s="516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6"/>
      <c r="AKL9" s="34"/>
      <c r="AKM9" s="390"/>
      <c r="AKN9" s="516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6"/>
      <c r="ALB9" s="34"/>
      <c r="ALC9" s="390"/>
      <c r="ALD9" s="516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6"/>
      <c r="ALR9" s="34"/>
      <c r="ALS9" s="390"/>
      <c r="ALT9" s="516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6"/>
      <c r="AMH9" s="34"/>
      <c r="AMI9" s="390"/>
      <c r="AMJ9" s="516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6"/>
      <c r="AMX9" s="34"/>
      <c r="AMY9" s="390"/>
      <c r="AMZ9" s="516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6"/>
      <c r="ANN9" s="34"/>
      <c r="ANO9" s="390"/>
      <c r="ANP9" s="516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6"/>
      <c r="AOD9" s="34"/>
      <c r="AOE9" s="390"/>
      <c r="AOF9" s="516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6"/>
      <c r="AOT9" s="34"/>
      <c r="AOU9" s="390"/>
      <c r="AOV9" s="516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6"/>
      <c r="APJ9" s="34"/>
      <c r="APK9" s="390"/>
      <c r="APL9" s="516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6"/>
      <c r="APZ9" s="34"/>
      <c r="AQA9" s="390"/>
      <c r="AQB9" s="516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6"/>
      <c r="AQP9" s="34"/>
      <c r="AQQ9" s="390"/>
      <c r="AQR9" s="516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6"/>
      <c r="ARF9" s="34"/>
      <c r="ARG9" s="390"/>
      <c r="ARH9" s="516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6"/>
      <c r="ARV9" s="34"/>
      <c r="ARW9" s="390"/>
      <c r="ARX9" s="516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6"/>
      <c r="ASL9" s="34"/>
      <c r="ASM9" s="390"/>
      <c r="ASN9" s="516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6"/>
      <c r="ATB9" s="34"/>
      <c r="ATC9" s="390"/>
      <c r="ATD9" s="516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6"/>
      <c r="ATR9" s="34"/>
      <c r="ATS9" s="390"/>
      <c r="ATT9" s="516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6"/>
      <c r="AUH9" s="34"/>
      <c r="AUI9" s="390"/>
      <c r="AUJ9" s="516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6"/>
      <c r="AUX9" s="34"/>
      <c r="AUY9" s="390"/>
      <c r="AUZ9" s="516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6"/>
      <c r="AVN9" s="34"/>
      <c r="AVO9" s="390"/>
      <c r="AVP9" s="516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6"/>
      <c r="AWD9" s="34"/>
      <c r="AWE9" s="390"/>
      <c r="AWF9" s="516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6"/>
      <c r="AWT9" s="34"/>
      <c r="AWU9" s="390"/>
      <c r="AWV9" s="516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6"/>
      <c r="AXJ9" s="34"/>
      <c r="AXK9" s="390"/>
      <c r="AXL9" s="516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6"/>
      <c r="AXZ9" s="34"/>
      <c r="AYA9" s="390"/>
      <c r="AYB9" s="516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6"/>
      <c r="AYP9" s="34"/>
      <c r="AYQ9" s="390"/>
      <c r="AYR9" s="516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6"/>
      <c r="AZF9" s="34"/>
      <c r="AZG9" s="390"/>
      <c r="AZH9" s="516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6"/>
      <c r="AZV9" s="34"/>
      <c r="AZW9" s="390"/>
      <c r="AZX9" s="516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6"/>
      <c r="BAL9" s="34"/>
      <c r="BAM9" s="390"/>
      <c r="BAN9" s="516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6"/>
      <c r="BBB9" s="34"/>
      <c r="BBC9" s="390"/>
      <c r="BBD9" s="516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6"/>
      <c r="BBR9" s="34"/>
      <c r="BBS9" s="390"/>
      <c r="BBT9" s="516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6"/>
      <c r="BCH9" s="34"/>
      <c r="BCI9" s="390"/>
      <c r="BCJ9" s="516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6"/>
      <c r="BCX9" s="34"/>
      <c r="BCY9" s="390"/>
      <c r="BCZ9" s="516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6"/>
      <c r="BDN9" s="34"/>
      <c r="BDO9" s="390"/>
      <c r="BDP9" s="516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6"/>
      <c r="BED9" s="34"/>
      <c r="BEE9" s="390"/>
      <c r="BEF9" s="516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6"/>
      <c r="BET9" s="34"/>
      <c r="BEU9" s="390"/>
      <c r="BEV9" s="516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6"/>
      <c r="BFJ9" s="34"/>
      <c r="BFK9" s="390"/>
      <c r="BFL9" s="516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6"/>
      <c r="BFZ9" s="34"/>
      <c r="BGA9" s="390"/>
      <c r="BGB9" s="516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6"/>
      <c r="BGP9" s="34"/>
      <c r="BGQ9" s="390"/>
      <c r="BGR9" s="516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6"/>
      <c r="BHF9" s="34"/>
      <c r="BHG9" s="390"/>
      <c r="BHH9" s="516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6"/>
      <c r="BHV9" s="34"/>
      <c r="BHW9" s="390"/>
      <c r="BHX9" s="516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6"/>
      <c r="BIL9" s="34"/>
      <c r="BIM9" s="390"/>
      <c r="BIN9" s="516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6"/>
      <c r="BJB9" s="34"/>
      <c r="BJC9" s="390"/>
      <c r="BJD9" s="516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6"/>
      <c r="BJR9" s="34"/>
      <c r="BJS9" s="390"/>
      <c r="BJT9" s="516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6"/>
      <c r="BKH9" s="34"/>
      <c r="BKI9" s="390"/>
      <c r="BKJ9" s="516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6"/>
      <c r="BKX9" s="34"/>
      <c r="BKY9" s="390"/>
      <c r="BKZ9" s="516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6"/>
      <c r="BLN9" s="34"/>
      <c r="BLO9" s="390"/>
      <c r="BLP9" s="516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6"/>
      <c r="BMD9" s="34"/>
      <c r="BME9" s="390"/>
      <c r="BMF9" s="516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6"/>
      <c r="BMT9" s="34"/>
      <c r="BMU9" s="390"/>
      <c r="BMV9" s="516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6"/>
      <c r="BNJ9" s="34"/>
      <c r="BNK9" s="390"/>
      <c r="BNL9" s="516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6"/>
      <c r="BNZ9" s="34"/>
      <c r="BOA9" s="390"/>
      <c r="BOB9" s="516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6"/>
      <c r="BOP9" s="34"/>
      <c r="BOQ9" s="390"/>
      <c r="BOR9" s="516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6"/>
      <c r="BPF9" s="34"/>
      <c r="BPG9" s="390"/>
      <c r="BPH9" s="516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6"/>
      <c r="BPV9" s="34"/>
      <c r="BPW9" s="390"/>
      <c r="BPX9" s="516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6"/>
      <c r="BQL9" s="34"/>
      <c r="BQM9" s="390"/>
      <c r="BQN9" s="516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6"/>
      <c r="BRB9" s="34"/>
      <c r="BRC9" s="390"/>
      <c r="BRD9" s="516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6"/>
      <c r="BRR9" s="34"/>
      <c r="BRS9" s="390"/>
      <c r="BRT9" s="516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6"/>
      <c r="BSH9" s="34"/>
      <c r="BSI9" s="390"/>
      <c r="BSJ9" s="516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6"/>
      <c r="BSX9" s="34"/>
      <c r="BSY9" s="390"/>
      <c r="BSZ9" s="516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6"/>
      <c r="BTN9" s="34"/>
      <c r="BTO9" s="390"/>
      <c r="BTP9" s="516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6"/>
      <c r="BUD9" s="34"/>
      <c r="BUE9" s="390"/>
      <c r="BUF9" s="516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6"/>
      <c r="BUT9" s="34"/>
      <c r="BUU9" s="390"/>
      <c r="BUV9" s="516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6"/>
      <c r="BVJ9" s="34"/>
      <c r="BVK9" s="390"/>
      <c r="BVL9" s="516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6"/>
      <c r="BVZ9" s="34"/>
      <c r="BWA9" s="390"/>
      <c r="BWB9" s="516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6"/>
      <c r="BWP9" s="34"/>
      <c r="BWQ9" s="390"/>
      <c r="BWR9" s="516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6"/>
      <c r="BXF9" s="34"/>
      <c r="BXG9" s="390"/>
      <c r="BXH9" s="516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6"/>
      <c r="BXV9" s="34"/>
      <c r="BXW9" s="390"/>
      <c r="BXX9" s="516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6"/>
      <c r="BYL9" s="34"/>
      <c r="BYM9" s="390"/>
      <c r="BYN9" s="516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6"/>
      <c r="BZB9" s="34"/>
      <c r="BZC9" s="390"/>
      <c r="BZD9" s="516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6"/>
      <c r="BZR9" s="34"/>
      <c r="BZS9" s="390"/>
      <c r="BZT9" s="516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6"/>
      <c r="CAH9" s="34"/>
      <c r="CAI9" s="390"/>
      <c r="CAJ9" s="516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6"/>
      <c r="CAX9" s="34"/>
      <c r="CAY9" s="390"/>
      <c r="CAZ9" s="516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6"/>
      <c r="CBN9" s="34"/>
      <c r="CBO9" s="390"/>
      <c r="CBP9" s="516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6"/>
      <c r="CCD9" s="34"/>
      <c r="CCE9" s="390"/>
      <c r="CCF9" s="516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6"/>
      <c r="CCT9" s="34"/>
      <c r="CCU9" s="390"/>
      <c r="CCV9" s="516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6"/>
      <c r="CDJ9" s="34"/>
      <c r="CDK9" s="390"/>
      <c r="CDL9" s="516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6"/>
      <c r="CDZ9" s="34"/>
      <c r="CEA9" s="390"/>
      <c r="CEB9" s="516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6"/>
      <c r="CEP9" s="34"/>
      <c r="CEQ9" s="390"/>
      <c r="CER9" s="516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6"/>
      <c r="CFF9" s="34"/>
      <c r="CFG9" s="390"/>
      <c r="CFH9" s="516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6"/>
      <c r="CFV9" s="34"/>
      <c r="CFW9" s="390"/>
      <c r="CFX9" s="516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6"/>
      <c r="CGL9" s="34"/>
      <c r="CGM9" s="390"/>
      <c r="CGN9" s="516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6"/>
      <c r="CHB9" s="34"/>
      <c r="CHC9" s="390"/>
      <c r="CHD9" s="516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6"/>
      <c r="CHR9" s="34"/>
      <c r="CHS9" s="390"/>
      <c r="CHT9" s="516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6"/>
      <c r="CIH9" s="34"/>
      <c r="CII9" s="390"/>
      <c r="CIJ9" s="516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6"/>
      <c r="CIX9" s="34"/>
      <c r="CIY9" s="390"/>
      <c r="CIZ9" s="516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6"/>
      <c r="CJN9" s="34"/>
      <c r="CJO9" s="390"/>
      <c r="CJP9" s="516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6"/>
      <c r="CKD9" s="34"/>
      <c r="CKE9" s="390"/>
      <c r="CKF9" s="516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6"/>
      <c r="CKT9" s="34"/>
      <c r="CKU9" s="390"/>
      <c r="CKV9" s="516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6"/>
      <c r="CLJ9" s="34"/>
      <c r="CLK9" s="390"/>
      <c r="CLL9" s="516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6"/>
      <c r="CLZ9" s="34"/>
      <c r="CMA9" s="390"/>
      <c r="CMB9" s="516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6"/>
      <c r="CMP9" s="34"/>
      <c r="CMQ9" s="390"/>
      <c r="CMR9" s="516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6"/>
      <c r="CNF9" s="34"/>
      <c r="CNG9" s="390"/>
      <c r="CNH9" s="516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6"/>
      <c r="CNV9" s="34"/>
      <c r="CNW9" s="390"/>
      <c r="CNX9" s="516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6"/>
      <c r="COL9" s="34"/>
      <c r="COM9" s="390"/>
      <c r="CON9" s="516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6"/>
      <c r="CPB9" s="34"/>
      <c r="CPC9" s="390"/>
      <c r="CPD9" s="516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6"/>
      <c r="CPR9" s="34"/>
      <c r="CPS9" s="390"/>
      <c r="CPT9" s="516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6"/>
      <c r="CQH9" s="34"/>
      <c r="CQI9" s="390"/>
      <c r="CQJ9" s="516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6"/>
      <c r="CQX9" s="34"/>
      <c r="CQY9" s="390"/>
      <c r="CQZ9" s="516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6"/>
      <c r="CRN9" s="34"/>
      <c r="CRO9" s="390"/>
      <c r="CRP9" s="516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6"/>
      <c r="CSD9" s="34"/>
      <c r="CSE9" s="390"/>
      <c r="CSF9" s="516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6"/>
      <c r="CST9" s="34"/>
      <c r="CSU9" s="390"/>
      <c r="CSV9" s="516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6"/>
      <c r="CTJ9" s="34"/>
      <c r="CTK9" s="390"/>
      <c r="CTL9" s="516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6"/>
      <c r="CTZ9" s="34"/>
      <c r="CUA9" s="390"/>
      <c r="CUB9" s="516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6"/>
      <c r="CUP9" s="34"/>
      <c r="CUQ9" s="390"/>
      <c r="CUR9" s="516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6"/>
      <c r="CVF9" s="34"/>
      <c r="CVG9" s="390"/>
      <c r="CVH9" s="516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6"/>
      <c r="CVV9" s="34"/>
      <c r="CVW9" s="390"/>
      <c r="CVX9" s="516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6"/>
      <c r="CWL9" s="34"/>
      <c r="CWM9" s="390"/>
      <c r="CWN9" s="516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6"/>
      <c r="CXB9" s="34"/>
      <c r="CXC9" s="390"/>
      <c r="CXD9" s="516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6"/>
      <c r="CXR9" s="34"/>
      <c r="CXS9" s="390"/>
      <c r="CXT9" s="516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6"/>
      <c r="CYH9" s="34"/>
      <c r="CYI9" s="390"/>
      <c r="CYJ9" s="516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6"/>
      <c r="CYX9" s="34"/>
      <c r="CYY9" s="390"/>
      <c r="CYZ9" s="516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6"/>
      <c r="CZN9" s="34"/>
      <c r="CZO9" s="390"/>
      <c r="CZP9" s="516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6"/>
      <c r="DAD9" s="34"/>
      <c r="DAE9" s="390"/>
      <c r="DAF9" s="516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6"/>
      <c r="DAT9" s="34"/>
      <c r="DAU9" s="390"/>
      <c r="DAV9" s="516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6"/>
      <c r="DBJ9" s="34"/>
      <c r="DBK9" s="390"/>
      <c r="DBL9" s="516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6"/>
      <c r="DBZ9" s="34"/>
      <c r="DCA9" s="390"/>
      <c r="DCB9" s="516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6"/>
      <c r="DCP9" s="34"/>
      <c r="DCQ9" s="390"/>
      <c r="DCR9" s="516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6"/>
      <c r="DDF9" s="34"/>
      <c r="DDG9" s="390"/>
      <c r="DDH9" s="516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6"/>
      <c r="DDV9" s="34"/>
      <c r="DDW9" s="390"/>
      <c r="DDX9" s="516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6"/>
      <c r="DEL9" s="34"/>
      <c r="DEM9" s="390"/>
      <c r="DEN9" s="516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6"/>
      <c r="DFB9" s="34"/>
      <c r="DFC9" s="390"/>
      <c r="DFD9" s="516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6"/>
      <c r="DFR9" s="34"/>
      <c r="DFS9" s="390"/>
      <c r="DFT9" s="516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6"/>
      <c r="DGH9" s="34"/>
      <c r="DGI9" s="390"/>
      <c r="DGJ9" s="516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6"/>
      <c r="DGX9" s="34"/>
      <c r="DGY9" s="390"/>
      <c r="DGZ9" s="516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6"/>
      <c r="DHN9" s="34"/>
      <c r="DHO9" s="390"/>
      <c r="DHP9" s="516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6"/>
      <c r="DID9" s="34"/>
      <c r="DIE9" s="390"/>
      <c r="DIF9" s="516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6"/>
      <c r="DIT9" s="34"/>
      <c r="DIU9" s="390"/>
      <c r="DIV9" s="516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6"/>
      <c r="DJJ9" s="34"/>
      <c r="DJK9" s="390"/>
      <c r="DJL9" s="516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6"/>
      <c r="DJZ9" s="34"/>
      <c r="DKA9" s="390"/>
      <c r="DKB9" s="516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6"/>
      <c r="DKP9" s="34"/>
      <c r="DKQ9" s="390"/>
      <c r="DKR9" s="516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6"/>
      <c r="DLF9" s="34"/>
      <c r="DLG9" s="390"/>
      <c r="DLH9" s="516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6"/>
      <c r="DLV9" s="34"/>
      <c r="DLW9" s="390"/>
      <c r="DLX9" s="516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6"/>
      <c r="DML9" s="34"/>
      <c r="DMM9" s="390"/>
      <c r="DMN9" s="516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6"/>
      <c r="DNB9" s="34"/>
      <c r="DNC9" s="390"/>
      <c r="DND9" s="516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6"/>
      <c r="DNR9" s="34"/>
      <c r="DNS9" s="390"/>
      <c r="DNT9" s="516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6"/>
      <c r="DOH9" s="34"/>
      <c r="DOI9" s="390"/>
      <c r="DOJ9" s="516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6"/>
      <c r="DOX9" s="34"/>
      <c r="DOY9" s="390"/>
      <c r="DOZ9" s="516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6"/>
      <c r="DPN9" s="34"/>
      <c r="DPO9" s="390"/>
      <c r="DPP9" s="516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6"/>
      <c r="DQD9" s="34"/>
      <c r="DQE9" s="390"/>
      <c r="DQF9" s="516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6"/>
      <c r="DQT9" s="34"/>
      <c r="DQU9" s="390"/>
      <c r="DQV9" s="516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6"/>
      <c r="DRJ9" s="34"/>
      <c r="DRK9" s="390"/>
      <c r="DRL9" s="516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6"/>
      <c r="DRZ9" s="34"/>
      <c r="DSA9" s="390"/>
      <c r="DSB9" s="516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6"/>
      <c r="DSP9" s="34"/>
      <c r="DSQ9" s="390"/>
      <c r="DSR9" s="516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6"/>
      <c r="DTF9" s="34"/>
      <c r="DTG9" s="390"/>
      <c r="DTH9" s="516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6"/>
      <c r="DTV9" s="34"/>
      <c r="DTW9" s="390"/>
      <c r="DTX9" s="516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6"/>
      <c r="DUL9" s="34"/>
      <c r="DUM9" s="390"/>
      <c r="DUN9" s="516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6"/>
      <c r="DVB9" s="34"/>
      <c r="DVC9" s="390"/>
      <c r="DVD9" s="516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6"/>
      <c r="DVR9" s="34"/>
      <c r="DVS9" s="390"/>
      <c r="DVT9" s="516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6"/>
      <c r="DWH9" s="34"/>
      <c r="DWI9" s="390"/>
      <c r="DWJ9" s="516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6"/>
      <c r="DWX9" s="34"/>
      <c r="DWY9" s="390"/>
      <c r="DWZ9" s="516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6"/>
      <c r="DXN9" s="34"/>
      <c r="DXO9" s="390"/>
      <c r="DXP9" s="516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6"/>
      <c r="DYD9" s="34"/>
      <c r="DYE9" s="390"/>
      <c r="DYF9" s="516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6"/>
      <c r="DYT9" s="34"/>
      <c r="DYU9" s="390"/>
      <c r="DYV9" s="516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6"/>
      <c r="DZJ9" s="34"/>
      <c r="DZK9" s="390"/>
      <c r="DZL9" s="516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6"/>
      <c r="DZZ9" s="34"/>
      <c r="EAA9" s="390"/>
      <c r="EAB9" s="516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6"/>
      <c r="EAP9" s="34"/>
      <c r="EAQ9" s="390"/>
      <c r="EAR9" s="516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6"/>
      <c r="EBF9" s="34"/>
      <c r="EBG9" s="390"/>
      <c r="EBH9" s="516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6"/>
      <c r="EBV9" s="34"/>
      <c r="EBW9" s="390"/>
      <c r="EBX9" s="516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6"/>
      <c r="ECL9" s="34"/>
      <c r="ECM9" s="390"/>
      <c r="ECN9" s="516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6"/>
      <c r="EDB9" s="34"/>
      <c r="EDC9" s="390"/>
      <c r="EDD9" s="516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6"/>
      <c r="EDR9" s="34"/>
      <c r="EDS9" s="390"/>
      <c r="EDT9" s="516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6"/>
      <c r="EEH9" s="34"/>
      <c r="EEI9" s="390"/>
      <c r="EEJ9" s="516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6"/>
      <c r="EEX9" s="34"/>
      <c r="EEY9" s="390"/>
      <c r="EEZ9" s="516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6"/>
      <c r="EFN9" s="34"/>
      <c r="EFO9" s="390"/>
      <c r="EFP9" s="516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6"/>
      <c r="EGD9" s="34"/>
      <c r="EGE9" s="390"/>
      <c r="EGF9" s="516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6"/>
      <c r="EGT9" s="34"/>
      <c r="EGU9" s="390"/>
      <c r="EGV9" s="516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6"/>
      <c r="EHJ9" s="34"/>
      <c r="EHK9" s="390"/>
      <c r="EHL9" s="516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6"/>
      <c r="EHZ9" s="34"/>
      <c r="EIA9" s="390"/>
      <c r="EIB9" s="516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6"/>
      <c r="EIP9" s="34"/>
      <c r="EIQ9" s="390"/>
      <c r="EIR9" s="516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6"/>
      <c r="EJF9" s="34"/>
      <c r="EJG9" s="390"/>
      <c r="EJH9" s="516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6"/>
      <c r="EJV9" s="34"/>
      <c r="EJW9" s="390"/>
      <c r="EJX9" s="516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6"/>
      <c r="EKL9" s="34"/>
      <c r="EKM9" s="390"/>
      <c r="EKN9" s="516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6"/>
      <c r="ELB9" s="34"/>
      <c r="ELC9" s="390"/>
      <c r="ELD9" s="516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6"/>
      <c r="ELR9" s="34"/>
      <c r="ELS9" s="390"/>
      <c r="ELT9" s="516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6"/>
      <c r="EMH9" s="34"/>
      <c r="EMI9" s="390"/>
      <c r="EMJ9" s="516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6"/>
      <c r="EMX9" s="34"/>
      <c r="EMY9" s="390"/>
      <c r="EMZ9" s="516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6"/>
      <c r="ENN9" s="34"/>
      <c r="ENO9" s="390"/>
      <c r="ENP9" s="516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6"/>
      <c r="EOD9" s="34"/>
      <c r="EOE9" s="390"/>
      <c r="EOF9" s="516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6"/>
      <c r="EOT9" s="34"/>
      <c r="EOU9" s="390"/>
      <c r="EOV9" s="516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6"/>
      <c r="EPJ9" s="34"/>
      <c r="EPK9" s="390"/>
      <c r="EPL9" s="516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6"/>
      <c r="EPZ9" s="34"/>
      <c r="EQA9" s="390"/>
      <c r="EQB9" s="516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6"/>
      <c r="EQP9" s="34"/>
      <c r="EQQ9" s="390"/>
      <c r="EQR9" s="516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6"/>
      <c r="ERF9" s="34"/>
      <c r="ERG9" s="390"/>
      <c r="ERH9" s="516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6"/>
      <c r="ERV9" s="34"/>
      <c r="ERW9" s="390"/>
      <c r="ERX9" s="516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6"/>
      <c r="ESL9" s="34"/>
      <c r="ESM9" s="390"/>
      <c r="ESN9" s="516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6"/>
      <c r="ETB9" s="34"/>
      <c r="ETC9" s="390"/>
      <c r="ETD9" s="516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6"/>
      <c r="ETR9" s="34"/>
      <c r="ETS9" s="390"/>
      <c r="ETT9" s="516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6"/>
      <c r="EUH9" s="34"/>
      <c r="EUI9" s="390"/>
      <c r="EUJ9" s="516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6"/>
      <c r="EUX9" s="34"/>
      <c r="EUY9" s="390"/>
      <c r="EUZ9" s="516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6"/>
      <c r="EVN9" s="34"/>
      <c r="EVO9" s="390"/>
      <c r="EVP9" s="516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6"/>
      <c r="EWD9" s="34"/>
      <c r="EWE9" s="390"/>
      <c r="EWF9" s="516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6"/>
      <c r="EWT9" s="34"/>
      <c r="EWU9" s="390"/>
      <c r="EWV9" s="516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6"/>
      <c r="EXJ9" s="34"/>
      <c r="EXK9" s="390"/>
      <c r="EXL9" s="516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6"/>
      <c r="EXZ9" s="34"/>
      <c r="EYA9" s="390"/>
      <c r="EYB9" s="516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6"/>
      <c r="EYP9" s="34"/>
      <c r="EYQ9" s="390"/>
      <c r="EYR9" s="516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6"/>
      <c r="EZF9" s="34"/>
      <c r="EZG9" s="390"/>
      <c r="EZH9" s="516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6"/>
      <c r="EZV9" s="34"/>
      <c r="EZW9" s="390"/>
      <c r="EZX9" s="516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6"/>
      <c r="FAL9" s="34"/>
      <c r="FAM9" s="390"/>
      <c r="FAN9" s="516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6"/>
      <c r="FBB9" s="34"/>
      <c r="FBC9" s="390"/>
      <c r="FBD9" s="516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6"/>
      <c r="FBR9" s="34"/>
      <c r="FBS9" s="390"/>
      <c r="FBT9" s="516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6"/>
      <c r="FCH9" s="34"/>
      <c r="FCI9" s="390"/>
      <c r="FCJ9" s="516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6"/>
      <c r="FCX9" s="34"/>
      <c r="FCY9" s="390"/>
      <c r="FCZ9" s="516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6"/>
      <c r="FDN9" s="34"/>
      <c r="FDO9" s="390"/>
      <c r="FDP9" s="516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6"/>
      <c r="FED9" s="34"/>
      <c r="FEE9" s="390"/>
      <c r="FEF9" s="516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6"/>
      <c r="FET9" s="34"/>
      <c r="FEU9" s="390"/>
      <c r="FEV9" s="516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6"/>
      <c r="FFJ9" s="34"/>
      <c r="FFK9" s="390"/>
      <c r="FFL9" s="516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6"/>
      <c r="FFZ9" s="34"/>
      <c r="FGA9" s="390"/>
      <c r="FGB9" s="516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6"/>
      <c r="FGP9" s="34"/>
      <c r="FGQ9" s="390"/>
      <c r="FGR9" s="516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6"/>
      <c r="FHF9" s="34"/>
      <c r="FHG9" s="390"/>
      <c r="FHH9" s="516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6"/>
      <c r="FHV9" s="34"/>
      <c r="FHW9" s="390"/>
      <c r="FHX9" s="516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6"/>
      <c r="FIL9" s="34"/>
      <c r="FIM9" s="390"/>
      <c r="FIN9" s="516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6"/>
      <c r="FJB9" s="34"/>
      <c r="FJC9" s="390"/>
      <c r="FJD9" s="516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6"/>
      <c r="FJR9" s="34"/>
      <c r="FJS9" s="390"/>
      <c r="FJT9" s="516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6"/>
      <c r="FKH9" s="34"/>
      <c r="FKI9" s="390"/>
      <c r="FKJ9" s="516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6"/>
      <c r="FKX9" s="34"/>
      <c r="FKY9" s="390"/>
      <c r="FKZ9" s="516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6"/>
      <c r="FLN9" s="34"/>
      <c r="FLO9" s="390"/>
      <c r="FLP9" s="516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6"/>
      <c r="FMD9" s="34"/>
      <c r="FME9" s="390"/>
      <c r="FMF9" s="516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6"/>
      <c r="FMT9" s="34"/>
      <c r="FMU9" s="390"/>
      <c r="FMV9" s="516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6"/>
      <c r="FNJ9" s="34"/>
      <c r="FNK9" s="390"/>
      <c r="FNL9" s="516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6"/>
      <c r="FNZ9" s="34"/>
      <c r="FOA9" s="390"/>
      <c r="FOB9" s="516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6"/>
      <c r="FOP9" s="34"/>
      <c r="FOQ9" s="390"/>
      <c r="FOR9" s="516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6"/>
      <c r="FPF9" s="34"/>
      <c r="FPG9" s="390"/>
      <c r="FPH9" s="516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6"/>
      <c r="FPV9" s="34"/>
      <c r="FPW9" s="390"/>
      <c r="FPX9" s="516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6"/>
      <c r="FQL9" s="34"/>
      <c r="FQM9" s="390"/>
      <c r="FQN9" s="516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6"/>
      <c r="FRB9" s="34"/>
      <c r="FRC9" s="390"/>
      <c r="FRD9" s="516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6"/>
      <c r="FRR9" s="34"/>
      <c r="FRS9" s="390"/>
      <c r="FRT9" s="516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6"/>
      <c r="FSH9" s="34"/>
      <c r="FSI9" s="390"/>
      <c r="FSJ9" s="516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6"/>
      <c r="FSX9" s="34"/>
      <c r="FSY9" s="390"/>
      <c r="FSZ9" s="516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6"/>
      <c r="FTN9" s="34"/>
      <c r="FTO9" s="390"/>
      <c r="FTP9" s="516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6"/>
      <c r="FUD9" s="34"/>
      <c r="FUE9" s="390"/>
      <c r="FUF9" s="516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6"/>
      <c r="FUT9" s="34"/>
      <c r="FUU9" s="390"/>
      <c r="FUV9" s="516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6"/>
      <c r="FVJ9" s="34"/>
      <c r="FVK9" s="390"/>
      <c r="FVL9" s="516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6"/>
      <c r="FVZ9" s="34"/>
      <c r="FWA9" s="390"/>
      <c r="FWB9" s="516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6"/>
      <c r="FWP9" s="34"/>
      <c r="FWQ9" s="390"/>
      <c r="FWR9" s="516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6"/>
      <c r="FXF9" s="34"/>
      <c r="FXG9" s="390"/>
      <c r="FXH9" s="516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6"/>
      <c r="FXV9" s="34"/>
      <c r="FXW9" s="390"/>
      <c r="FXX9" s="516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6"/>
      <c r="FYL9" s="34"/>
      <c r="FYM9" s="390"/>
      <c r="FYN9" s="516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6"/>
      <c r="FZB9" s="34"/>
      <c r="FZC9" s="390"/>
      <c r="FZD9" s="516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6"/>
      <c r="FZR9" s="34"/>
      <c r="FZS9" s="390"/>
      <c r="FZT9" s="516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6"/>
      <c r="GAH9" s="34"/>
      <c r="GAI9" s="390"/>
      <c r="GAJ9" s="516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6"/>
      <c r="GAX9" s="34"/>
      <c r="GAY9" s="390"/>
      <c r="GAZ9" s="516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6"/>
      <c r="GBN9" s="34"/>
      <c r="GBO9" s="390"/>
      <c r="GBP9" s="516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6"/>
      <c r="GCD9" s="34"/>
      <c r="GCE9" s="390"/>
      <c r="GCF9" s="516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6"/>
      <c r="GCT9" s="34"/>
      <c r="GCU9" s="390"/>
      <c r="GCV9" s="516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6"/>
      <c r="GDJ9" s="34"/>
      <c r="GDK9" s="390"/>
      <c r="GDL9" s="516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6"/>
      <c r="GDZ9" s="34"/>
      <c r="GEA9" s="390"/>
      <c r="GEB9" s="516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6"/>
      <c r="GEP9" s="34"/>
      <c r="GEQ9" s="390"/>
      <c r="GER9" s="516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6"/>
      <c r="GFF9" s="34"/>
      <c r="GFG9" s="390"/>
      <c r="GFH9" s="516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6"/>
      <c r="GFV9" s="34"/>
      <c r="GFW9" s="390"/>
      <c r="GFX9" s="516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6"/>
      <c r="GGL9" s="34"/>
      <c r="GGM9" s="390"/>
      <c r="GGN9" s="516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6"/>
      <c r="GHB9" s="34"/>
      <c r="GHC9" s="390"/>
      <c r="GHD9" s="516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6"/>
      <c r="GHR9" s="34"/>
      <c r="GHS9" s="390"/>
      <c r="GHT9" s="516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6"/>
      <c r="GIH9" s="34"/>
      <c r="GII9" s="390"/>
      <c r="GIJ9" s="516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6"/>
      <c r="GIX9" s="34"/>
      <c r="GIY9" s="390"/>
      <c r="GIZ9" s="516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6"/>
      <c r="GJN9" s="34"/>
      <c r="GJO9" s="390"/>
      <c r="GJP9" s="516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6"/>
      <c r="GKD9" s="34"/>
      <c r="GKE9" s="390"/>
      <c r="GKF9" s="516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6"/>
      <c r="GKT9" s="34"/>
      <c r="GKU9" s="390"/>
      <c r="GKV9" s="516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6"/>
      <c r="GLJ9" s="34"/>
      <c r="GLK9" s="390"/>
      <c r="GLL9" s="516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6"/>
      <c r="GLZ9" s="34"/>
      <c r="GMA9" s="390"/>
      <c r="GMB9" s="516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6"/>
      <c r="GMP9" s="34"/>
      <c r="GMQ9" s="390"/>
      <c r="GMR9" s="516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6"/>
      <c r="GNF9" s="34"/>
      <c r="GNG9" s="390"/>
      <c r="GNH9" s="516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6"/>
      <c r="GNV9" s="34"/>
      <c r="GNW9" s="390"/>
      <c r="GNX9" s="516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6"/>
      <c r="GOL9" s="34"/>
      <c r="GOM9" s="390"/>
      <c r="GON9" s="516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6"/>
      <c r="GPB9" s="34"/>
      <c r="GPC9" s="390"/>
      <c r="GPD9" s="516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6"/>
      <c r="GPR9" s="34"/>
      <c r="GPS9" s="390"/>
      <c r="GPT9" s="516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6"/>
      <c r="GQH9" s="34"/>
      <c r="GQI9" s="390"/>
      <c r="GQJ9" s="516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6"/>
      <c r="GQX9" s="34"/>
      <c r="GQY9" s="390"/>
      <c r="GQZ9" s="516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6"/>
      <c r="GRN9" s="34"/>
      <c r="GRO9" s="390"/>
      <c r="GRP9" s="516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6"/>
      <c r="GSD9" s="34"/>
      <c r="GSE9" s="390"/>
      <c r="GSF9" s="516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6"/>
      <c r="GST9" s="34"/>
      <c r="GSU9" s="390"/>
      <c r="GSV9" s="516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6"/>
      <c r="GTJ9" s="34"/>
      <c r="GTK9" s="390"/>
      <c r="GTL9" s="516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6"/>
      <c r="GTZ9" s="34"/>
      <c r="GUA9" s="390"/>
      <c r="GUB9" s="516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6"/>
      <c r="GUP9" s="34"/>
      <c r="GUQ9" s="390"/>
      <c r="GUR9" s="516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6"/>
      <c r="GVF9" s="34"/>
      <c r="GVG9" s="390"/>
      <c r="GVH9" s="516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6"/>
      <c r="GVV9" s="34"/>
      <c r="GVW9" s="390"/>
      <c r="GVX9" s="516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6"/>
      <c r="GWL9" s="34"/>
      <c r="GWM9" s="390"/>
      <c r="GWN9" s="516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6"/>
      <c r="GXB9" s="34"/>
      <c r="GXC9" s="390"/>
      <c r="GXD9" s="516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6"/>
      <c r="GXR9" s="34"/>
      <c r="GXS9" s="390"/>
      <c r="GXT9" s="516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6"/>
      <c r="GYH9" s="34"/>
      <c r="GYI9" s="390"/>
      <c r="GYJ9" s="516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6"/>
      <c r="GYX9" s="34"/>
      <c r="GYY9" s="390"/>
      <c r="GYZ9" s="516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6"/>
      <c r="GZN9" s="34"/>
      <c r="GZO9" s="390"/>
      <c r="GZP9" s="516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6"/>
      <c r="HAD9" s="34"/>
      <c r="HAE9" s="390"/>
      <c r="HAF9" s="516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6"/>
      <c r="HAT9" s="34"/>
      <c r="HAU9" s="390"/>
      <c r="HAV9" s="516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6"/>
      <c r="HBJ9" s="34"/>
      <c r="HBK9" s="390"/>
      <c r="HBL9" s="516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6"/>
      <c r="HBZ9" s="34"/>
      <c r="HCA9" s="390"/>
      <c r="HCB9" s="516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6"/>
      <c r="HCP9" s="34"/>
      <c r="HCQ9" s="390"/>
      <c r="HCR9" s="516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6"/>
      <c r="HDF9" s="34"/>
      <c r="HDG9" s="390"/>
      <c r="HDH9" s="516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6"/>
      <c r="HDV9" s="34"/>
      <c r="HDW9" s="390"/>
      <c r="HDX9" s="516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6"/>
      <c r="HEL9" s="34"/>
      <c r="HEM9" s="390"/>
      <c r="HEN9" s="516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6"/>
      <c r="HFB9" s="34"/>
      <c r="HFC9" s="390"/>
      <c r="HFD9" s="516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6"/>
      <c r="HFR9" s="34"/>
      <c r="HFS9" s="390"/>
      <c r="HFT9" s="516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6"/>
      <c r="HGH9" s="34"/>
      <c r="HGI9" s="390"/>
      <c r="HGJ9" s="516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6"/>
      <c r="HGX9" s="34"/>
      <c r="HGY9" s="390"/>
      <c r="HGZ9" s="516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6"/>
      <c r="HHN9" s="34"/>
      <c r="HHO9" s="390"/>
      <c r="HHP9" s="516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6"/>
      <c r="HID9" s="34"/>
      <c r="HIE9" s="390"/>
      <c r="HIF9" s="516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6"/>
      <c r="HIT9" s="34"/>
      <c r="HIU9" s="390"/>
      <c r="HIV9" s="516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6"/>
      <c r="HJJ9" s="34"/>
      <c r="HJK9" s="390"/>
      <c r="HJL9" s="516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6"/>
      <c r="HJZ9" s="34"/>
      <c r="HKA9" s="390"/>
      <c r="HKB9" s="516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6"/>
      <c r="HKP9" s="34"/>
      <c r="HKQ9" s="390"/>
      <c r="HKR9" s="516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6"/>
      <c r="HLF9" s="34"/>
      <c r="HLG9" s="390"/>
      <c r="HLH9" s="516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6"/>
      <c r="HLV9" s="34"/>
      <c r="HLW9" s="390"/>
      <c r="HLX9" s="516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6"/>
      <c r="HML9" s="34"/>
      <c r="HMM9" s="390"/>
      <c r="HMN9" s="516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6"/>
      <c r="HNB9" s="34"/>
      <c r="HNC9" s="390"/>
      <c r="HND9" s="516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6"/>
      <c r="HNR9" s="34"/>
      <c r="HNS9" s="390"/>
      <c r="HNT9" s="516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6"/>
      <c r="HOH9" s="34"/>
      <c r="HOI9" s="390"/>
      <c r="HOJ9" s="516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6"/>
      <c r="HOX9" s="34"/>
      <c r="HOY9" s="390"/>
      <c r="HOZ9" s="516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6"/>
      <c r="HPN9" s="34"/>
      <c r="HPO9" s="390"/>
      <c r="HPP9" s="516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6"/>
      <c r="HQD9" s="34"/>
      <c r="HQE9" s="390"/>
      <c r="HQF9" s="516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6"/>
      <c r="HQT9" s="34"/>
      <c r="HQU9" s="390"/>
      <c r="HQV9" s="516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6"/>
      <c r="HRJ9" s="34"/>
      <c r="HRK9" s="390"/>
      <c r="HRL9" s="516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6"/>
      <c r="HRZ9" s="34"/>
      <c r="HSA9" s="390"/>
      <c r="HSB9" s="516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6"/>
      <c r="HSP9" s="34"/>
      <c r="HSQ9" s="390"/>
      <c r="HSR9" s="516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6"/>
      <c r="HTF9" s="34"/>
      <c r="HTG9" s="390"/>
      <c r="HTH9" s="516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6"/>
      <c r="HTV9" s="34"/>
      <c r="HTW9" s="390"/>
      <c r="HTX9" s="516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6"/>
      <c r="HUL9" s="34"/>
      <c r="HUM9" s="390"/>
      <c r="HUN9" s="516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6"/>
      <c r="HVB9" s="34"/>
      <c r="HVC9" s="390"/>
      <c r="HVD9" s="516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6"/>
      <c r="HVR9" s="34"/>
      <c r="HVS9" s="390"/>
      <c r="HVT9" s="516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6"/>
      <c r="HWH9" s="34"/>
      <c r="HWI9" s="390"/>
      <c r="HWJ9" s="516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6"/>
      <c r="HWX9" s="34"/>
      <c r="HWY9" s="390"/>
      <c r="HWZ9" s="516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6"/>
      <c r="HXN9" s="34"/>
      <c r="HXO9" s="390"/>
      <c r="HXP9" s="516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6"/>
      <c r="HYD9" s="34"/>
      <c r="HYE9" s="390"/>
      <c r="HYF9" s="516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6"/>
      <c r="HYT9" s="34"/>
      <c r="HYU9" s="390"/>
      <c r="HYV9" s="516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6"/>
      <c r="HZJ9" s="34"/>
      <c r="HZK9" s="390"/>
      <c r="HZL9" s="516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6"/>
      <c r="HZZ9" s="34"/>
      <c r="IAA9" s="390"/>
      <c r="IAB9" s="516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6"/>
      <c r="IAP9" s="34"/>
      <c r="IAQ9" s="390"/>
      <c r="IAR9" s="516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6"/>
      <c r="IBF9" s="34"/>
      <c r="IBG9" s="390"/>
      <c r="IBH9" s="516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6"/>
      <c r="IBV9" s="34"/>
      <c r="IBW9" s="390"/>
      <c r="IBX9" s="516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6"/>
      <c r="ICL9" s="34"/>
      <c r="ICM9" s="390"/>
      <c r="ICN9" s="516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6"/>
      <c r="IDB9" s="34"/>
      <c r="IDC9" s="390"/>
      <c r="IDD9" s="516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6"/>
      <c r="IDR9" s="34"/>
      <c r="IDS9" s="390"/>
      <c r="IDT9" s="516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6"/>
      <c r="IEH9" s="34"/>
      <c r="IEI9" s="390"/>
      <c r="IEJ9" s="516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6"/>
      <c r="IEX9" s="34"/>
      <c r="IEY9" s="390"/>
      <c r="IEZ9" s="516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6"/>
      <c r="IFN9" s="34"/>
      <c r="IFO9" s="390"/>
      <c r="IFP9" s="516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6"/>
      <c r="IGD9" s="34"/>
      <c r="IGE9" s="390"/>
      <c r="IGF9" s="516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6"/>
      <c r="IGT9" s="34"/>
      <c r="IGU9" s="390"/>
      <c r="IGV9" s="516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6"/>
      <c r="IHJ9" s="34"/>
      <c r="IHK9" s="390"/>
      <c r="IHL9" s="516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6"/>
      <c r="IHZ9" s="34"/>
      <c r="IIA9" s="390"/>
      <c r="IIB9" s="516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6"/>
      <c r="IIP9" s="34"/>
      <c r="IIQ9" s="390"/>
      <c r="IIR9" s="516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6"/>
      <c r="IJF9" s="34"/>
      <c r="IJG9" s="390"/>
      <c r="IJH9" s="516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6"/>
      <c r="IJV9" s="34"/>
      <c r="IJW9" s="390"/>
      <c r="IJX9" s="516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6"/>
      <c r="IKL9" s="34"/>
      <c r="IKM9" s="390"/>
      <c r="IKN9" s="516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6"/>
      <c r="ILB9" s="34"/>
      <c r="ILC9" s="390"/>
      <c r="ILD9" s="516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6"/>
      <c r="ILR9" s="34"/>
      <c r="ILS9" s="390"/>
      <c r="ILT9" s="516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6"/>
      <c r="IMH9" s="34"/>
      <c r="IMI9" s="390"/>
      <c r="IMJ9" s="516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6"/>
      <c r="IMX9" s="34"/>
      <c r="IMY9" s="390"/>
      <c r="IMZ9" s="516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6"/>
      <c r="INN9" s="34"/>
      <c r="INO9" s="390"/>
      <c r="INP9" s="516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6"/>
      <c r="IOD9" s="34"/>
      <c r="IOE9" s="390"/>
      <c r="IOF9" s="516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6"/>
      <c r="IOT9" s="34"/>
      <c r="IOU9" s="390"/>
      <c r="IOV9" s="516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6"/>
      <c r="IPJ9" s="34"/>
      <c r="IPK9" s="390"/>
      <c r="IPL9" s="516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6"/>
      <c r="IPZ9" s="34"/>
      <c r="IQA9" s="390"/>
      <c r="IQB9" s="516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6"/>
      <c r="IQP9" s="34"/>
      <c r="IQQ9" s="390"/>
      <c r="IQR9" s="516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6"/>
      <c r="IRF9" s="34"/>
      <c r="IRG9" s="390"/>
      <c r="IRH9" s="516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6"/>
      <c r="IRV9" s="34"/>
      <c r="IRW9" s="390"/>
      <c r="IRX9" s="516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6"/>
      <c r="ISL9" s="34"/>
      <c r="ISM9" s="390"/>
      <c r="ISN9" s="516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6"/>
      <c r="ITB9" s="34"/>
      <c r="ITC9" s="390"/>
      <c r="ITD9" s="516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6"/>
      <c r="ITR9" s="34"/>
      <c r="ITS9" s="390"/>
      <c r="ITT9" s="516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6"/>
      <c r="IUH9" s="34"/>
      <c r="IUI9" s="390"/>
      <c r="IUJ9" s="516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6"/>
      <c r="IUX9" s="34"/>
      <c r="IUY9" s="390"/>
      <c r="IUZ9" s="516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6"/>
      <c r="IVN9" s="34"/>
      <c r="IVO9" s="390"/>
      <c r="IVP9" s="516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6"/>
      <c r="IWD9" s="34"/>
      <c r="IWE9" s="390"/>
      <c r="IWF9" s="516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6"/>
      <c r="IWT9" s="34"/>
      <c r="IWU9" s="390"/>
      <c r="IWV9" s="516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6"/>
      <c r="IXJ9" s="34"/>
      <c r="IXK9" s="390"/>
      <c r="IXL9" s="516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6"/>
      <c r="IXZ9" s="34"/>
      <c r="IYA9" s="390"/>
      <c r="IYB9" s="516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6"/>
      <c r="IYP9" s="34"/>
      <c r="IYQ9" s="390"/>
      <c r="IYR9" s="516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6"/>
      <c r="IZF9" s="34"/>
      <c r="IZG9" s="390"/>
      <c r="IZH9" s="516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6"/>
      <c r="IZV9" s="34"/>
      <c r="IZW9" s="390"/>
      <c r="IZX9" s="516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6"/>
      <c r="JAL9" s="34"/>
      <c r="JAM9" s="390"/>
      <c r="JAN9" s="516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6"/>
      <c r="JBB9" s="34"/>
      <c r="JBC9" s="390"/>
      <c r="JBD9" s="516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6"/>
      <c r="JBR9" s="34"/>
      <c r="JBS9" s="390"/>
      <c r="JBT9" s="516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6"/>
      <c r="JCH9" s="34"/>
      <c r="JCI9" s="390"/>
      <c r="JCJ9" s="516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6"/>
      <c r="JCX9" s="34"/>
      <c r="JCY9" s="390"/>
      <c r="JCZ9" s="516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6"/>
      <c r="JDN9" s="34"/>
      <c r="JDO9" s="390"/>
      <c r="JDP9" s="516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6"/>
      <c r="JED9" s="34"/>
      <c r="JEE9" s="390"/>
      <c r="JEF9" s="516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6"/>
      <c r="JET9" s="34"/>
      <c r="JEU9" s="390"/>
      <c r="JEV9" s="516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6"/>
      <c r="JFJ9" s="34"/>
      <c r="JFK9" s="390"/>
      <c r="JFL9" s="516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6"/>
      <c r="JFZ9" s="34"/>
      <c r="JGA9" s="390"/>
      <c r="JGB9" s="516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6"/>
      <c r="JGP9" s="34"/>
      <c r="JGQ9" s="390"/>
      <c r="JGR9" s="516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6"/>
      <c r="JHF9" s="34"/>
      <c r="JHG9" s="390"/>
      <c r="JHH9" s="516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6"/>
      <c r="JHV9" s="34"/>
      <c r="JHW9" s="390"/>
      <c r="JHX9" s="516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6"/>
      <c r="JIL9" s="34"/>
      <c r="JIM9" s="390"/>
      <c r="JIN9" s="516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6"/>
      <c r="JJB9" s="34"/>
      <c r="JJC9" s="390"/>
      <c r="JJD9" s="516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6"/>
      <c r="JJR9" s="34"/>
      <c r="JJS9" s="390"/>
      <c r="JJT9" s="516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6"/>
      <c r="JKH9" s="34"/>
      <c r="JKI9" s="390"/>
      <c r="JKJ9" s="516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6"/>
      <c r="JKX9" s="34"/>
      <c r="JKY9" s="390"/>
      <c r="JKZ9" s="516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6"/>
      <c r="JLN9" s="34"/>
      <c r="JLO9" s="390"/>
      <c r="JLP9" s="516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6"/>
      <c r="JMD9" s="34"/>
      <c r="JME9" s="390"/>
      <c r="JMF9" s="516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6"/>
      <c r="JMT9" s="34"/>
      <c r="JMU9" s="390"/>
      <c r="JMV9" s="516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6"/>
      <c r="JNJ9" s="34"/>
      <c r="JNK9" s="390"/>
      <c r="JNL9" s="516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6"/>
      <c r="JNZ9" s="34"/>
      <c r="JOA9" s="390"/>
      <c r="JOB9" s="516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6"/>
      <c r="JOP9" s="34"/>
      <c r="JOQ9" s="390"/>
      <c r="JOR9" s="516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6"/>
      <c r="JPF9" s="34"/>
      <c r="JPG9" s="390"/>
      <c r="JPH9" s="516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6"/>
      <c r="JPV9" s="34"/>
      <c r="JPW9" s="390"/>
      <c r="JPX9" s="516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6"/>
      <c r="JQL9" s="34"/>
      <c r="JQM9" s="390"/>
      <c r="JQN9" s="516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6"/>
      <c r="JRB9" s="34"/>
      <c r="JRC9" s="390"/>
      <c r="JRD9" s="516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6"/>
      <c r="JRR9" s="34"/>
      <c r="JRS9" s="390"/>
      <c r="JRT9" s="516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6"/>
      <c r="JSH9" s="34"/>
      <c r="JSI9" s="390"/>
      <c r="JSJ9" s="516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6"/>
      <c r="JSX9" s="34"/>
      <c r="JSY9" s="390"/>
      <c r="JSZ9" s="516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6"/>
      <c r="JTN9" s="34"/>
      <c r="JTO9" s="390"/>
      <c r="JTP9" s="516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6"/>
      <c r="JUD9" s="34"/>
      <c r="JUE9" s="390"/>
      <c r="JUF9" s="516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6"/>
      <c r="JUT9" s="34"/>
      <c r="JUU9" s="390"/>
      <c r="JUV9" s="516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6"/>
      <c r="JVJ9" s="34"/>
      <c r="JVK9" s="390"/>
      <c r="JVL9" s="516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6"/>
      <c r="JVZ9" s="34"/>
      <c r="JWA9" s="390"/>
      <c r="JWB9" s="516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6"/>
      <c r="JWP9" s="34"/>
      <c r="JWQ9" s="390"/>
      <c r="JWR9" s="516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6"/>
      <c r="JXF9" s="34"/>
      <c r="JXG9" s="390"/>
      <c r="JXH9" s="516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6"/>
      <c r="JXV9" s="34"/>
      <c r="JXW9" s="390"/>
      <c r="JXX9" s="516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6"/>
      <c r="JYL9" s="34"/>
      <c r="JYM9" s="390"/>
      <c r="JYN9" s="516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6"/>
      <c r="JZB9" s="34"/>
      <c r="JZC9" s="390"/>
      <c r="JZD9" s="516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6"/>
      <c r="JZR9" s="34"/>
      <c r="JZS9" s="390"/>
      <c r="JZT9" s="516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6"/>
      <c r="KAH9" s="34"/>
      <c r="KAI9" s="390"/>
      <c r="KAJ9" s="516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6"/>
      <c r="KAX9" s="34"/>
      <c r="KAY9" s="390"/>
      <c r="KAZ9" s="516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6"/>
      <c r="KBN9" s="34"/>
      <c r="KBO9" s="390"/>
      <c r="KBP9" s="516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6"/>
      <c r="KCD9" s="34"/>
      <c r="KCE9" s="390"/>
      <c r="KCF9" s="516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6"/>
      <c r="KCT9" s="34"/>
      <c r="KCU9" s="390"/>
      <c r="KCV9" s="516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6"/>
      <c r="KDJ9" s="34"/>
      <c r="KDK9" s="390"/>
      <c r="KDL9" s="516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6"/>
      <c r="KDZ9" s="34"/>
      <c r="KEA9" s="390"/>
      <c r="KEB9" s="516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6"/>
      <c r="KEP9" s="34"/>
      <c r="KEQ9" s="390"/>
      <c r="KER9" s="516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6"/>
      <c r="KFF9" s="34"/>
      <c r="KFG9" s="390"/>
      <c r="KFH9" s="516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6"/>
      <c r="KFV9" s="34"/>
      <c r="KFW9" s="390"/>
      <c r="KFX9" s="516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6"/>
      <c r="KGL9" s="34"/>
      <c r="KGM9" s="390"/>
      <c r="KGN9" s="516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6"/>
      <c r="KHB9" s="34"/>
      <c r="KHC9" s="390"/>
      <c r="KHD9" s="516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6"/>
      <c r="KHR9" s="34"/>
      <c r="KHS9" s="390"/>
      <c r="KHT9" s="516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6"/>
      <c r="KIH9" s="34"/>
      <c r="KII9" s="390"/>
      <c r="KIJ9" s="516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6"/>
      <c r="KIX9" s="34"/>
      <c r="KIY9" s="390"/>
      <c r="KIZ9" s="516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6"/>
      <c r="KJN9" s="34"/>
      <c r="KJO9" s="390"/>
      <c r="KJP9" s="516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6"/>
      <c r="KKD9" s="34"/>
      <c r="KKE9" s="390"/>
      <c r="KKF9" s="516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6"/>
      <c r="KKT9" s="34"/>
      <c r="KKU9" s="390"/>
      <c r="KKV9" s="516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6"/>
      <c r="KLJ9" s="34"/>
      <c r="KLK9" s="390"/>
      <c r="KLL9" s="516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6"/>
      <c r="KLZ9" s="34"/>
      <c r="KMA9" s="390"/>
      <c r="KMB9" s="516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6"/>
      <c r="KMP9" s="34"/>
      <c r="KMQ9" s="390"/>
      <c r="KMR9" s="516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6"/>
      <c r="KNF9" s="34"/>
      <c r="KNG9" s="390"/>
      <c r="KNH9" s="516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6"/>
      <c r="KNV9" s="34"/>
      <c r="KNW9" s="390"/>
      <c r="KNX9" s="516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6"/>
      <c r="KOL9" s="34"/>
      <c r="KOM9" s="390"/>
      <c r="KON9" s="516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6"/>
      <c r="KPB9" s="34"/>
      <c r="KPC9" s="390"/>
      <c r="KPD9" s="516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6"/>
      <c r="KPR9" s="34"/>
      <c r="KPS9" s="390"/>
      <c r="KPT9" s="516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6"/>
      <c r="KQH9" s="34"/>
      <c r="KQI9" s="390"/>
      <c r="KQJ9" s="516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6"/>
      <c r="KQX9" s="34"/>
      <c r="KQY9" s="390"/>
      <c r="KQZ9" s="516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6"/>
      <c r="KRN9" s="34"/>
      <c r="KRO9" s="390"/>
      <c r="KRP9" s="516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6"/>
      <c r="KSD9" s="34"/>
      <c r="KSE9" s="390"/>
      <c r="KSF9" s="516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6"/>
      <c r="KST9" s="34"/>
      <c r="KSU9" s="390"/>
      <c r="KSV9" s="516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6"/>
      <c r="KTJ9" s="34"/>
      <c r="KTK9" s="390"/>
      <c r="KTL9" s="516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6"/>
      <c r="KTZ9" s="34"/>
      <c r="KUA9" s="390"/>
      <c r="KUB9" s="516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6"/>
      <c r="KUP9" s="34"/>
      <c r="KUQ9" s="390"/>
      <c r="KUR9" s="516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6"/>
      <c r="KVF9" s="34"/>
      <c r="KVG9" s="390"/>
      <c r="KVH9" s="516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6"/>
      <c r="KVV9" s="34"/>
      <c r="KVW9" s="390"/>
      <c r="KVX9" s="516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6"/>
      <c r="KWL9" s="34"/>
      <c r="KWM9" s="390"/>
      <c r="KWN9" s="516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6"/>
      <c r="KXB9" s="34"/>
      <c r="KXC9" s="390"/>
      <c r="KXD9" s="516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6"/>
      <c r="KXR9" s="34"/>
      <c r="KXS9" s="390"/>
      <c r="KXT9" s="516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6"/>
      <c r="KYH9" s="34"/>
      <c r="KYI9" s="390"/>
      <c r="KYJ9" s="516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6"/>
      <c r="KYX9" s="34"/>
      <c r="KYY9" s="390"/>
      <c r="KYZ9" s="516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6"/>
      <c r="KZN9" s="34"/>
      <c r="KZO9" s="390"/>
      <c r="KZP9" s="516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6"/>
      <c r="LAD9" s="34"/>
      <c r="LAE9" s="390"/>
      <c r="LAF9" s="516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6"/>
      <c r="LAT9" s="34"/>
      <c r="LAU9" s="390"/>
      <c r="LAV9" s="516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6"/>
      <c r="LBJ9" s="34"/>
      <c r="LBK9" s="390"/>
      <c r="LBL9" s="516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6"/>
      <c r="LBZ9" s="34"/>
      <c r="LCA9" s="390"/>
      <c r="LCB9" s="516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6"/>
      <c r="LCP9" s="34"/>
      <c r="LCQ9" s="390"/>
      <c r="LCR9" s="516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6"/>
      <c r="LDF9" s="34"/>
      <c r="LDG9" s="390"/>
      <c r="LDH9" s="516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6"/>
      <c r="LDV9" s="34"/>
      <c r="LDW9" s="390"/>
      <c r="LDX9" s="516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6"/>
      <c r="LEL9" s="34"/>
      <c r="LEM9" s="390"/>
      <c r="LEN9" s="516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6"/>
      <c r="LFB9" s="34"/>
      <c r="LFC9" s="390"/>
      <c r="LFD9" s="516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6"/>
      <c r="LFR9" s="34"/>
      <c r="LFS9" s="390"/>
      <c r="LFT9" s="516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6"/>
      <c r="LGH9" s="34"/>
      <c r="LGI9" s="390"/>
      <c r="LGJ9" s="516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6"/>
      <c r="LGX9" s="34"/>
      <c r="LGY9" s="390"/>
      <c r="LGZ9" s="516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6"/>
      <c r="LHN9" s="34"/>
      <c r="LHO9" s="390"/>
      <c r="LHP9" s="516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6"/>
      <c r="LID9" s="34"/>
      <c r="LIE9" s="390"/>
      <c r="LIF9" s="516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6"/>
      <c r="LIT9" s="34"/>
      <c r="LIU9" s="390"/>
      <c r="LIV9" s="516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6"/>
      <c r="LJJ9" s="34"/>
      <c r="LJK9" s="390"/>
      <c r="LJL9" s="516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6"/>
      <c r="LJZ9" s="34"/>
      <c r="LKA9" s="390"/>
      <c r="LKB9" s="516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6"/>
      <c r="LKP9" s="34"/>
      <c r="LKQ9" s="390"/>
      <c r="LKR9" s="516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6"/>
      <c r="LLF9" s="34"/>
      <c r="LLG9" s="390"/>
      <c r="LLH9" s="516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6"/>
      <c r="LLV9" s="34"/>
      <c r="LLW9" s="390"/>
      <c r="LLX9" s="516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6"/>
      <c r="LML9" s="34"/>
      <c r="LMM9" s="390"/>
      <c r="LMN9" s="516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6"/>
      <c r="LNB9" s="34"/>
      <c r="LNC9" s="390"/>
      <c r="LND9" s="516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6"/>
      <c r="LNR9" s="34"/>
      <c r="LNS9" s="390"/>
      <c r="LNT9" s="516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6"/>
      <c r="LOH9" s="34"/>
      <c r="LOI9" s="390"/>
      <c r="LOJ9" s="516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6"/>
      <c r="LOX9" s="34"/>
      <c r="LOY9" s="390"/>
      <c r="LOZ9" s="516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6"/>
      <c r="LPN9" s="34"/>
      <c r="LPO9" s="390"/>
      <c r="LPP9" s="516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6"/>
      <c r="LQD9" s="34"/>
      <c r="LQE9" s="390"/>
      <c r="LQF9" s="516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6"/>
      <c r="LQT9" s="34"/>
      <c r="LQU9" s="390"/>
      <c r="LQV9" s="516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6"/>
      <c r="LRJ9" s="34"/>
      <c r="LRK9" s="390"/>
      <c r="LRL9" s="516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6"/>
      <c r="LRZ9" s="34"/>
      <c r="LSA9" s="390"/>
      <c r="LSB9" s="516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6"/>
      <c r="LSP9" s="34"/>
      <c r="LSQ9" s="390"/>
      <c r="LSR9" s="516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6"/>
      <c r="LTF9" s="34"/>
      <c r="LTG9" s="390"/>
      <c r="LTH9" s="516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6"/>
      <c r="LTV9" s="34"/>
      <c r="LTW9" s="390"/>
      <c r="LTX9" s="516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6"/>
      <c r="LUL9" s="34"/>
      <c r="LUM9" s="390"/>
      <c r="LUN9" s="516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6"/>
      <c r="LVB9" s="34"/>
      <c r="LVC9" s="390"/>
      <c r="LVD9" s="516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6"/>
      <c r="LVR9" s="34"/>
      <c r="LVS9" s="390"/>
      <c r="LVT9" s="516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6"/>
      <c r="LWH9" s="34"/>
      <c r="LWI9" s="390"/>
      <c r="LWJ9" s="516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6"/>
      <c r="LWX9" s="34"/>
      <c r="LWY9" s="390"/>
      <c r="LWZ9" s="516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6"/>
      <c r="LXN9" s="34"/>
      <c r="LXO9" s="390"/>
      <c r="LXP9" s="516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6"/>
      <c r="LYD9" s="34"/>
      <c r="LYE9" s="390"/>
      <c r="LYF9" s="516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6"/>
      <c r="LYT9" s="34"/>
      <c r="LYU9" s="390"/>
      <c r="LYV9" s="516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6"/>
      <c r="LZJ9" s="34"/>
      <c r="LZK9" s="390"/>
      <c r="LZL9" s="516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6"/>
      <c r="LZZ9" s="34"/>
      <c r="MAA9" s="390"/>
      <c r="MAB9" s="516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6"/>
      <c r="MAP9" s="34"/>
      <c r="MAQ9" s="390"/>
      <c r="MAR9" s="516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6"/>
      <c r="MBF9" s="34"/>
      <c r="MBG9" s="390"/>
      <c r="MBH9" s="516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6"/>
      <c r="MBV9" s="34"/>
      <c r="MBW9" s="390"/>
      <c r="MBX9" s="516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6"/>
      <c r="MCL9" s="34"/>
      <c r="MCM9" s="390"/>
      <c r="MCN9" s="516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6"/>
      <c r="MDB9" s="34"/>
      <c r="MDC9" s="390"/>
      <c r="MDD9" s="516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6"/>
      <c r="MDR9" s="34"/>
      <c r="MDS9" s="390"/>
      <c r="MDT9" s="516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6"/>
      <c r="MEH9" s="34"/>
      <c r="MEI9" s="390"/>
      <c r="MEJ9" s="516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6"/>
      <c r="MEX9" s="34"/>
      <c r="MEY9" s="390"/>
      <c r="MEZ9" s="516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6"/>
      <c r="MFN9" s="34"/>
      <c r="MFO9" s="390"/>
      <c r="MFP9" s="516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6"/>
      <c r="MGD9" s="34"/>
      <c r="MGE9" s="390"/>
      <c r="MGF9" s="516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6"/>
      <c r="MGT9" s="34"/>
      <c r="MGU9" s="390"/>
      <c r="MGV9" s="516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6"/>
      <c r="MHJ9" s="34"/>
      <c r="MHK9" s="390"/>
      <c r="MHL9" s="516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6"/>
      <c r="MHZ9" s="34"/>
      <c r="MIA9" s="390"/>
      <c r="MIB9" s="516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6"/>
      <c r="MIP9" s="34"/>
      <c r="MIQ9" s="390"/>
      <c r="MIR9" s="516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6"/>
      <c r="MJF9" s="34"/>
      <c r="MJG9" s="390"/>
      <c r="MJH9" s="516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6"/>
      <c r="MJV9" s="34"/>
      <c r="MJW9" s="390"/>
      <c r="MJX9" s="516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6"/>
      <c r="MKL9" s="34"/>
      <c r="MKM9" s="390"/>
      <c r="MKN9" s="516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6"/>
      <c r="MLB9" s="34"/>
      <c r="MLC9" s="390"/>
      <c r="MLD9" s="516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6"/>
      <c r="MLR9" s="34"/>
      <c r="MLS9" s="390"/>
      <c r="MLT9" s="516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6"/>
      <c r="MMH9" s="34"/>
      <c r="MMI9" s="390"/>
      <c r="MMJ9" s="516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6"/>
      <c r="MMX9" s="34"/>
      <c r="MMY9" s="390"/>
      <c r="MMZ9" s="516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6"/>
      <c r="MNN9" s="34"/>
      <c r="MNO9" s="390"/>
      <c r="MNP9" s="516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6"/>
      <c r="MOD9" s="34"/>
      <c r="MOE9" s="390"/>
      <c r="MOF9" s="516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6"/>
      <c r="MOT9" s="34"/>
      <c r="MOU9" s="390"/>
      <c r="MOV9" s="516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6"/>
      <c r="MPJ9" s="34"/>
      <c r="MPK9" s="390"/>
      <c r="MPL9" s="516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6"/>
      <c r="MPZ9" s="34"/>
      <c r="MQA9" s="390"/>
      <c r="MQB9" s="516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6"/>
      <c r="MQP9" s="34"/>
      <c r="MQQ9" s="390"/>
      <c r="MQR9" s="516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6"/>
      <c r="MRF9" s="34"/>
      <c r="MRG9" s="390"/>
      <c r="MRH9" s="516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6"/>
      <c r="MRV9" s="34"/>
      <c r="MRW9" s="390"/>
      <c r="MRX9" s="516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6"/>
      <c r="MSL9" s="34"/>
      <c r="MSM9" s="390"/>
      <c r="MSN9" s="516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6"/>
      <c r="MTB9" s="34"/>
      <c r="MTC9" s="390"/>
      <c r="MTD9" s="516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6"/>
      <c r="MTR9" s="34"/>
      <c r="MTS9" s="390"/>
      <c r="MTT9" s="516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6"/>
      <c r="MUH9" s="34"/>
      <c r="MUI9" s="390"/>
      <c r="MUJ9" s="516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6"/>
      <c r="MUX9" s="34"/>
      <c r="MUY9" s="390"/>
      <c r="MUZ9" s="516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6"/>
      <c r="MVN9" s="34"/>
      <c r="MVO9" s="390"/>
      <c r="MVP9" s="516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6"/>
      <c r="MWD9" s="34"/>
      <c r="MWE9" s="390"/>
      <c r="MWF9" s="516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6"/>
      <c r="MWT9" s="34"/>
      <c r="MWU9" s="390"/>
      <c r="MWV9" s="516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6"/>
      <c r="MXJ9" s="34"/>
      <c r="MXK9" s="390"/>
      <c r="MXL9" s="516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6"/>
      <c r="MXZ9" s="34"/>
      <c r="MYA9" s="390"/>
      <c r="MYB9" s="516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6"/>
      <c r="MYP9" s="34"/>
      <c r="MYQ9" s="390"/>
      <c r="MYR9" s="516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6"/>
      <c r="MZF9" s="34"/>
      <c r="MZG9" s="390"/>
      <c r="MZH9" s="516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6"/>
      <c r="MZV9" s="34"/>
      <c r="MZW9" s="390"/>
      <c r="MZX9" s="516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6"/>
      <c r="NAL9" s="34"/>
      <c r="NAM9" s="390"/>
      <c r="NAN9" s="516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6"/>
      <c r="NBB9" s="34"/>
      <c r="NBC9" s="390"/>
      <c r="NBD9" s="516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6"/>
      <c r="NBR9" s="34"/>
      <c r="NBS9" s="390"/>
      <c r="NBT9" s="516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6"/>
      <c r="NCH9" s="34"/>
      <c r="NCI9" s="390"/>
      <c r="NCJ9" s="516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6"/>
      <c r="NCX9" s="34"/>
      <c r="NCY9" s="390"/>
      <c r="NCZ9" s="516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6"/>
      <c r="NDN9" s="34"/>
      <c r="NDO9" s="390"/>
      <c r="NDP9" s="516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6"/>
      <c r="NED9" s="34"/>
      <c r="NEE9" s="390"/>
      <c r="NEF9" s="516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6"/>
      <c r="NET9" s="34"/>
      <c r="NEU9" s="390"/>
      <c r="NEV9" s="516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6"/>
      <c r="NFJ9" s="34"/>
      <c r="NFK9" s="390"/>
      <c r="NFL9" s="516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6"/>
      <c r="NFZ9" s="34"/>
      <c r="NGA9" s="390"/>
      <c r="NGB9" s="516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6"/>
      <c r="NGP9" s="34"/>
      <c r="NGQ9" s="390"/>
      <c r="NGR9" s="516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6"/>
      <c r="NHF9" s="34"/>
      <c r="NHG9" s="390"/>
      <c r="NHH9" s="516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6"/>
      <c r="NHV9" s="34"/>
      <c r="NHW9" s="390"/>
      <c r="NHX9" s="516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6"/>
      <c r="NIL9" s="34"/>
      <c r="NIM9" s="390"/>
      <c r="NIN9" s="516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6"/>
      <c r="NJB9" s="34"/>
      <c r="NJC9" s="390"/>
      <c r="NJD9" s="516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6"/>
      <c r="NJR9" s="34"/>
      <c r="NJS9" s="390"/>
      <c r="NJT9" s="516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6"/>
      <c r="NKH9" s="34"/>
      <c r="NKI9" s="390"/>
      <c r="NKJ9" s="516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6"/>
      <c r="NKX9" s="34"/>
      <c r="NKY9" s="390"/>
      <c r="NKZ9" s="516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6"/>
      <c r="NLN9" s="34"/>
      <c r="NLO9" s="390"/>
      <c r="NLP9" s="516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6"/>
      <c r="NMD9" s="34"/>
      <c r="NME9" s="390"/>
      <c r="NMF9" s="516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6"/>
      <c r="NMT9" s="34"/>
      <c r="NMU9" s="390"/>
      <c r="NMV9" s="516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6"/>
      <c r="NNJ9" s="34"/>
      <c r="NNK9" s="390"/>
      <c r="NNL9" s="516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6"/>
      <c r="NNZ9" s="34"/>
      <c r="NOA9" s="390"/>
      <c r="NOB9" s="516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6"/>
      <c r="NOP9" s="34"/>
      <c r="NOQ9" s="390"/>
      <c r="NOR9" s="516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6"/>
      <c r="NPF9" s="34"/>
      <c r="NPG9" s="390"/>
      <c r="NPH9" s="516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6"/>
      <c r="NPV9" s="34"/>
      <c r="NPW9" s="390"/>
      <c r="NPX9" s="516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6"/>
      <c r="NQL9" s="34"/>
      <c r="NQM9" s="390"/>
      <c r="NQN9" s="516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6"/>
      <c r="NRB9" s="34"/>
      <c r="NRC9" s="390"/>
      <c r="NRD9" s="516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6"/>
      <c r="NRR9" s="34"/>
      <c r="NRS9" s="390"/>
      <c r="NRT9" s="516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6"/>
      <c r="NSH9" s="34"/>
      <c r="NSI9" s="390"/>
      <c r="NSJ9" s="516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6"/>
      <c r="NSX9" s="34"/>
      <c r="NSY9" s="390"/>
      <c r="NSZ9" s="516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6"/>
      <c r="NTN9" s="34"/>
      <c r="NTO9" s="390"/>
      <c r="NTP9" s="516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6"/>
      <c r="NUD9" s="34"/>
      <c r="NUE9" s="390"/>
      <c r="NUF9" s="516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6"/>
      <c r="NUT9" s="34"/>
      <c r="NUU9" s="390"/>
      <c r="NUV9" s="516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6"/>
      <c r="NVJ9" s="34"/>
      <c r="NVK9" s="390"/>
      <c r="NVL9" s="516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6"/>
      <c r="NVZ9" s="34"/>
      <c r="NWA9" s="390"/>
      <c r="NWB9" s="516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6"/>
      <c r="NWP9" s="34"/>
      <c r="NWQ9" s="390"/>
      <c r="NWR9" s="516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6"/>
      <c r="NXF9" s="34"/>
      <c r="NXG9" s="390"/>
      <c r="NXH9" s="516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6"/>
      <c r="NXV9" s="34"/>
      <c r="NXW9" s="390"/>
      <c r="NXX9" s="516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6"/>
      <c r="NYL9" s="34"/>
      <c r="NYM9" s="390"/>
      <c r="NYN9" s="516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6"/>
      <c r="NZB9" s="34"/>
      <c r="NZC9" s="390"/>
      <c r="NZD9" s="516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6"/>
      <c r="NZR9" s="34"/>
      <c r="NZS9" s="390"/>
      <c r="NZT9" s="516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6"/>
      <c r="OAH9" s="34"/>
      <c r="OAI9" s="390"/>
      <c r="OAJ9" s="516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6"/>
      <c r="OAX9" s="34"/>
      <c r="OAY9" s="390"/>
      <c r="OAZ9" s="516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6"/>
      <c r="OBN9" s="34"/>
      <c r="OBO9" s="390"/>
      <c r="OBP9" s="516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6"/>
      <c r="OCD9" s="34"/>
      <c r="OCE9" s="390"/>
      <c r="OCF9" s="516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6"/>
      <c r="OCT9" s="34"/>
      <c r="OCU9" s="390"/>
      <c r="OCV9" s="516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6"/>
      <c r="ODJ9" s="34"/>
      <c r="ODK9" s="390"/>
      <c r="ODL9" s="516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6"/>
      <c r="ODZ9" s="34"/>
      <c r="OEA9" s="390"/>
      <c r="OEB9" s="516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6"/>
      <c r="OEP9" s="34"/>
      <c r="OEQ9" s="390"/>
      <c r="OER9" s="516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6"/>
      <c r="OFF9" s="34"/>
      <c r="OFG9" s="390"/>
      <c r="OFH9" s="516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6"/>
      <c r="OFV9" s="34"/>
      <c r="OFW9" s="390"/>
      <c r="OFX9" s="516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6"/>
      <c r="OGL9" s="34"/>
      <c r="OGM9" s="390"/>
      <c r="OGN9" s="516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6"/>
      <c r="OHB9" s="34"/>
      <c r="OHC9" s="390"/>
      <c r="OHD9" s="516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6"/>
      <c r="OHR9" s="34"/>
      <c r="OHS9" s="390"/>
      <c r="OHT9" s="516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6"/>
      <c r="OIH9" s="34"/>
      <c r="OII9" s="390"/>
      <c r="OIJ9" s="516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6"/>
      <c r="OIX9" s="34"/>
      <c r="OIY9" s="390"/>
      <c r="OIZ9" s="516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6"/>
      <c r="OJN9" s="34"/>
      <c r="OJO9" s="390"/>
      <c r="OJP9" s="516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6"/>
      <c r="OKD9" s="34"/>
      <c r="OKE9" s="390"/>
      <c r="OKF9" s="516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6"/>
      <c r="OKT9" s="34"/>
      <c r="OKU9" s="390"/>
      <c r="OKV9" s="516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6"/>
      <c r="OLJ9" s="34"/>
      <c r="OLK9" s="390"/>
      <c r="OLL9" s="516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6"/>
      <c r="OLZ9" s="34"/>
      <c r="OMA9" s="390"/>
      <c r="OMB9" s="516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6"/>
      <c r="OMP9" s="34"/>
      <c r="OMQ9" s="390"/>
      <c r="OMR9" s="516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6"/>
      <c r="ONF9" s="34"/>
      <c r="ONG9" s="390"/>
      <c r="ONH9" s="516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6"/>
      <c r="ONV9" s="34"/>
      <c r="ONW9" s="390"/>
      <c r="ONX9" s="516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6"/>
      <c r="OOL9" s="34"/>
      <c r="OOM9" s="390"/>
      <c r="OON9" s="516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6"/>
      <c r="OPB9" s="34"/>
      <c r="OPC9" s="390"/>
      <c r="OPD9" s="516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6"/>
      <c r="OPR9" s="34"/>
      <c r="OPS9" s="390"/>
      <c r="OPT9" s="516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6"/>
      <c r="OQH9" s="34"/>
      <c r="OQI9" s="390"/>
      <c r="OQJ9" s="516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6"/>
      <c r="OQX9" s="34"/>
      <c r="OQY9" s="390"/>
      <c r="OQZ9" s="516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6"/>
      <c r="ORN9" s="34"/>
      <c r="ORO9" s="390"/>
      <c r="ORP9" s="516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6"/>
      <c r="OSD9" s="34"/>
      <c r="OSE9" s="390"/>
      <c r="OSF9" s="516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6"/>
      <c r="OST9" s="34"/>
      <c r="OSU9" s="390"/>
      <c r="OSV9" s="516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6"/>
      <c r="OTJ9" s="34"/>
      <c r="OTK9" s="390"/>
      <c r="OTL9" s="516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6"/>
      <c r="OTZ9" s="34"/>
      <c r="OUA9" s="390"/>
      <c r="OUB9" s="516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6"/>
      <c r="OUP9" s="34"/>
      <c r="OUQ9" s="390"/>
      <c r="OUR9" s="516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6"/>
      <c r="OVF9" s="34"/>
      <c r="OVG9" s="390"/>
      <c r="OVH9" s="516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6"/>
      <c r="OVV9" s="34"/>
      <c r="OVW9" s="390"/>
      <c r="OVX9" s="516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6"/>
      <c r="OWL9" s="34"/>
      <c r="OWM9" s="390"/>
      <c r="OWN9" s="516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6"/>
      <c r="OXB9" s="34"/>
      <c r="OXC9" s="390"/>
      <c r="OXD9" s="516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6"/>
      <c r="OXR9" s="34"/>
      <c r="OXS9" s="390"/>
      <c r="OXT9" s="516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6"/>
      <c r="OYH9" s="34"/>
      <c r="OYI9" s="390"/>
      <c r="OYJ9" s="516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6"/>
      <c r="OYX9" s="34"/>
      <c r="OYY9" s="390"/>
      <c r="OYZ9" s="516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6"/>
      <c r="OZN9" s="34"/>
      <c r="OZO9" s="390"/>
      <c r="OZP9" s="516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6"/>
      <c r="PAD9" s="34"/>
      <c r="PAE9" s="390"/>
      <c r="PAF9" s="516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6"/>
      <c r="PAT9" s="34"/>
      <c r="PAU9" s="390"/>
      <c r="PAV9" s="516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6"/>
      <c r="PBJ9" s="34"/>
      <c r="PBK9" s="390"/>
      <c r="PBL9" s="516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6"/>
      <c r="PBZ9" s="34"/>
      <c r="PCA9" s="390"/>
      <c r="PCB9" s="516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6"/>
      <c r="PCP9" s="34"/>
      <c r="PCQ9" s="390"/>
      <c r="PCR9" s="516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6"/>
      <c r="PDF9" s="34"/>
      <c r="PDG9" s="390"/>
      <c r="PDH9" s="516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6"/>
      <c r="PDV9" s="34"/>
      <c r="PDW9" s="390"/>
      <c r="PDX9" s="516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6"/>
      <c r="PEL9" s="34"/>
      <c r="PEM9" s="390"/>
      <c r="PEN9" s="516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6"/>
      <c r="PFB9" s="34"/>
      <c r="PFC9" s="390"/>
      <c r="PFD9" s="516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6"/>
      <c r="PFR9" s="34"/>
      <c r="PFS9" s="390"/>
      <c r="PFT9" s="516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6"/>
      <c r="PGH9" s="34"/>
      <c r="PGI9" s="390"/>
      <c r="PGJ9" s="516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6"/>
      <c r="PGX9" s="34"/>
      <c r="PGY9" s="390"/>
      <c r="PGZ9" s="516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6"/>
      <c r="PHN9" s="34"/>
      <c r="PHO9" s="390"/>
      <c r="PHP9" s="516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6"/>
      <c r="PID9" s="34"/>
      <c r="PIE9" s="390"/>
      <c r="PIF9" s="516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6"/>
      <c r="PIT9" s="34"/>
      <c r="PIU9" s="390"/>
      <c r="PIV9" s="516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6"/>
      <c r="PJJ9" s="34"/>
      <c r="PJK9" s="390"/>
      <c r="PJL9" s="516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6"/>
      <c r="PJZ9" s="34"/>
      <c r="PKA9" s="390"/>
      <c r="PKB9" s="516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6"/>
      <c r="PKP9" s="34"/>
      <c r="PKQ9" s="390"/>
      <c r="PKR9" s="516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6"/>
      <c r="PLF9" s="34"/>
      <c r="PLG9" s="390"/>
      <c r="PLH9" s="516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6"/>
      <c r="PLV9" s="34"/>
      <c r="PLW9" s="390"/>
      <c r="PLX9" s="516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6"/>
      <c r="PML9" s="34"/>
      <c r="PMM9" s="390"/>
      <c r="PMN9" s="516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6"/>
      <c r="PNB9" s="34"/>
      <c r="PNC9" s="390"/>
      <c r="PND9" s="516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6"/>
      <c r="PNR9" s="34"/>
      <c r="PNS9" s="390"/>
      <c r="PNT9" s="516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6"/>
      <c r="POH9" s="34"/>
      <c r="POI9" s="390"/>
      <c r="POJ9" s="516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6"/>
      <c r="POX9" s="34"/>
      <c r="POY9" s="390"/>
      <c r="POZ9" s="516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6"/>
      <c r="PPN9" s="34"/>
      <c r="PPO9" s="390"/>
      <c r="PPP9" s="516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6"/>
      <c r="PQD9" s="34"/>
      <c r="PQE9" s="390"/>
      <c r="PQF9" s="516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6"/>
      <c r="PQT9" s="34"/>
      <c r="PQU9" s="390"/>
      <c r="PQV9" s="516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6"/>
      <c r="PRJ9" s="34"/>
      <c r="PRK9" s="390"/>
      <c r="PRL9" s="516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6"/>
      <c r="PRZ9" s="34"/>
      <c r="PSA9" s="390"/>
      <c r="PSB9" s="516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6"/>
      <c r="PSP9" s="34"/>
      <c r="PSQ9" s="390"/>
      <c r="PSR9" s="516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6"/>
      <c r="PTF9" s="34"/>
      <c r="PTG9" s="390"/>
      <c r="PTH9" s="516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6"/>
      <c r="PTV9" s="34"/>
      <c r="PTW9" s="390"/>
      <c r="PTX9" s="516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6"/>
      <c r="PUL9" s="34"/>
      <c r="PUM9" s="390"/>
      <c r="PUN9" s="516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6"/>
      <c r="PVB9" s="34"/>
      <c r="PVC9" s="390"/>
      <c r="PVD9" s="516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6"/>
      <c r="PVR9" s="34"/>
      <c r="PVS9" s="390"/>
      <c r="PVT9" s="516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6"/>
      <c r="PWH9" s="34"/>
      <c r="PWI9" s="390"/>
      <c r="PWJ9" s="516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6"/>
      <c r="PWX9" s="34"/>
      <c r="PWY9" s="390"/>
      <c r="PWZ9" s="516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6"/>
      <c r="PXN9" s="34"/>
      <c r="PXO9" s="390"/>
      <c r="PXP9" s="516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6"/>
      <c r="PYD9" s="34"/>
      <c r="PYE9" s="390"/>
      <c r="PYF9" s="516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6"/>
      <c r="PYT9" s="34"/>
      <c r="PYU9" s="390"/>
      <c r="PYV9" s="516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6"/>
      <c r="PZJ9" s="34"/>
      <c r="PZK9" s="390"/>
      <c r="PZL9" s="516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6"/>
      <c r="PZZ9" s="34"/>
      <c r="QAA9" s="390"/>
      <c r="QAB9" s="516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6"/>
      <c r="QAP9" s="34"/>
      <c r="QAQ9" s="390"/>
      <c r="QAR9" s="516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6"/>
      <c r="QBF9" s="34"/>
      <c r="QBG9" s="390"/>
      <c r="QBH9" s="516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6"/>
      <c r="QBV9" s="34"/>
      <c r="QBW9" s="390"/>
      <c r="QBX9" s="516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6"/>
      <c r="QCL9" s="34"/>
      <c r="QCM9" s="390"/>
      <c r="QCN9" s="516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6"/>
      <c r="QDB9" s="34"/>
      <c r="QDC9" s="390"/>
      <c r="QDD9" s="516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6"/>
      <c r="QDR9" s="34"/>
      <c r="QDS9" s="390"/>
      <c r="QDT9" s="516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6"/>
      <c r="QEH9" s="34"/>
      <c r="QEI9" s="390"/>
      <c r="QEJ9" s="516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6"/>
      <c r="QEX9" s="34"/>
      <c r="QEY9" s="390"/>
      <c r="QEZ9" s="516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6"/>
      <c r="QFN9" s="34"/>
      <c r="QFO9" s="390"/>
      <c r="QFP9" s="516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6"/>
      <c r="QGD9" s="34"/>
      <c r="QGE9" s="390"/>
      <c r="QGF9" s="516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6"/>
      <c r="QGT9" s="34"/>
      <c r="QGU9" s="390"/>
      <c r="QGV9" s="516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6"/>
      <c r="QHJ9" s="34"/>
      <c r="QHK9" s="390"/>
      <c r="QHL9" s="516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6"/>
      <c r="QHZ9" s="34"/>
      <c r="QIA9" s="390"/>
      <c r="QIB9" s="516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6"/>
      <c r="QIP9" s="34"/>
      <c r="QIQ9" s="390"/>
      <c r="QIR9" s="516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6"/>
      <c r="QJF9" s="34"/>
      <c r="QJG9" s="390"/>
      <c r="QJH9" s="516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6"/>
      <c r="QJV9" s="34"/>
      <c r="QJW9" s="390"/>
      <c r="QJX9" s="516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6"/>
      <c r="QKL9" s="34"/>
      <c r="QKM9" s="390"/>
      <c r="QKN9" s="516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6"/>
      <c r="QLB9" s="34"/>
      <c r="QLC9" s="390"/>
      <c r="QLD9" s="516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6"/>
      <c r="QLR9" s="34"/>
      <c r="QLS9" s="390"/>
      <c r="QLT9" s="516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6"/>
      <c r="QMH9" s="34"/>
      <c r="QMI9" s="390"/>
      <c r="QMJ9" s="516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6"/>
      <c r="QMX9" s="34"/>
      <c r="QMY9" s="390"/>
      <c r="QMZ9" s="516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6"/>
      <c r="QNN9" s="34"/>
      <c r="QNO9" s="390"/>
      <c r="QNP9" s="516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6"/>
      <c r="QOD9" s="34"/>
      <c r="QOE9" s="390"/>
      <c r="QOF9" s="516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6"/>
      <c r="QOT9" s="34"/>
      <c r="QOU9" s="390"/>
      <c r="QOV9" s="516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6"/>
      <c r="QPJ9" s="34"/>
      <c r="QPK9" s="390"/>
      <c r="QPL9" s="516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6"/>
      <c r="QPZ9" s="34"/>
      <c r="QQA9" s="390"/>
      <c r="QQB9" s="516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6"/>
      <c r="QQP9" s="34"/>
      <c r="QQQ9" s="390"/>
      <c r="QQR9" s="516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6"/>
      <c r="QRF9" s="34"/>
      <c r="QRG9" s="390"/>
      <c r="QRH9" s="516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6"/>
      <c r="QRV9" s="34"/>
      <c r="QRW9" s="390"/>
      <c r="QRX9" s="516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6"/>
      <c r="QSL9" s="34"/>
      <c r="QSM9" s="390"/>
      <c r="QSN9" s="516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6"/>
      <c r="QTB9" s="34"/>
      <c r="QTC9" s="390"/>
      <c r="QTD9" s="516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6"/>
      <c r="QTR9" s="34"/>
      <c r="QTS9" s="390"/>
      <c r="QTT9" s="516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6"/>
      <c r="QUH9" s="34"/>
      <c r="QUI9" s="390"/>
      <c r="QUJ9" s="516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6"/>
      <c r="QUX9" s="34"/>
      <c r="QUY9" s="390"/>
      <c r="QUZ9" s="516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6"/>
      <c r="QVN9" s="34"/>
      <c r="QVO9" s="390"/>
      <c r="QVP9" s="516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6"/>
      <c r="QWD9" s="34"/>
      <c r="QWE9" s="390"/>
      <c r="QWF9" s="516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6"/>
      <c r="QWT9" s="34"/>
      <c r="QWU9" s="390"/>
      <c r="QWV9" s="516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6"/>
      <c r="QXJ9" s="34"/>
      <c r="QXK9" s="390"/>
      <c r="QXL9" s="516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6"/>
      <c r="QXZ9" s="34"/>
      <c r="QYA9" s="390"/>
      <c r="QYB9" s="516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6"/>
      <c r="QYP9" s="34"/>
      <c r="QYQ9" s="390"/>
      <c r="QYR9" s="516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6"/>
      <c r="QZF9" s="34"/>
      <c r="QZG9" s="390"/>
      <c r="QZH9" s="516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6"/>
      <c r="QZV9" s="34"/>
      <c r="QZW9" s="390"/>
      <c r="QZX9" s="516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6"/>
      <c r="RAL9" s="34"/>
      <c r="RAM9" s="390"/>
      <c r="RAN9" s="516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6"/>
      <c r="RBB9" s="34"/>
      <c r="RBC9" s="390"/>
      <c r="RBD9" s="516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6"/>
      <c r="RBR9" s="34"/>
      <c r="RBS9" s="390"/>
      <c r="RBT9" s="516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6"/>
      <c r="RCH9" s="34"/>
      <c r="RCI9" s="390"/>
      <c r="RCJ9" s="516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6"/>
      <c r="RCX9" s="34"/>
      <c r="RCY9" s="390"/>
      <c r="RCZ9" s="516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6"/>
      <c r="RDN9" s="34"/>
      <c r="RDO9" s="390"/>
      <c r="RDP9" s="516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6"/>
      <c r="RED9" s="34"/>
      <c r="REE9" s="390"/>
      <c r="REF9" s="516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6"/>
      <c r="RET9" s="34"/>
      <c r="REU9" s="390"/>
      <c r="REV9" s="516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6"/>
      <c r="RFJ9" s="34"/>
      <c r="RFK9" s="390"/>
      <c r="RFL9" s="516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6"/>
      <c r="RFZ9" s="34"/>
      <c r="RGA9" s="390"/>
      <c r="RGB9" s="516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6"/>
      <c r="RGP9" s="34"/>
      <c r="RGQ9" s="390"/>
      <c r="RGR9" s="516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6"/>
      <c r="RHF9" s="34"/>
      <c r="RHG9" s="390"/>
      <c r="RHH9" s="516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6"/>
      <c r="RHV9" s="34"/>
      <c r="RHW9" s="390"/>
      <c r="RHX9" s="516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6"/>
      <c r="RIL9" s="34"/>
      <c r="RIM9" s="390"/>
      <c r="RIN9" s="516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6"/>
      <c r="RJB9" s="34"/>
      <c r="RJC9" s="390"/>
      <c r="RJD9" s="516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6"/>
      <c r="RJR9" s="34"/>
      <c r="RJS9" s="390"/>
      <c r="RJT9" s="516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6"/>
      <c r="RKH9" s="34"/>
      <c r="RKI9" s="390"/>
      <c r="RKJ9" s="516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6"/>
      <c r="RKX9" s="34"/>
      <c r="RKY9" s="390"/>
      <c r="RKZ9" s="516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6"/>
      <c r="RLN9" s="34"/>
      <c r="RLO9" s="390"/>
      <c r="RLP9" s="516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6"/>
      <c r="RMD9" s="34"/>
      <c r="RME9" s="390"/>
      <c r="RMF9" s="516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6"/>
      <c r="RMT9" s="34"/>
      <c r="RMU9" s="390"/>
      <c r="RMV9" s="516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6"/>
      <c r="RNJ9" s="34"/>
      <c r="RNK9" s="390"/>
      <c r="RNL9" s="516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6"/>
      <c r="RNZ9" s="34"/>
      <c r="ROA9" s="390"/>
      <c r="ROB9" s="516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6"/>
      <c r="ROP9" s="34"/>
      <c r="ROQ9" s="390"/>
      <c r="ROR9" s="516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6"/>
      <c r="RPF9" s="34"/>
      <c r="RPG9" s="390"/>
      <c r="RPH9" s="516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6"/>
      <c r="RPV9" s="34"/>
      <c r="RPW9" s="390"/>
      <c r="RPX9" s="516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6"/>
      <c r="RQL9" s="34"/>
      <c r="RQM9" s="390"/>
      <c r="RQN9" s="516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6"/>
      <c r="RRB9" s="34"/>
      <c r="RRC9" s="390"/>
      <c r="RRD9" s="516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6"/>
      <c r="RRR9" s="34"/>
      <c r="RRS9" s="390"/>
      <c r="RRT9" s="516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6"/>
      <c r="RSH9" s="34"/>
      <c r="RSI9" s="390"/>
      <c r="RSJ9" s="516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6"/>
      <c r="RSX9" s="34"/>
      <c r="RSY9" s="390"/>
      <c r="RSZ9" s="516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6"/>
      <c r="RTN9" s="34"/>
      <c r="RTO9" s="390"/>
      <c r="RTP9" s="516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6"/>
      <c r="RUD9" s="34"/>
      <c r="RUE9" s="390"/>
      <c r="RUF9" s="516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6"/>
      <c r="RUT9" s="34"/>
      <c r="RUU9" s="390"/>
      <c r="RUV9" s="516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6"/>
      <c r="RVJ9" s="34"/>
      <c r="RVK9" s="390"/>
      <c r="RVL9" s="516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6"/>
      <c r="RVZ9" s="34"/>
      <c r="RWA9" s="390"/>
      <c r="RWB9" s="516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6"/>
      <c r="RWP9" s="34"/>
      <c r="RWQ9" s="390"/>
      <c r="RWR9" s="516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6"/>
      <c r="RXF9" s="34"/>
      <c r="RXG9" s="390"/>
      <c r="RXH9" s="516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6"/>
      <c r="RXV9" s="34"/>
      <c r="RXW9" s="390"/>
      <c r="RXX9" s="516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6"/>
      <c r="RYL9" s="34"/>
      <c r="RYM9" s="390"/>
      <c r="RYN9" s="516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6"/>
      <c r="RZB9" s="34"/>
      <c r="RZC9" s="390"/>
      <c r="RZD9" s="516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6"/>
      <c r="RZR9" s="34"/>
      <c r="RZS9" s="390"/>
      <c r="RZT9" s="516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6"/>
      <c r="SAH9" s="34"/>
      <c r="SAI9" s="390"/>
      <c r="SAJ9" s="516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6"/>
      <c r="SAX9" s="34"/>
      <c r="SAY9" s="390"/>
      <c r="SAZ9" s="516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6"/>
      <c r="SBN9" s="34"/>
      <c r="SBO9" s="390"/>
      <c r="SBP9" s="516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6"/>
      <c r="SCD9" s="34"/>
      <c r="SCE9" s="390"/>
      <c r="SCF9" s="516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6"/>
      <c r="SCT9" s="34"/>
      <c r="SCU9" s="390"/>
      <c r="SCV9" s="516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6"/>
      <c r="SDJ9" s="34"/>
      <c r="SDK9" s="390"/>
      <c r="SDL9" s="516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6"/>
      <c r="SDZ9" s="34"/>
      <c r="SEA9" s="390"/>
      <c r="SEB9" s="516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6"/>
      <c r="SEP9" s="34"/>
      <c r="SEQ9" s="390"/>
      <c r="SER9" s="516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6"/>
      <c r="SFF9" s="34"/>
      <c r="SFG9" s="390"/>
      <c r="SFH9" s="516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6"/>
      <c r="SFV9" s="34"/>
      <c r="SFW9" s="390"/>
      <c r="SFX9" s="516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6"/>
      <c r="SGL9" s="34"/>
      <c r="SGM9" s="390"/>
      <c r="SGN9" s="516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6"/>
      <c r="SHB9" s="34"/>
      <c r="SHC9" s="390"/>
      <c r="SHD9" s="516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6"/>
      <c r="SHR9" s="34"/>
      <c r="SHS9" s="390"/>
      <c r="SHT9" s="516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6"/>
      <c r="SIH9" s="34"/>
      <c r="SII9" s="390"/>
      <c r="SIJ9" s="516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6"/>
      <c r="SIX9" s="34"/>
      <c r="SIY9" s="390"/>
      <c r="SIZ9" s="516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6"/>
      <c r="SJN9" s="34"/>
      <c r="SJO9" s="390"/>
      <c r="SJP9" s="516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6"/>
      <c r="SKD9" s="34"/>
      <c r="SKE9" s="390"/>
      <c r="SKF9" s="516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6"/>
      <c r="SKT9" s="34"/>
      <c r="SKU9" s="390"/>
      <c r="SKV9" s="516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6"/>
      <c r="SLJ9" s="34"/>
      <c r="SLK9" s="390"/>
      <c r="SLL9" s="516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6"/>
      <c r="SLZ9" s="34"/>
      <c r="SMA9" s="390"/>
      <c r="SMB9" s="516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6"/>
      <c r="SMP9" s="34"/>
      <c r="SMQ9" s="390"/>
      <c r="SMR9" s="516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6"/>
      <c r="SNF9" s="34"/>
      <c r="SNG9" s="390"/>
      <c r="SNH9" s="516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6"/>
      <c r="SNV9" s="34"/>
      <c r="SNW9" s="390"/>
      <c r="SNX9" s="516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6"/>
      <c r="SOL9" s="34"/>
      <c r="SOM9" s="390"/>
      <c r="SON9" s="516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6"/>
      <c r="SPB9" s="34"/>
      <c r="SPC9" s="390"/>
      <c r="SPD9" s="516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6"/>
      <c r="SPR9" s="34"/>
      <c r="SPS9" s="390"/>
      <c r="SPT9" s="516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6"/>
      <c r="SQH9" s="34"/>
      <c r="SQI9" s="390"/>
      <c r="SQJ9" s="516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6"/>
      <c r="SQX9" s="34"/>
      <c r="SQY9" s="390"/>
      <c r="SQZ9" s="516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6"/>
      <c r="SRN9" s="34"/>
      <c r="SRO9" s="390"/>
      <c r="SRP9" s="516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6"/>
      <c r="SSD9" s="34"/>
      <c r="SSE9" s="390"/>
      <c r="SSF9" s="516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6"/>
      <c r="SST9" s="34"/>
      <c r="SSU9" s="390"/>
      <c r="SSV9" s="516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6"/>
      <c r="STJ9" s="34"/>
      <c r="STK9" s="390"/>
      <c r="STL9" s="516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6"/>
      <c r="STZ9" s="34"/>
      <c r="SUA9" s="390"/>
      <c r="SUB9" s="516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6"/>
      <c r="SUP9" s="34"/>
      <c r="SUQ9" s="390"/>
      <c r="SUR9" s="516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6"/>
      <c r="SVF9" s="34"/>
      <c r="SVG9" s="390"/>
      <c r="SVH9" s="516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6"/>
      <c r="SVV9" s="34"/>
      <c r="SVW9" s="390"/>
      <c r="SVX9" s="516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6"/>
      <c r="SWL9" s="34"/>
      <c r="SWM9" s="390"/>
      <c r="SWN9" s="516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6"/>
      <c r="SXB9" s="34"/>
      <c r="SXC9" s="390"/>
      <c r="SXD9" s="516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6"/>
      <c r="SXR9" s="34"/>
      <c r="SXS9" s="390"/>
      <c r="SXT9" s="516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6"/>
      <c r="SYH9" s="34"/>
      <c r="SYI9" s="390"/>
      <c r="SYJ9" s="516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6"/>
      <c r="SYX9" s="34"/>
      <c r="SYY9" s="390"/>
      <c r="SYZ9" s="516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6"/>
      <c r="SZN9" s="34"/>
      <c r="SZO9" s="390"/>
      <c r="SZP9" s="516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6"/>
      <c r="TAD9" s="34"/>
      <c r="TAE9" s="390"/>
      <c r="TAF9" s="516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6"/>
      <c r="TAT9" s="34"/>
      <c r="TAU9" s="390"/>
      <c r="TAV9" s="516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6"/>
      <c r="TBJ9" s="34"/>
      <c r="TBK9" s="390"/>
      <c r="TBL9" s="516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6"/>
      <c r="TBZ9" s="34"/>
      <c r="TCA9" s="390"/>
      <c r="TCB9" s="516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6"/>
      <c r="TCP9" s="34"/>
      <c r="TCQ9" s="390"/>
      <c r="TCR9" s="516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6"/>
      <c r="TDF9" s="34"/>
      <c r="TDG9" s="390"/>
      <c r="TDH9" s="516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6"/>
      <c r="TDV9" s="34"/>
      <c r="TDW9" s="390"/>
      <c r="TDX9" s="516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6"/>
      <c r="TEL9" s="34"/>
      <c r="TEM9" s="390"/>
      <c r="TEN9" s="516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6"/>
      <c r="TFB9" s="34"/>
      <c r="TFC9" s="390"/>
      <c r="TFD9" s="516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6"/>
      <c r="TFR9" s="34"/>
      <c r="TFS9" s="390"/>
      <c r="TFT9" s="516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6"/>
      <c r="TGH9" s="34"/>
      <c r="TGI9" s="390"/>
      <c r="TGJ9" s="516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6"/>
      <c r="TGX9" s="34"/>
      <c r="TGY9" s="390"/>
      <c r="TGZ9" s="516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6"/>
      <c r="THN9" s="34"/>
      <c r="THO9" s="390"/>
      <c r="THP9" s="516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6"/>
      <c r="TID9" s="34"/>
      <c r="TIE9" s="390"/>
      <c r="TIF9" s="516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6"/>
      <c r="TIT9" s="34"/>
      <c r="TIU9" s="390"/>
      <c r="TIV9" s="516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6"/>
      <c r="TJJ9" s="34"/>
      <c r="TJK9" s="390"/>
      <c r="TJL9" s="516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6"/>
      <c r="TJZ9" s="34"/>
      <c r="TKA9" s="390"/>
      <c r="TKB9" s="516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6"/>
      <c r="TKP9" s="34"/>
      <c r="TKQ9" s="390"/>
      <c r="TKR9" s="516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6"/>
      <c r="TLF9" s="34"/>
      <c r="TLG9" s="390"/>
      <c r="TLH9" s="516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6"/>
      <c r="TLV9" s="34"/>
      <c r="TLW9" s="390"/>
      <c r="TLX9" s="516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6"/>
      <c r="TML9" s="34"/>
      <c r="TMM9" s="390"/>
      <c r="TMN9" s="516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6"/>
      <c r="TNB9" s="34"/>
      <c r="TNC9" s="390"/>
      <c r="TND9" s="516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6"/>
      <c r="TNR9" s="34"/>
      <c r="TNS9" s="390"/>
      <c r="TNT9" s="516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6"/>
      <c r="TOH9" s="34"/>
      <c r="TOI9" s="390"/>
      <c r="TOJ9" s="516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6"/>
      <c r="TOX9" s="34"/>
      <c r="TOY9" s="390"/>
      <c r="TOZ9" s="516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6"/>
      <c r="TPN9" s="34"/>
      <c r="TPO9" s="390"/>
      <c r="TPP9" s="516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6"/>
      <c r="TQD9" s="34"/>
      <c r="TQE9" s="390"/>
      <c r="TQF9" s="516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6"/>
      <c r="TQT9" s="34"/>
      <c r="TQU9" s="390"/>
      <c r="TQV9" s="516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6"/>
      <c r="TRJ9" s="34"/>
      <c r="TRK9" s="390"/>
      <c r="TRL9" s="516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6"/>
      <c r="TRZ9" s="34"/>
      <c r="TSA9" s="390"/>
      <c r="TSB9" s="516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6"/>
      <c r="TSP9" s="34"/>
      <c r="TSQ9" s="390"/>
      <c r="TSR9" s="516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6"/>
      <c r="TTF9" s="34"/>
      <c r="TTG9" s="390"/>
      <c r="TTH9" s="516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6"/>
      <c r="TTV9" s="34"/>
      <c r="TTW9" s="390"/>
      <c r="TTX9" s="516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6"/>
      <c r="TUL9" s="34"/>
      <c r="TUM9" s="390"/>
      <c r="TUN9" s="516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6"/>
      <c r="TVB9" s="34"/>
      <c r="TVC9" s="390"/>
      <c r="TVD9" s="516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6"/>
      <c r="TVR9" s="34"/>
      <c r="TVS9" s="390"/>
      <c r="TVT9" s="516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6"/>
      <c r="TWH9" s="34"/>
      <c r="TWI9" s="390"/>
      <c r="TWJ9" s="516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6"/>
      <c r="TWX9" s="34"/>
      <c r="TWY9" s="390"/>
      <c r="TWZ9" s="516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6"/>
      <c r="TXN9" s="34"/>
      <c r="TXO9" s="390"/>
      <c r="TXP9" s="516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6"/>
      <c r="TYD9" s="34"/>
      <c r="TYE9" s="390"/>
      <c r="TYF9" s="516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6"/>
      <c r="TYT9" s="34"/>
      <c r="TYU9" s="390"/>
      <c r="TYV9" s="516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6"/>
      <c r="TZJ9" s="34"/>
      <c r="TZK9" s="390"/>
      <c r="TZL9" s="516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6"/>
      <c r="TZZ9" s="34"/>
      <c r="UAA9" s="390"/>
      <c r="UAB9" s="516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6"/>
      <c r="UAP9" s="34"/>
      <c r="UAQ9" s="390"/>
      <c r="UAR9" s="516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6"/>
      <c r="UBF9" s="34"/>
      <c r="UBG9" s="390"/>
      <c r="UBH9" s="516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6"/>
      <c r="UBV9" s="34"/>
      <c r="UBW9" s="390"/>
      <c r="UBX9" s="516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6"/>
      <c r="UCL9" s="34"/>
      <c r="UCM9" s="390"/>
      <c r="UCN9" s="516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6"/>
      <c r="UDB9" s="34"/>
      <c r="UDC9" s="390"/>
      <c r="UDD9" s="516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6"/>
      <c r="UDR9" s="34"/>
      <c r="UDS9" s="390"/>
      <c r="UDT9" s="516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6"/>
      <c r="UEH9" s="34"/>
      <c r="UEI9" s="390"/>
      <c r="UEJ9" s="516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6"/>
      <c r="UEX9" s="34"/>
      <c r="UEY9" s="390"/>
      <c r="UEZ9" s="516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6"/>
      <c r="UFN9" s="34"/>
      <c r="UFO9" s="390"/>
      <c r="UFP9" s="516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6"/>
      <c r="UGD9" s="34"/>
      <c r="UGE9" s="390"/>
      <c r="UGF9" s="516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6"/>
      <c r="UGT9" s="34"/>
      <c r="UGU9" s="390"/>
      <c r="UGV9" s="516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6"/>
      <c r="UHJ9" s="34"/>
      <c r="UHK9" s="390"/>
      <c r="UHL9" s="516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6"/>
      <c r="UHZ9" s="34"/>
      <c r="UIA9" s="390"/>
      <c r="UIB9" s="516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6"/>
      <c r="UIP9" s="34"/>
      <c r="UIQ9" s="390"/>
      <c r="UIR9" s="516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6"/>
      <c r="UJF9" s="34"/>
      <c r="UJG9" s="390"/>
      <c r="UJH9" s="516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6"/>
      <c r="UJV9" s="34"/>
      <c r="UJW9" s="390"/>
      <c r="UJX9" s="516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6"/>
      <c r="UKL9" s="34"/>
      <c r="UKM9" s="390"/>
      <c r="UKN9" s="516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6"/>
      <c r="ULB9" s="34"/>
      <c r="ULC9" s="390"/>
      <c r="ULD9" s="516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6"/>
      <c r="ULR9" s="34"/>
      <c r="ULS9" s="390"/>
      <c r="ULT9" s="516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6"/>
      <c r="UMH9" s="34"/>
      <c r="UMI9" s="390"/>
      <c r="UMJ9" s="516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6"/>
      <c r="UMX9" s="34"/>
      <c r="UMY9" s="390"/>
      <c r="UMZ9" s="516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6"/>
      <c r="UNN9" s="34"/>
      <c r="UNO9" s="390"/>
      <c r="UNP9" s="516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6"/>
      <c r="UOD9" s="34"/>
      <c r="UOE9" s="390"/>
      <c r="UOF9" s="516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6"/>
      <c r="UOT9" s="34"/>
      <c r="UOU9" s="390"/>
      <c r="UOV9" s="516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6"/>
      <c r="UPJ9" s="34"/>
      <c r="UPK9" s="390"/>
      <c r="UPL9" s="516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6"/>
      <c r="UPZ9" s="34"/>
      <c r="UQA9" s="390"/>
      <c r="UQB9" s="516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6"/>
      <c r="UQP9" s="34"/>
      <c r="UQQ9" s="390"/>
      <c r="UQR9" s="516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6"/>
      <c r="URF9" s="34"/>
      <c r="URG9" s="390"/>
      <c r="URH9" s="516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6"/>
      <c r="URV9" s="34"/>
      <c r="URW9" s="390"/>
      <c r="URX9" s="516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6"/>
      <c r="USL9" s="34"/>
      <c r="USM9" s="390"/>
      <c r="USN9" s="516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6"/>
      <c r="UTB9" s="34"/>
      <c r="UTC9" s="390"/>
      <c r="UTD9" s="516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6"/>
      <c r="UTR9" s="34"/>
      <c r="UTS9" s="390"/>
      <c r="UTT9" s="516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6"/>
      <c r="UUH9" s="34"/>
      <c r="UUI9" s="390"/>
      <c r="UUJ9" s="516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6"/>
      <c r="UUX9" s="34"/>
      <c r="UUY9" s="390"/>
      <c r="UUZ9" s="516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6"/>
      <c r="UVN9" s="34"/>
      <c r="UVO9" s="390"/>
      <c r="UVP9" s="516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6"/>
      <c r="UWD9" s="34"/>
      <c r="UWE9" s="390"/>
      <c r="UWF9" s="516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6"/>
      <c r="UWT9" s="34"/>
      <c r="UWU9" s="390"/>
      <c r="UWV9" s="516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6"/>
      <c r="UXJ9" s="34"/>
      <c r="UXK9" s="390"/>
      <c r="UXL9" s="516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6"/>
      <c r="UXZ9" s="34"/>
      <c r="UYA9" s="390"/>
      <c r="UYB9" s="516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6"/>
      <c r="UYP9" s="34"/>
      <c r="UYQ9" s="390"/>
      <c r="UYR9" s="516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6"/>
      <c r="UZF9" s="34"/>
      <c r="UZG9" s="390"/>
      <c r="UZH9" s="516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6"/>
      <c r="UZV9" s="34"/>
      <c r="UZW9" s="390"/>
      <c r="UZX9" s="516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6"/>
      <c r="VAL9" s="34"/>
      <c r="VAM9" s="390"/>
      <c r="VAN9" s="516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6"/>
      <c r="VBB9" s="34"/>
      <c r="VBC9" s="390"/>
      <c r="VBD9" s="516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6"/>
      <c r="VBR9" s="34"/>
      <c r="VBS9" s="390"/>
      <c r="VBT9" s="516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6"/>
      <c r="VCH9" s="34"/>
      <c r="VCI9" s="390"/>
      <c r="VCJ9" s="516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6"/>
      <c r="VCX9" s="34"/>
      <c r="VCY9" s="390"/>
      <c r="VCZ9" s="516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6"/>
      <c r="VDN9" s="34"/>
      <c r="VDO9" s="390"/>
      <c r="VDP9" s="516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6"/>
      <c r="VED9" s="34"/>
      <c r="VEE9" s="390"/>
      <c r="VEF9" s="516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6"/>
      <c r="VET9" s="34"/>
      <c r="VEU9" s="390"/>
      <c r="VEV9" s="516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6"/>
      <c r="VFJ9" s="34"/>
      <c r="VFK9" s="390"/>
      <c r="VFL9" s="516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6"/>
      <c r="VFZ9" s="34"/>
      <c r="VGA9" s="390"/>
      <c r="VGB9" s="516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6"/>
      <c r="VGP9" s="34"/>
      <c r="VGQ9" s="390"/>
      <c r="VGR9" s="516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6"/>
      <c r="VHF9" s="34"/>
      <c r="VHG9" s="390"/>
      <c r="VHH9" s="516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6"/>
      <c r="VHV9" s="34"/>
      <c r="VHW9" s="390"/>
      <c r="VHX9" s="516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6"/>
      <c r="VIL9" s="34"/>
      <c r="VIM9" s="390"/>
      <c r="VIN9" s="516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6"/>
      <c r="VJB9" s="34"/>
      <c r="VJC9" s="390"/>
      <c r="VJD9" s="516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6"/>
      <c r="VJR9" s="34"/>
      <c r="VJS9" s="390"/>
      <c r="VJT9" s="516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6"/>
      <c r="VKH9" s="34"/>
      <c r="VKI9" s="390"/>
      <c r="VKJ9" s="516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6"/>
      <c r="VKX9" s="34"/>
      <c r="VKY9" s="390"/>
      <c r="VKZ9" s="516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6"/>
      <c r="VLN9" s="34"/>
      <c r="VLO9" s="390"/>
      <c r="VLP9" s="516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6"/>
      <c r="VMD9" s="34"/>
      <c r="VME9" s="390"/>
      <c r="VMF9" s="516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6"/>
      <c r="VMT9" s="34"/>
      <c r="VMU9" s="390"/>
      <c r="VMV9" s="516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6"/>
      <c r="VNJ9" s="34"/>
      <c r="VNK9" s="390"/>
      <c r="VNL9" s="516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6"/>
      <c r="VNZ9" s="34"/>
      <c r="VOA9" s="390"/>
      <c r="VOB9" s="516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6"/>
      <c r="VOP9" s="34"/>
      <c r="VOQ9" s="390"/>
      <c r="VOR9" s="516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6"/>
      <c r="VPF9" s="34"/>
      <c r="VPG9" s="390"/>
      <c r="VPH9" s="516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6"/>
      <c r="VPV9" s="34"/>
      <c r="VPW9" s="390"/>
      <c r="VPX9" s="516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6"/>
      <c r="VQL9" s="34"/>
      <c r="VQM9" s="390"/>
      <c r="VQN9" s="516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6"/>
      <c r="VRB9" s="34"/>
      <c r="VRC9" s="390"/>
      <c r="VRD9" s="516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6"/>
      <c r="VRR9" s="34"/>
      <c r="VRS9" s="390"/>
      <c r="VRT9" s="516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6"/>
      <c r="VSH9" s="34"/>
      <c r="VSI9" s="390"/>
      <c r="VSJ9" s="516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6"/>
      <c r="VSX9" s="34"/>
      <c r="VSY9" s="390"/>
      <c r="VSZ9" s="516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6"/>
      <c r="VTN9" s="34"/>
      <c r="VTO9" s="390"/>
      <c r="VTP9" s="516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6"/>
      <c r="VUD9" s="34"/>
      <c r="VUE9" s="390"/>
      <c r="VUF9" s="516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6"/>
      <c r="VUT9" s="34"/>
      <c r="VUU9" s="390"/>
      <c r="VUV9" s="516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6"/>
      <c r="VVJ9" s="34"/>
      <c r="VVK9" s="390"/>
      <c r="VVL9" s="516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6"/>
      <c r="VVZ9" s="34"/>
      <c r="VWA9" s="390"/>
      <c r="VWB9" s="516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6"/>
      <c r="VWP9" s="34"/>
      <c r="VWQ9" s="390"/>
      <c r="VWR9" s="516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6"/>
      <c r="VXF9" s="34"/>
      <c r="VXG9" s="390"/>
      <c r="VXH9" s="516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6"/>
      <c r="VXV9" s="34"/>
      <c r="VXW9" s="390"/>
      <c r="VXX9" s="516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6"/>
      <c r="VYL9" s="34"/>
      <c r="VYM9" s="390"/>
      <c r="VYN9" s="516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6"/>
      <c r="VZB9" s="34"/>
      <c r="VZC9" s="390"/>
      <c r="VZD9" s="516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6"/>
      <c r="VZR9" s="34"/>
      <c r="VZS9" s="390"/>
      <c r="VZT9" s="516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6"/>
      <c r="WAH9" s="34"/>
      <c r="WAI9" s="390"/>
      <c r="WAJ9" s="516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6"/>
      <c r="WAX9" s="34"/>
      <c r="WAY9" s="390"/>
      <c r="WAZ9" s="516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6"/>
      <c r="WBN9" s="34"/>
      <c r="WBO9" s="390"/>
      <c r="WBP9" s="516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6"/>
      <c r="WCD9" s="34"/>
      <c r="WCE9" s="390"/>
      <c r="WCF9" s="516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6"/>
      <c r="WCT9" s="34"/>
      <c r="WCU9" s="390"/>
      <c r="WCV9" s="516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6"/>
      <c r="WDJ9" s="34"/>
      <c r="WDK9" s="390"/>
      <c r="WDL9" s="516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6"/>
      <c r="WDZ9" s="34"/>
      <c r="WEA9" s="390"/>
      <c r="WEB9" s="516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6"/>
      <c r="WEP9" s="34"/>
      <c r="WEQ9" s="390"/>
      <c r="WER9" s="516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6"/>
      <c r="WFF9" s="34"/>
      <c r="WFG9" s="390"/>
      <c r="WFH9" s="516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6"/>
      <c r="WFV9" s="34"/>
      <c r="WFW9" s="390"/>
      <c r="WFX9" s="516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6"/>
      <c r="WGL9" s="34"/>
      <c r="WGM9" s="390"/>
      <c r="WGN9" s="516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6"/>
      <c r="WHB9" s="34"/>
      <c r="WHC9" s="390"/>
      <c r="WHD9" s="516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6"/>
      <c r="WHR9" s="34"/>
      <c r="WHS9" s="390"/>
      <c r="WHT9" s="516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6"/>
      <c r="WIH9" s="34"/>
      <c r="WII9" s="390"/>
      <c r="WIJ9" s="516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6"/>
      <c r="WIX9" s="34"/>
      <c r="WIY9" s="390"/>
      <c r="WIZ9" s="516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6"/>
      <c r="WJN9" s="34"/>
      <c r="WJO9" s="390"/>
      <c r="WJP9" s="516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6"/>
      <c r="WKD9" s="34"/>
      <c r="WKE9" s="390"/>
      <c r="WKF9" s="516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6"/>
      <c r="WKT9" s="34"/>
      <c r="WKU9" s="390"/>
      <c r="WKV9" s="516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6"/>
      <c r="WLJ9" s="34"/>
      <c r="WLK9" s="390"/>
      <c r="WLL9" s="516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6"/>
      <c r="WLZ9" s="34"/>
      <c r="WMA9" s="390"/>
      <c r="WMB9" s="516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6"/>
      <c r="WMP9" s="34"/>
      <c r="WMQ9" s="390"/>
      <c r="WMR9" s="516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6"/>
      <c r="WNF9" s="34"/>
      <c r="WNG9" s="390"/>
      <c r="WNH9" s="516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6"/>
      <c r="WNV9" s="34"/>
      <c r="WNW9" s="390"/>
      <c r="WNX9" s="516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6"/>
      <c r="WOL9" s="34"/>
      <c r="WOM9" s="390"/>
      <c r="WON9" s="516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6"/>
      <c r="WPB9" s="34"/>
      <c r="WPC9" s="390"/>
      <c r="WPD9" s="516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6"/>
      <c r="WPR9" s="34"/>
      <c r="WPS9" s="390"/>
      <c r="WPT9" s="516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6"/>
      <c r="WQH9" s="34"/>
      <c r="WQI9" s="390"/>
      <c r="WQJ9" s="516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6"/>
      <c r="WQX9" s="34"/>
      <c r="WQY9" s="390"/>
      <c r="WQZ9" s="516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6"/>
      <c r="WRN9" s="34"/>
      <c r="WRO9" s="390"/>
      <c r="WRP9" s="516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6"/>
      <c r="WSD9" s="34"/>
      <c r="WSE9" s="390"/>
      <c r="WSF9" s="516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6"/>
      <c r="WST9" s="34"/>
      <c r="WSU9" s="390"/>
      <c r="WSV9" s="516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6"/>
      <c r="WTJ9" s="34"/>
      <c r="WTK9" s="390"/>
      <c r="WTL9" s="516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6"/>
      <c r="WTZ9" s="34"/>
      <c r="WUA9" s="390"/>
      <c r="WUB9" s="516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6"/>
      <c r="WUP9" s="34"/>
      <c r="WUQ9" s="390"/>
      <c r="WUR9" s="516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6"/>
      <c r="WVF9" s="34"/>
      <c r="WVG9" s="390"/>
      <c r="WVH9" s="516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6"/>
      <c r="WVV9" s="34"/>
      <c r="WVW9" s="390"/>
      <c r="WVX9" s="516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6"/>
      <c r="WWL9" s="34"/>
      <c r="WWM9" s="390"/>
      <c r="WWN9" s="516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6"/>
      <c r="WXB9" s="34"/>
      <c r="WXC9" s="390"/>
      <c r="WXD9" s="516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6"/>
      <c r="WXR9" s="34"/>
      <c r="WXS9" s="390"/>
      <c r="WXT9" s="516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6"/>
      <c r="WYH9" s="34"/>
      <c r="WYI9" s="390"/>
      <c r="WYJ9" s="516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6"/>
      <c r="WYX9" s="34"/>
      <c r="WYY9" s="390"/>
      <c r="WYZ9" s="516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6"/>
      <c r="WZN9" s="34"/>
      <c r="WZO9" s="390"/>
      <c r="WZP9" s="516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6"/>
      <c r="XAD9" s="34"/>
      <c r="XAE9" s="390"/>
      <c r="XAF9" s="516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6"/>
      <c r="XAT9" s="34"/>
      <c r="XAU9" s="390"/>
      <c r="XAV9" s="516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6"/>
      <c r="XBJ9" s="34"/>
      <c r="XBK9" s="390"/>
      <c r="XBL9" s="516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6"/>
      <c r="XBZ9" s="34"/>
      <c r="XCA9" s="390"/>
      <c r="XCB9" s="516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6"/>
      <c r="XCP9" s="34"/>
      <c r="XCQ9" s="390"/>
      <c r="XCR9" s="516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6"/>
      <c r="XDF9" s="34"/>
      <c r="XDG9" s="390"/>
      <c r="XDH9" s="516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6"/>
      <c r="XDV9" s="34"/>
      <c r="XDW9" s="390"/>
      <c r="XDX9" s="516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6"/>
      <c r="XEL9" s="34"/>
      <c r="XEM9" s="390"/>
      <c r="XEN9" s="516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6"/>
      <c r="XFB9" s="34"/>
      <c r="XFC9" s="390"/>
      <c r="XFD9" s="516"/>
    </row>
    <row r="10" spans="1:16384" ht="15" customHeight="1" x14ac:dyDescent="0.25">
      <c r="A10" s="9"/>
      <c r="B10" s="514" t="s">
        <v>4</v>
      </c>
      <c r="C10" s="511">
        <f>SUM(C5:C9)</f>
        <v>1823270872.8800001</v>
      </c>
      <c r="D10" s="152">
        <f>SUM(D5:D9)</f>
        <v>1835827108.7999997</v>
      </c>
      <c r="E10" s="84">
        <f>SUM(E5:E9)</f>
        <v>1502882812.6100001</v>
      </c>
      <c r="F10" s="90">
        <f t="shared" si="0"/>
        <v>0.81864071262809124</v>
      </c>
      <c r="G10" s="84">
        <f>SUM(G5:G9)</f>
        <v>1454343602.6300001</v>
      </c>
      <c r="H10" s="90">
        <f t="shared" si="1"/>
        <v>0.79220074464454404</v>
      </c>
      <c r="I10" s="84">
        <f>SUM(I5:I9)</f>
        <v>974581108.20000005</v>
      </c>
      <c r="J10" s="170">
        <f t="shared" si="2"/>
        <v>0.53086758743694618</v>
      </c>
      <c r="K10" s="152">
        <f>SUM(K5:K9)</f>
        <v>1400788426.71</v>
      </c>
      <c r="L10" s="90">
        <v>0.76129999999999998</v>
      </c>
      <c r="M10" s="213">
        <f t="shared" ref="M10" si="3">+G10/K10-1</f>
        <v>3.8232166184999139E-2</v>
      </c>
      <c r="N10" s="694">
        <f>SUM(N5:N9)</f>
        <v>1005314669.09</v>
      </c>
      <c r="O10" s="90">
        <v>0.5464</v>
      </c>
      <c r="P10" s="213">
        <f>+I10/N10-1</f>
        <v>-3.0571085685857646E-2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12">
        <v>380896810.41000003</v>
      </c>
      <c r="E11" s="180">
        <v>235559690.78</v>
      </c>
      <c r="F11" s="48">
        <f t="shared" si="0"/>
        <v>0.61843440097710944</v>
      </c>
      <c r="G11" s="56">
        <v>231968475.65000001</v>
      </c>
      <c r="H11" s="48">
        <f t="shared" si="1"/>
        <v>0.60900608592733418</v>
      </c>
      <c r="I11" s="30">
        <v>136086212.22</v>
      </c>
      <c r="J11" s="153">
        <f t="shared" si="2"/>
        <v>0.35727842423651657</v>
      </c>
      <c r="K11" s="150">
        <v>211984920.19</v>
      </c>
      <c r="L11" s="48">
        <v>0.63080000000000003</v>
      </c>
      <c r="M11" s="210">
        <f>+G11/K11-1</f>
        <v>9.4268759504633426E-2</v>
      </c>
      <c r="N11" s="683">
        <v>151661141.91999999</v>
      </c>
      <c r="O11" s="48">
        <v>0.45129999999999998</v>
      </c>
      <c r="P11" s="210">
        <f>+I11/N11-1</f>
        <v>-0.10269558505774434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31801277.530000001</v>
      </c>
      <c r="E12" s="34">
        <v>27104934.640000001</v>
      </c>
      <c r="F12" s="48">
        <f t="shared" si="0"/>
        <v>0.85232219411406773</v>
      </c>
      <c r="G12" s="137">
        <v>26843860.539999999</v>
      </c>
      <c r="H12" s="48">
        <f t="shared" si="1"/>
        <v>0.8441126465651142</v>
      </c>
      <c r="I12" s="137">
        <v>4573283.4000000004</v>
      </c>
      <c r="J12" s="153">
        <f t="shared" si="2"/>
        <v>0.14380816606143434</v>
      </c>
      <c r="K12" s="137">
        <v>20252139.59</v>
      </c>
      <c r="L12" s="390">
        <v>0.49320000000000003</v>
      </c>
      <c r="M12" s="210">
        <f>+G12/K12-1</f>
        <v>0.32548269385101536</v>
      </c>
      <c r="N12" s="137">
        <v>16416355.720000001</v>
      </c>
      <c r="O12" s="390">
        <v>0.39979999999999999</v>
      </c>
      <c r="P12" s="210">
        <f>+I12/N12-1</f>
        <v>-0.72141908484424577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412698087.94000006</v>
      </c>
      <c r="E13" s="84">
        <f t="shared" si="4"/>
        <v>262664625.42000002</v>
      </c>
      <c r="F13" s="90">
        <f t="shared" si="0"/>
        <v>0.63645709320123478</v>
      </c>
      <c r="G13" s="84">
        <f t="shared" si="4"/>
        <v>258812336.19</v>
      </c>
      <c r="H13" s="90">
        <f t="shared" si="1"/>
        <v>0.62712269272162779</v>
      </c>
      <c r="I13" s="84">
        <f t="shared" si="4"/>
        <v>140659495.62</v>
      </c>
      <c r="J13" s="170">
        <f t="shared" si="2"/>
        <v>0.34082904605181918</v>
      </c>
      <c r="K13" s="84">
        <f t="shared" ref="K13" si="5">SUM(K11:K12)</f>
        <v>232237059.78</v>
      </c>
      <c r="L13" s="90">
        <v>0.61580000000000001</v>
      </c>
      <c r="M13" s="213">
        <f t="shared" ref="M13:M16" si="6">+G13/K13-1</f>
        <v>0.11443167785182506</v>
      </c>
      <c r="N13" s="84">
        <f t="shared" ref="N13" si="7">SUM(N11:N12)</f>
        <v>168077497.63999999</v>
      </c>
      <c r="O13" s="90">
        <v>0.44569999999999999</v>
      </c>
      <c r="P13" s="213">
        <f>+I13/N13-1</f>
        <v>-0.16312714316300536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14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13783857.18</v>
      </c>
      <c r="J14" s="153">
        <f t="shared" ref="J14:J15" si="10">I14/D14</f>
        <v>0.49307169233560377</v>
      </c>
      <c r="K14" s="30">
        <v>19326730.16</v>
      </c>
      <c r="L14" s="262">
        <v>0.72799999999999998</v>
      </c>
      <c r="M14" s="210">
        <f t="shared" si="6"/>
        <v>0.18773723852726465</v>
      </c>
      <c r="N14" s="30">
        <v>12243436.67</v>
      </c>
      <c r="O14" s="262">
        <v>0.4612</v>
      </c>
      <c r="P14" s="210">
        <f t="shared" ref="P14:P15" si="11">+I14/N14-1</f>
        <v>0.12581602302680928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41491760.479999997</v>
      </c>
      <c r="F15" s="715">
        <f t="shared" si="8"/>
        <v>0.32485230362106082</v>
      </c>
      <c r="G15" s="34">
        <v>41491760.479999997</v>
      </c>
      <c r="H15" s="48">
        <f t="shared" si="9"/>
        <v>0.32485230362106082</v>
      </c>
      <c r="I15" s="34">
        <v>41491760.479999997</v>
      </c>
      <c r="J15" s="153">
        <f t="shared" si="10"/>
        <v>0.32485230362106082</v>
      </c>
      <c r="K15" s="34">
        <v>150999985.03</v>
      </c>
      <c r="L15" s="264">
        <v>0.95750000000000002</v>
      </c>
      <c r="M15" s="210">
        <f t="shared" si="6"/>
        <v>-0.7252201020300989</v>
      </c>
      <c r="N15" s="34">
        <v>150999985.03</v>
      </c>
      <c r="O15" s="264">
        <v>0.95750000000000002</v>
      </c>
      <c r="P15" s="210">
        <f t="shared" si="11"/>
        <v>-0.7252201020300989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64446837.589999996</v>
      </c>
      <c r="F16" s="716">
        <f t="shared" si="8"/>
        <v>0.41396971781086234</v>
      </c>
      <c r="G16" s="84">
        <f t="shared" si="12"/>
        <v>64446837.589999996</v>
      </c>
      <c r="H16" s="90">
        <f>G16/D16</f>
        <v>0.41396971781086234</v>
      </c>
      <c r="I16" s="84">
        <f t="shared" si="12"/>
        <v>55275617.659999996</v>
      </c>
      <c r="J16" s="170">
        <f>I16/D16</f>
        <v>0.35505903315389226</v>
      </c>
      <c r="K16" s="84">
        <f t="shared" ref="K16" si="13">SUM(K14:K15)</f>
        <v>170326715.19</v>
      </c>
      <c r="L16" s="263">
        <v>0.9244</v>
      </c>
      <c r="M16" s="213">
        <f t="shared" si="6"/>
        <v>-0.62162813086538216</v>
      </c>
      <c r="N16" s="84">
        <f t="shared" ref="N16" si="14">SUM(N14:N15)</f>
        <v>163243421.69999999</v>
      </c>
      <c r="O16" s="263">
        <v>0.88600000000000001</v>
      </c>
      <c r="P16" s="213">
        <f>+I16/N16-1</f>
        <v>-0.66139145403615363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2404205273.8499999</v>
      </c>
      <c r="E17" s="155">
        <f t="shared" si="15"/>
        <v>1829994275.6200001</v>
      </c>
      <c r="F17" s="181">
        <f>E17/D17</f>
        <v>0.76116390539711243</v>
      </c>
      <c r="G17" s="155">
        <f t="shared" si="15"/>
        <v>1777602776.4100001</v>
      </c>
      <c r="H17" s="181">
        <f>G17/D17</f>
        <v>0.73937229725955012</v>
      </c>
      <c r="I17" s="155">
        <f t="shared" si="15"/>
        <v>1170516221.4800003</v>
      </c>
      <c r="J17" s="173">
        <f>I17/D17</f>
        <v>0.486862013910144</v>
      </c>
      <c r="K17" s="155">
        <f t="shared" ref="K17" si="16">+K10+K13+K16</f>
        <v>1803352201.6800001</v>
      </c>
      <c r="L17" s="181">
        <v>0.75090000000000001</v>
      </c>
      <c r="M17" s="601">
        <f>+G17/K17-1</f>
        <v>-1.4278644651894323E-2</v>
      </c>
      <c r="N17" s="155">
        <f t="shared" ref="N17" si="17">+N10+N13+N16</f>
        <v>1336635588.4300001</v>
      </c>
      <c r="O17" s="181">
        <v>0.55659999999999998</v>
      </c>
      <c r="P17" s="601">
        <f>+I17/N17-1</f>
        <v>-0.12428171776057684</v>
      </c>
    </row>
    <row r="20" spans="1:16" x14ac:dyDescent="0.25">
      <c r="C20" t="s">
        <v>777</v>
      </c>
    </row>
    <row r="21" spans="1:16" x14ac:dyDescent="0.25">
      <c r="D21" s="46">
        <f>D17-D5</f>
        <v>2072910922.2199998</v>
      </c>
      <c r="E21" s="723">
        <f t="shared" ref="E21:I21" si="18">E17-E5</f>
        <v>1615086127.72</v>
      </c>
      <c r="F21" s="46">
        <f t="shared" si="18"/>
        <v>0.11247144552681487</v>
      </c>
      <c r="G21" s="723">
        <f t="shared" si="18"/>
        <v>1563089096.6000001</v>
      </c>
      <c r="H21" s="46">
        <f t="shared" si="18"/>
        <v>9.1870525030195438E-2</v>
      </c>
      <c r="I21" s="46">
        <f t="shared" si="18"/>
        <v>956517879.45000029</v>
      </c>
      <c r="J21" s="720">
        <f t="shared" ref="J21:J22" si="19">I21/D21</f>
        <v>0.46143703967057598</v>
      </c>
      <c r="N21" s="46">
        <f>N17-N5</f>
        <v>1091935456.6300001</v>
      </c>
      <c r="O21" s="442">
        <f>N21/(2401659905-392905585)</f>
        <v>0.54358835511054437</v>
      </c>
      <c r="P21" s="442">
        <f>I21/N21-1</f>
        <v>-0.12401610036360033</v>
      </c>
    </row>
    <row r="22" spans="1:16" x14ac:dyDescent="0.25">
      <c r="D22" s="46">
        <f>D10-D5</f>
        <v>1504532757.1699996</v>
      </c>
      <c r="E22" s="723">
        <f t="shared" ref="E22:H22" si="20">E10-E5</f>
        <v>1287974664.71</v>
      </c>
      <c r="F22" s="46">
        <f t="shared" si="20"/>
        <v>0.16994825275779368</v>
      </c>
      <c r="G22" s="723">
        <f t="shared" si="20"/>
        <v>1239829922.8200002</v>
      </c>
      <c r="H22" s="46">
        <f t="shared" si="20"/>
        <v>0.14469897241518936</v>
      </c>
      <c r="I22" s="46">
        <f>I10-I5</f>
        <v>760582766.17000008</v>
      </c>
      <c r="J22" s="720">
        <f t="shared" si="19"/>
        <v>0.50552755501358659</v>
      </c>
      <c r="N22" s="46">
        <f>N10-N5</f>
        <v>760614537.28999996</v>
      </c>
      <c r="O22" s="442">
        <f>N22/(1836615437-392905585)</f>
        <v>0.52684723058189675</v>
      </c>
      <c r="P22" s="442">
        <f>I22/N22-1</f>
        <v>-4.1770329703538778E-5</v>
      </c>
    </row>
    <row r="137" spans="12:12" x14ac:dyDescent="0.25">
      <c r="L137" s="680"/>
    </row>
    <row r="138" spans="12:12" x14ac:dyDescent="0.25">
      <c r="L138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Agost&amp;RDirecció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776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Agost&amp;RDirecció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" zoomScaleNormal="100" workbookViewId="0">
      <selection activeCell="M22" sqref="M22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422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28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43302813.060000002</v>
      </c>
      <c r="E5" s="30">
        <v>29813001.809999999</v>
      </c>
      <c r="F5" s="48">
        <f>+E5/D5</f>
        <v>0.68847725362995149</v>
      </c>
      <c r="G5" s="30">
        <v>29605602.940000001</v>
      </c>
      <c r="H5" s="48">
        <f>G5/D5</f>
        <v>0.6836877525480558</v>
      </c>
      <c r="I5" s="30">
        <v>29516016.16</v>
      </c>
      <c r="J5" s="153">
        <f>I5/D5</f>
        <v>0.68161890820124926</v>
      </c>
      <c r="K5" s="572">
        <v>31567201.500000004</v>
      </c>
      <c r="L5" s="48">
        <v>0.69599058868691199</v>
      </c>
      <c r="M5" s="210">
        <f>+G5/K5-1</f>
        <v>-6.2140401010840396E-2</v>
      </c>
      <c r="N5" s="572">
        <v>31520005.420000002</v>
      </c>
      <c r="O5" s="48">
        <v>0.69495001410500246</v>
      </c>
      <c r="P5" s="210">
        <f>+I5/N5-1</f>
        <v>-6.3578328534437234E-2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40129810.149999999</v>
      </c>
      <c r="E6" s="32">
        <v>32878155.140000001</v>
      </c>
      <c r="F6" s="48">
        <f>+E6/D6</f>
        <v>0.81929505814021408</v>
      </c>
      <c r="G6" s="32">
        <v>25659741.149999999</v>
      </c>
      <c r="H6" s="48">
        <f>G6/D6</f>
        <v>0.6394184536155848</v>
      </c>
      <c r="I6" s="32">
        <v>13196389.17</v>
      </c>
      <c r="J6" s="153">
        <f>I6/D6</f>
        <v>0.32884255172585214</v>
      </c>
      <c r="K6" s="573">
        <v>37728922.650000006</v>
      </c>
      <c r="L6" s="48">
        <v>0.66138813697348531</v>
      </c>
      <c r="M6" s="211">
        <f>+G6/K6-1</f>
        <v>-0.31989202585937093</v>
      </c>
      <c r="N6" s="573">
        <v>19816679.100000001</v>
      </c>
      <c r="O6" s="48">
        <v>0.34738644918477163</v>
      </c>
      <c r="P6" s="211">
        <f>+I6/N6-1</f>
        <v>-0.33407665818234911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3"/>
      <c r="L7" s="48" t="s">
        <v>129</v>
      </c>
      <c r="M7" s="212" t="s">
        <v>129</v>
      </c>
      <c r="N7" s="573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64562127</v>
      </c>
      <c r="E8" s="34">
        <v>58440105.780000001</v>
      </c>
      <c r="F8" s="78">
        <f t="shared" ref="F8" si="0">+E8/D8</f>
        <v>0.90517627741725426</v>
      </c>
      <c r="G8" s="34">
        <v>58418760.280000001</v>
      </c>
      <c r="H8" s="78">
        <f>G8/D8</f>
        <v>0.90484565788856375</v>
      </c>
      <c r="I8" s="34">
        <v>41607297.030000001</v>
      </c>
      <c r="J8" s="172">
        <f>I8/D8</f>
        <v>0.644453628827935</v>
      </c>
      <c r="K8" s="574">
        <v>44557880.909999996</v>
      </c>
      <c r="L8" s="78">
        <v>0.89021902004926234</v>
      </c>
      <c r="M8" s="516">
        <f>+G8/K8-1</f>
        <v>0.31107582063870653</v>
      </c>
      <c r="N8" s="574">
        <v>28492096.259999998</v>
      </c>
      <c r="O8" s="78">
        <v>0.56924174789546678</v>
      </c>
      <c r="P8" s="516">
        <f>+I8/N8-1</f>
        <v>0.46031013830359724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147994750.21000001</v>
      </c>
      <c r="E9" s="84">
        <f>SUM(E5:E8)</f>
        <v>121131262.73</v>
      </c>
      <c r="F9" s="90">
        <f>+E9/D9</f>
        <v>0.81848351078750059</v>
      </c>
      <c r="G9" s="84">
        <f t="shared" ref="G9" si="1">SUM(G5:G8)</f>
        <v>113684104.37</v>
      </c>
      <c r="H9" s="90">
        <f>G9/D9</f>
        <v>0.76816308827634594</v>
      </c>
      <c r="I9" s="84">
        <f>SUM(I5:I8)</f>
        <v>84319702.359999999</v>
      </c>
      <c r="J9" s="170">
        <f>I9/D9</f>
        <v>0.5697479284930913</v>
      </c>
      <c r="K9" s="562">
        <f t="shared" ref="K9" si="2">SUM(K5:K8)</f>
        <v>113854005.06</v>
      </c>
      <c r="L9" s="90">
        <v>0.74681106143349207</v>
      </c>
      <c r="M9" s="213">
        <f t="shared" ref="M9" si="3">+G9/K9-1</f>
        <v>-1.4922680138521605E-3</v>
      </c>
      <c r="N9" s="562">
        <f>SUM(N5:N8)</f>
        <v>79828780.780000001</v>
      </c>
      <c r="O9" s="90">
        <v>0.52362687176297174</v>
      </c>
      <c r="P9" s="213">
        <f>+I9/N9-1</f>
        <v>5.6256923081119403E-2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4322076.42</v>
      </c>
      <c r="E10" s="30">
        <v>2810148.71</v>
      </c>
      <c r="F10" s="242">
        <f>+E10/D10</f>
        <v>0.65018487340860109</v>
      </c>
      <c r="G10" s="82">
        <v>2487614.2400000002</v>
      </c>
      <c r="H10" s="353">
        <f t="shared" ref="H10:H11" si="4">G10/D10</f>
        <v>0.57555998512400208</v>
      </c>
      <c r="I10" s="82">
        <v>798641.9</v>
      </c>
      <c r="J10" s="431">
        <f t="shared" ref="J10" si="5">I10/D10</f>
        <v>0.18478199420638658</v>
      </c>
      <c r="K10" s="572">
        <v>2114763.23</v>
      </c>
      <c r="L10" s="48">
        <v>0.28218332982708533</v>
      </c>
      <c r="M10" s="48">
        <f>+G10/K10-1</f>
        <v>0.17630863101397898</v>
      </c>
      <c r="N10" s="572">
        <v>594383.43999999994</v>
      </c>
      <c r="O10" s="48">
        <v>7.9311525713106706E-2</v>
      </c>
      <c r="P10" s="245">
        <f>+I10/N10-1</f>
        <v>0.34364762921389613</v>
      </c>
    </row>
    <row r="11" spans="1:16" ht="15" customHeight="1" x14ac:dyDescent="0.25">
      <c r="A11" s="55">
        <v>7</v>
      </c>
      <c r="B11" s="55" t="s">
        <v>6</v>
      </c>
      <c r="C11" s="161">
        <v>0</v>
      </c>
      <c r="D11" s="206">
        <v>69575</v>
      </c>
      <c r="E11" s="34">
        <v>69575</v>
      </c>
      <c r="F11" s="242">
        <f>+E11/D11</f>
        <v>1</v>
      </c>
      <c r="G11" s="56">
        <v>69575</v>
      </c>
      <c r="H11" s="353">
        <f t="shared" si="4"/>
        <v>1</v>
      </c>
      <c r="I11" s="56">
        <v>0</v>
      </c>
      <c r="J11" s="508" t="s">
        <v>129</v>
      </c>
      <c r="K11" s="574"/>
      <c r="L11" s="390" t="s">
        <v>129</v>
      </c>
      <c r="M11" s="48" t="s">
        <v>129</v>
      </c>
      <c r="N11" s="574"/>
      <c r="O11" s="390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4391651.42</v>
      </c>
      <c r="E12" s="84">
        <f t="shared" si="6"/>
        <v>2879723.71</v>
      </c>
      <c r="F12" s="90">
        <f>+E12/D12</f>
        <v>0.65572684045128515</v>
      </c>
      <c r="G12" s="84">
        <f t="shared" si="6"/>
        <v>2557189.2400000002</v>
      </c>
      <c r="H12" s="90">
        <f>G12/D12</f>
        <v>0.58228420141778925</v>
      </c>
      <c r="I12" s="84">
        <f t="shared" si="6"/>
        <v>798641.9</v>
      </c>
      <c r="J12" s="170">
        <f>I12/D12</f>
        <v>0.18185457442339539</v>
      </c>
      <c r="K12" s="562">
        <f t="shared" ref="K12" si="7">SUM(K10:K11)</f>
        <v>2114763.23</v>
      </c>
      <c r="L12" s="90">
        <v>0.28218332982708533</v>
      </c>
      <c r="M12" s="717">
        <f t="shared" ref="M12" si="8">+G12/K12-1</f>
        <v>0.2092082951527392</v>
      </c>
      <c r="N12" s="562">
        <f t="shared" ref="N12" si="9">SUM(N10:N11)</f>
        <v>594383.43999999994</v>
      </c>
      <c r="O12" s="90">
        <v>7.9311525713106706E-2</v>
      </c>
      <c r="P12" s="213">
        <f>+I12/N12-1</f>
        <v>0.34364762921389613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26"/>
      <c r="L13" s="27" t="s">
        <v>129</v>
      </c>
      <c r="M13" s="214" t="s">
        <v>129</v>
      </c>
      <c r="N13" s="626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27"/>
      <c r="L14" s="28" t="s">
        <v>129</v>
      </c>
      <c r="M14" s="215" t="s">
        <v>129</v>
      </c>
      <c r="N14" s="627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2">
        <f t="shared" ref="K15" si="11">SUM(K13:K14)</f>
        <v>0</v>
      </c>
      <c r="L15" s="58" t="s">
        <v>129</v>
      </c>
      <c r="M15" s="216" t="s">
        <v>129</v>
      </c>
      <c r="N15" s="562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152386401.63</v>
      </c>
      <c r="E16" s="155">
        <f t="shared" ref="E16:I16" si="13">+E9+E12+E15</f>
        <v>124010986.44</v>
      </c>
      <c r="F16" s="181">
        <f>+E16/D16</f>
        <v>0.81379299670782579</v>
      </c>
      <c r="G16" s="155">
        <f t="shared" si="13"/>
        <v>116241293.61</v>
      </c>
      <c r="H16" s="181">
        <f>G16/D16</f>
        <v>0.76280621083394506</v>
      </c>
      <c r="I16" s="155">
        <f t="shared" si="13"/>
        <v>85118344.260000005</v>
      </c>
      <c r="J16" s="173">
        <f>I16/D16</f>
        <v>0.55856915938385765</v>
      </c>
      <c r="K16" s="570">
        <f t="shared" ref="K16" si="14">+K9+K12+K15</f>
        <v>115968768.29000001</v>
      </c>
      <c r="L16" s="181">
        <v>0.72504112697397416</v>
      </c>
      <c r="M16" s="601">
        <f>+G16/K16-1</f>
        <v>2.3499889152784892E-3</v>
      </c>
      <c r="N16" s="570">
        <f t="shared" ref="N16" si="15">+N9+N12+N15</f>
        <v>80423164.219999999</v>
      </c>
      <c r="O16" s="181">
        <v>0.50280866547678837</v>
      </c>
      <c r="P16" s="601">
        <f>+I16/N16-1</f>
        <v>5.8380941430707711E-2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topLeftCell="C1"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765</v>
      </c>
      <c r="D2" s="256"/>
      <c r="E2" s="744" t="s">
        <v>782</v>
      </c>
      <c r="F2" s="745"/>
      <c r="G2" s="746"/>
      <c r="H2" s="746"/>
      <c r="I2" s="746"/>
      <c r="J2" s="746"/>
      <c r="K2" s="747"/>
      <c r="L2" s="742" t="s">
        <v>783</v>
      </c>
      <c r="M2" s="743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0.37745233571425835</v>
      </c>
      <c r="G5" s="30">
        <v>658985349.17999995</v>
      </c>
      <c r="H5" s="262">
        <f>G5/$G$18</f>
        <v>0.4099674261662602</v>
      </c>
      <c r="I5" s="134">
        <f>G5/E5</f>
        <v>0.63376100293141269</v>
      </c>
      <c r="J5" s="30">
        <v>608865250.35000002</v>
      </c>
      <c r="K5" s="153">
        <f>J5/G5</f>
        <v>0.92394353092619397</v>
      </c>
      <c r="L5" s="30">
        <v>643785527.83000004</v>
      </c>
      <c r="M5" s="48">
        <v>0.68214433175117783</v>
      </c>
      <c r="N5" s="141">
        <f>+G5/L5-1</f>
        <v>2.3610069957977764E-2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2.2117687552217116E-2</v>
      </c>
      <c r="G6" s="30">
        <v>48088278.68</v>
      </c>
      <c r="H6" s="262">
        <f t="shared" ref="H6:H9" si="2">G6/$G$18</f>
        <v>2.9916640580457655E-2</v>
      </c>
      <c r="I6" s="134">
        <f t="shared" ref="I6:I9" si="3">G6/E6</f>
        <v>0.78924417146762282</v>
      </c>
      <c r="J6" s="30">
        <v>43728108.43</v>
      </c>
      <c r="K6" s="153">
        <f t="shared" ref="K6:K9" si="4">J6/G6</f>
        <v>0.90932987477022331</v>
      </c>
      <c r="L6" s="30">
        <v>46469245.859999999</v>
      </c>
      <c r="M6" s="48">
        <v>0.83353221348457096</v>
      </c>
      <c r="N6" s="142">
        <f t="shared" ref="N6:N18" si="5">+G6/L6-1</f>
        <v>3.484095319467273E-2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0.10168356164068404</v>
      </c>
      <c r="G7" s="30">
        <v>146640051.09999999</v>
      </c>
      <c r="H7" s="262">
        <f t="shared" si="2"/>
        <v>9.1227588590797201E-2</v>
      </c>
      <c r="I7" s="134">
        <f t="shared" si="3"/>
        <v>0.52349642933398599</v>
      </c>
      <c r="J7" s="30">
        <v>107013798.56999999</v>
      </c>
      <c r="K7" s="153">
        <f t="shared" si="4"/>
        <v>0.72977196725758642</v>
      </c>
      <c r="L7" s="30">
        <v>165713071.75</v>
      </c>
      <c r="M7" s="48">
        <v>0.63703546470398154</v>
      </c>
      <c r="N7" s="142">
        <f t="shared" si="5"/>
        <v>-0.11509665742467301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1086930967.8399999</v>
      </c>
      <c r="F8" s="262">
        <f t="shared" si="1"/>
        <v>0.39456070659121195</v>
      </c>
      <c r="G8" s="30">
        <v>729016023.13</v>
      </c>
      <c r="H8" s="262">
        <f t="shared" si="2"/>
        <v>0.45353485173603253</v>
      </c>
      <c r="I8" s="134">
        <f t="shared" si="3"/>
        <v>0.67071050940680688</v>
      </c>
      <c r="J8" s="30">
        <v>639022173.50999999</v>
      </c>
      <c r="K8" s="153">
        <f t="shared" si="4"/>
        <v>0.87655435989785913</v>
      </c>
      <c r="L8" s="30">
        <v>742721241.17999995</v>
      </c>
      <c r="M8" s="414">
        <v>0.7051113580461732</v>
      </c>
      <c r="N8" s="142">
        <f>+G8/L8-1</f>
        <v>-1.8452707812995572E-2</v>
      </c>
    </row>
    <row r="9" spans="1:14" ht="15" customHeight="1" x14ac:dyDescent="0.25">
      <c r="A9" s="24">
        <v>5</v>
      </c>
      <c r="B9" s="24" t="s">
        <v>42</v>
      </c>
      <c r="C9" s="525">
        <v>42097110</v>
      </c>
      <c r="D9" s="257">
        <f t="shared" si="0"/>
        <v>1.5385337874130016E-2</v>
      </c>
      <c r="E9" s="206">
        <v>42097110</v>
      </c>
      <c r="F9" s="264">
        <f t="shared" si="1"/>
        <v>1.528143548992433E-2</v>
      </c>
      <c r="G9" s="34">
        <v>17657580.59</v>
      </c>
      <c r="H9" s="264">
        <f t="shared" si="2"/>
        <v>1.0985119586973235E-2</v>
      </c>
      <c r="I9" s="135">
        <f t="shared" si="3"/>
        <v>0.41944876002176873</v>
      </c>
      <c r="J9" s="34">
        <v>11943085.279999999</v>
      </c>
      <c r="K9" s="392">
        <f t="shared" si="4"/>
        <v>0.67637155719757636</v>
      </c>
      <c r="L9" s="34">
        <v>25203788.02</v>
      </c>
      <c r="M9" s="78">
        <v>0.59815858023621771</v>
      </c>
      <c r="N9" s="143">
        <f t="shared" si="5"/>
        <v>-0.29940766935556851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2">
        <f t="shared" si="0"/>
        <v>0.91597346471705654</v>
      </c>
      <c r="E10" s="152">
        <f>SUM(E5:E9)</f>
        <v>2509875270.8699999</v>
      </c>
      <c r="F10" s="263">
        <f>E10/E18</f>
        <v>0.91109572698829577</v>
      </c>
      <c r="G10" s="84">
        <f>SUM(G5:G9)</f>
        <v>1600387282.6799998</v>
      </c>
      <c r="H10" s="263">
        <f>G10/G18</f>
        <v>0.99563162666052074</v>
      </c>
      <c r="I10" s="85">
        <f t="shared" ref="I10:I18" si="6">+G10/E10</f>
        <v>0.63763618107016784</v>
      </c>
      <c r="J10" s="84">
        <f>SUM(J5:J9)</f>
        <v>1410572416.1399999</v>
      </c>
      <c r="K10" s="170">
        <f t="shared" ref="K10:K18" si="7">+J10/G10</f>
        <v>0.8813944170925071</v>
      </c>
      <c r="L10" s="84">
        <f>SUM(L5:L9)</f>
        <v>1623892874.6399999</v>
      </c>
      <c r="M10" s="43">
        <v>0.68951501593802578</v>
      </c>
      <c r="N10" s="144">
        <f t="shared" si="5"/>
        <v>-1.4474841491752377E-2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1.4597905494662953E-3</v>
      </c>
      <c r="G11" s="30">
        <v>1255793.71</v>
      </c>
      <c r="H11" s="262">
        <f>G11/G18</f>
        <v>7.8125335521511479E-4</v>
      </c>
      <c r="I11" s="134">
        <f>+G11/E11</f>
        <v>0.3122767320839715</v>
      </c>
      <c r="J11" s="30">
        <v>756530.71</v>
      </c>
      <c r="K11" s="153">
        <f>+J11/G11</f>
        <v>0.60243231350473958</v>
      </c>
      <c r="L11" s="136">
        <v>689578.96</v>
      </c>
      <c r="M11" s="52">
        <v>6.8902773780975215</v>
      </c>
      <c r="N11" s="141">
        <f t="shared" si="5"/>
        <v>0.82110212585372389</v>
      </c>
    </row>
    <row r="12" spans="1:14" ht="15" customHeight="1" x14ac:dyDescent="0.25">
      <c r="A12" s="24">
        <v>7</v>
      </c>
      <c r="B12" s="24" t="s">
        <v>6</v>
      </c>
      <c r="C12" s="525">
        <v>15057423.99</v>
      </c>
      <c r="D12" s="257">
        <f t="shared" si="0"/>
        <v>5.5030750471987489E-3</v>
      </c>
      <c r="E12" s="512">
        <v>16041795.24</v>
      </c>
      <c r="F12" s="264">
        <f>E12/E18</f>
        <v>5.8232420017106917E-3</v>
      </c>
      <c r="G12" s="180">
        <v>3525059.51</v>
      </c>
      <c r="H12" s="264">
        <f>G12/G18</f>
        <v>2.1930071377093048E-3</v>
      </c>
      <c r="I12" s="135">
        <f t="shared" si="6"/>
        <v>0.21974220822930787</v>
      </c>
      <c r="J12" s="180">
        <v>3525059.51</v>
      </c>
      <c r="K12" s="153">
        <f>+J12/G12</f>
        <v>1</v>
      </c>
      <c r="L12" s="137">
        <v>19717404.239999998</v>
      </c>
      <c r="M12" s="329">
        <v>1.037302852224282</v>
      </c>
      <c r="N12" s="141">
        <f t="shared" si="5"/>
        <v>-0.82122091391478214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2">
        <f t="shared" si="0"/>
        <v>6.9727910855780775E-3</v>
      </c>
      <c r="E13" s="152">
        <f>SUM(E11:E12)</f>
        <v>20063208.240000002</v>
      </c>
      <c r="F13" s="263">
        <f>E13/E18</f>
        <v>7.2830325511769878E-3</v>
      </c>
      <c r="G13" s="84">
        <f>SUM(G11:G12)</f>
        <v>4780853.22</v>
      </c>
      <c r="H13" s="263">
        <f>G13/G18</f>
        <v>2.9742604929244194E-3</v>
      </c>
      <c r="I13" s="85">
        <f t="shared" si="6"/>
        <v>0.23828956779048011</v>
      </c>
      <c r="J13" s="84">
        <f>SUM(J11:J12)</f>
        <v>4281590.22</v>
      </c>
      <c r="K13" s="170">
        <f t="shared" si="7"/>
        <v>0.89557031412062471</v>
      </c>
      <c r="L13" s="84">
        <f>SUM(L11:L12)</f>
        <v>20406983.199999999</v>
      </c>
      <c r="M13" s="43">
        <v>1.0679577008102634</v>
      </c>
      <c r="N13" s="144">
        <f t="shared" si="5"/>
        <v>-0.76572464566933141</v>
      </c>
    </row>
    <row r="14" spans="1:14" ht="15" customHeight="1" x14ac:dyDescent="0.25">
      <c r="A14" s="21">
        <v>8</v>
      </c>
      <c r="B14" s="21" t="s">
        <v>445</v>
      </c>
      <c r="C14" s="198">
        <v>5000000</v>
      </c>
      <c r="D14" s="543">
        <f t="shared" si="0"/>
        <v>1.8273627185013432E-3</v>
      </c>
      <c r="E14" s="204">
        <f>19015991.13-E17</f>
        <v>5399626.129999999</v>
      </c>
      <c r="F14" s="262">
        <f>E14/$E$18</f>
        <v>1.9600879579454444E-3</v>
      </c>
      <c r="G14" s="30">
        <v>84712.98</v>
      </c>
      <c r="H14" s="266">
        <f>G14/G18</f>
        <v>5.2701569794668678E-5</v>
      </c>
      <c r="I14" s="134">
        <f t="shared" si="6"/>
        <v>1.5688675097214558E-2</v>
      </c>
      <c r="J14" s="30">
        <v>84712.98</v>
      </c>
      <c r="K14" s="392">
        <f t="shared" si="7"/>
        <v>1</v>
      </c>
      <c r="L14" s="136">
        <v>49492.98</v>
      </c>
      <c r="M14" s="57">
        <v>3.0644126005792692E-4</v>
      </c>
      <c r="N14" s="145">
        <f t="shared" si="5"/>
        <v>0.71161607161258011</v>
      </c>
    </row>
    <row r="15" spans="1:14" ht="15" customHeight="1" x14ac:dyDescent="0.25">
      <c r="A15" s="24">
        <v>9</v>
      </c>
      <c r="B15" s="24" t="s">
        <v>9</v>
      </c>
      <c r="C15" s="525">
        <v>205833195.34</v>
      </c>
      <c r="D15" s="257">
        <f t="shared" si="0"/>
        <v>7.5226381478864082E-2</v>
      </c>
      <c r="E15" s="512">
        <v>205833195.34</v>
      </c>
      <c r="F15" s="264">
        <f>E15/$E$18</f>
        <v>7.4718352311434283E-2</v>
      </c>
      <c r="G15" s="180">
        <v>2156196.62</v>
      </c>
      <c r="H15" s="264">
        <f>G15/G18</f>
        <v>1.3414112767601695E-3</v>
      </c>
      <c r="I15" s="135">
        <f t="shared" si="6"/>
        <v>1.0475456188873447E-2</v>
      </c>
      <c r="J15" s="34">
        <v>2156196.62</v>
      </c>
      <c r="K15" s="392">
        <f t="shared" si="7"/>
        <v>1</v>
      </c>
      <c r="L15" s="137">
        <v>2403493.71</v>
      </c>
      <c r="M15" s="264">
        <v>8.5833303030128111E-3</v>
      </c>
      <c r="N15" s="143">
        <f t="shared" si="5"/>
        <v>-0.10289067492504478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2">
        <f t="shared" si="0"/>
        <v>7.7053744197365423E-2</v>
      </c>
      <c r="E16" s="152">
        <f>SUM(E14:E15)</f>
        <v>211232821.47</v>
      </c>
      <c r="F16" s="263">
        <f>E16/E18</f>
        <v>7.6678440269379727E-2</v>
      </c>
      <c r="G16" s="84">
        <f>SUM(G14:G15)</f>
        <v>2240909.6</v>
      </c>
      <c r="H16" s="263">
        <f>G16/G18</f>
        <v>1.3941128465548383E-3</v>
      </c>
      <c r="I16" s="85">
        <f t="shared" si="6"/>
        <v>1.0608718779615703E-2</v>
      </c>
      <c r="J16" s="84">
        <f>SUM(J14:J15)</f>
        <v>2240909.6</v>
      </c>
      <c r="K16" s="170">
        <f t="shared" si="7"/>
        <v>1</v>
      </c>
      <c r="L16" s="84">
        <f>SUM(L14:L15)</f>
        <v>2452986.69</v>
      </c>
      <c r="M16" s="43">
        <v>5.5556808278162924E-3</v>
      </c>
      <c r="N16" s="144">
        <f t="shared" si="5"/>
        <v>-8.6456681915383693E-2</v>
      </c>
    </row>
    <row r="17" spans="1:14" ht="15" customHeight="1" thickBot="1" x14ac:dyDescent="0.3">
      <c r="A17" s="9"/>
      <c r="B17" s="2" t="s">
        <v>430</v>
      </c>
      <c r="C17" s="162">
        <v>0</v>
      </c>
      <c r="D17" s="346" t="s">
        <v>129</v>
      </c>
      <c r="E17" s="152">
        <v>13616365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2754787665.5799994</v>
      </c>
      <c r="F18" s="265" t="s">
        <v>129</v>
      </c>
      <c r="G18" s="155">
        <f t="shared" ref="G18" si="8">+G10+G13+G16+G17</f>
        <v>1607409045.4999998</v>
      </c>
      <c r="H18" s="265" t="s">
        <v>129</v>
      </c>
      <c r="I18" s="156">
        <f t="shared" si="6"/>
        <v>0.58349653063426654</v>
      </c>
      <c r="J18" s="155">
        <f>+J10+J13+J16+J17</f>
        <v>1417094915.9599998</v>
      </c>
      <c r="K18" s="173">
        <f t="shared" si="7"/>
        <v>0.8816019294697941</v>
      </c>
      <c r="L18" s="147">
        <f>+L10+L13+L16+L17</f>
        <v>1646752844.53</v>
      </c>
      <c r="M18" s="183">
        <v>0.58414656961658917</v>
      </c>
      <c r="N18" s="146">
        <f t="shared" si="5"/>
        <v>-2.3891744994209652E-2</v>
      </c>
    </row>
    <row r="19" spans="1:14" x14ac:dyDescent="0.25">
      <c r="A19" s="247" t="s">
        <v>466</v>
      </c>
      <c r="B19" s="24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530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82"/>
      <c r="O136" s="682"/>
    </row>
    <row r="137" spans="12:15" x14ac:dyDescent="0.25">
      <c r="L137" s="682"/>
      <c r="N137" s="100"/>
      <c r="O137" s="682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19" sqref="F19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422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15759397.08</v>
      </c>
      <c r="E5" s="30">
        <v>8967149.3300000001</v>
      </c>
      <c r="F5" s="48">
        <f>E5/D5</f>
        <v>0.56900332445966895</v>
      </c>
      <c r="G5" s="30">
        <v>8967149.3300000001</v>
      </c>
      <c r="H5" s="48">
        <f>G5/D5</f>
        <v>0.56900332445966895</v>
      </c>
      <c r="I5" s="30">
        <v>8967149.3300000001</v>
      </c>
      <c r="J5" s="153">
        <f>I5/D5</f>
        <v>0.56900332445966895</v>
      </c>
      <c r="K5" s="572">
        <v>9672593.5899999999</v>
      </c>
      <c r="L5" s="48">
        <v>0.65633825038894311</v>
      </c>
      <c r="M5" s="210">
        <f>+G5/K5-1</f>
        <v>-7.293227544774783E-2</v>
      </c>
      <c r="N5" s="572">
        <v>9672593.5899999999</v>
      </c>
      <c r="O5" s="48">
        <v>0.65633825038894311</v>
      </c>
      <c r="P5" s="210">
        <f>+I5/N5-1</f>
        <v>-7.293227544774783E-2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84967982.090000004</v>
      </c>
      <c r="E6" s="32">
        <v>74171297.469999999</v>
      </c>
      <c r="F6" s="48">
        <f>E6/D6</f>
        <v>0.87293231692187401</v>
      </c>
      <c r="G6" s="32">
        <v>67846992.75</v>
      </c>
      <c r="H6" s="48">
        <f>G6/D6</f>
        <v>0.79850069498102161</v>
      </c>
      <c r="I6" s="32">
        <v>34831049.909999996</v>
      </c>
      <c r="J6" s="153">
        <f>I6/D6</f>
        <v>0.40993147128180779</v>
      </c>
      <c r="K6" s="572">
        <v>64798510.700000003</v>
      </c>
      <c r="L6" s="48">
        <v>0.84410429007457866</v>
      </c>
      <c r="M6" s="210">
        <f t="shared" ref="M6:M17" si="0">+G6/K6-1</f>
        <v>4.7045557329452592E-2</v>
      </c>
      <c r="N6" s="572">
        <v>35422027.829999998</v>
      </c>
      <c r="O6" s="48">
        <v>0.46142859351926607</v>
      </c>
      <c r="P6" s="210">
        <f>+I6/N6-1</f>
        <v>-1.668390987766899E-2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6"/>
      <c r="L7" s="48" t="s">
        <v>129</v>
      </c>
      <c r="M7" s="212" t="s">
        <v>129</v>
      </c>
      <c r="N7" s="626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249684514.74000001</v>
      </c>
      <c r="E8" s="398">
        <v>238420427.19999999</v>
      </c>
      <c r="F8" s="48">
        <f t="shared" ref="F8" si="1">E8/D8</f>
        <v>0.95488671953993831</v>
      </c>
      <c r="G8" s="398">
        <v>234334098.84</v>
      </c>
      <c r="H8" s="412">
        <f>G8/D8</f>
        <v>0.9385207532153742</v>
      </c>
      <c r="I8" s="398">
        <v>154570449.52000001</v>
      </c>
      <c r="J8" s="153">
        <f t="shared" ref="J8" si="2">I8/D8</f>
        <v>0.61906301911016148</v>
      </c>
      <c r="K8" s="629">
        <v>212072107.56</v>
      </c>
      <c r="L8" s="412">
        <v>0.9391191925470137</v>
      </c>
      <c r="M8" s="443">
        <f t="shared" si="0"/>
        <v>0.10497368812964525</v>
      </c>
      <c r="N8" s="629">
        <v>159622249.16</v>
      </c>
      <c r="O8" s="412">
        <v>0.70685541568103727</v>
      </c>
      <c r="P8" s="443">
        <f>+I8/N8-1</f>
        <v>-3.1648467971004624E-2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17" t="s">
        <v>129</v>
      </c>
      <c r="G9" s="180">
        <v>0</v>
      </c>
      <c r="H9" s="509" t="s">
        <v>129</v>
      </c>
      <c r="I9" s="180"/>
      <c r="J9" s="513" t="s">
        <v>129</v>
      </c>
      <c r="K9" s="561">
        <v>0</v>
      </c>
      <c r="L9" s="268">
        <v>0</v>
      </c>
      <c r="M9" s="631" t="s">
        <v>129</v>
      </c>
      <c r="N9" s="561">
        <v>0</v>
      </c>
      <c r="O9" s="268">
        <v>0</v>
      </c>
      <c r="P9" s="631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350411893.91000003</v>
      </c>
      <c r="E10" s="84">
        <f>SUM(E5:E9)</f>
        <v>321558874</v>
      </c>
      <c r="F10" s="90">
        <f>E10/D10</f>
        <v>0.91765970159274712</v>
      </c>
      <c r="G10" s="84">
        <f>SUM(G5:G9)</f>
        <v>311148240.92000002</v>
      </c>
      <c r="H10" s="90">
        <f>G10/D10</f>
        <v>0.88794999920840445</v>
      </c>
      <c r="I10" s="84">
        <f>SUM(I5:I9)</f>
        <v>198368648.75999999</v>
      </c>
      <c r="J10" s="170">
        <f>I10/D10</f>
        <v>0.56610135730994648</v>
      </c>
      <c r="K10" s="562">
        <f>SUM(K5:K9)</f>
        <v>286543211.85000002</v>
      </c>
      <c r="L10" s="630">
        <v>0.8791688112217978</v>
      </c>
      <c r="M10" s="213">
        <f t="shared" si="0"/>
        <v>8.5868476559410656E-2</v>
      </c>
      <c r="N10" s="562">
        <f>SUM(N5:N9)</f>
        <v>204716870.57999998</v>
      </c>
      <c r="O10" s="90">
        <v>0.628</v>
      </c>
      <c r="P10" s="213">
        <f>+I10/N10-1</f>
        <v>-3.1009763885186059E-2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89">
        <v>6499137.3499999996</v>
      </c>
      <c r="E11" s="472">
        <v>3867872.64</v>
      </c>
      <c r="F11" s="48">
        <f>E11/D11</f>
        <v>0.59513631297544445</v>
      </c>
      <c r="G11" s="30">
        <v>2899558.31</v>
      </c>
      <c r="H11" s="48">
        <f>G11/D11</f>
        <v>0.44614510416524744</v>
      </c>
      <c r="I11" s="30">
        <v>96832.37</v>
      </c>
      <c r="J11" s="153">
        <f t="shared" ref="J11:J12" si="3">I11/D11</f>
        <v>1.489926505399982E-2</v>
      </c>
      <c r="K11" s="559">
        <v>808534.89</v>
      </c>
      <c r="L11" s="412">
        <v>9.3997119359657641E-2</v>
      </c>
      <c r="M11" s="210">
        <f t="shared" si="0"/>
        <v>2.5861882348701117</v>
      </c>
      <c r="N11" s="559">
        <v>201173.68</v>
      </c>
      <c r="O11" s="414">
        <v>0.11366968797509708</v>
      </c>
      <c r="P11" s="210">
        <f>+I11/N11-1</f>
        <v>-0.51866282905397965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57">
        <v>1268000</v>
      </c>
      <c r="E12" s="398">
        <v>1268000</v>
      </c>
      <c r="F12" s="48">
        <f>E12/D12</f>
        <v>1</v>
      </c>
      <c r="G12" s="137">
        <v>1168000</v>
      </c>
      <c r="H12" s="48">
        <f>G12/D12</f>
        <v>0.92113564668769721</v>
      </c>
      <c r="I12" s="137">
        <v>0</v>
      </c>
      <c r="J12" s="153">
        <f t="shared" si="3"/>
        <v>0</v>
      </c>
      <c r="K12" s="563">
        <v>0</v>
      </c>
      <c r="L12" s="390">
        <v>0</v>
      </c>
      <c r="M12" s="496" t="s">
        <v>129</v>
      </c>
      <c r="N12" s="563">
        <v>0</v>
      </c>
      <c r="O12" s="390">
        <v>0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7767137.3499999996</v>
      </c>
      <c r="E13" s="84">
        <f>SUM(E11:E12)</f>
        <v>5135872.6400000006</v>
      </c>
      <c r="F13" s="90">
        <f>E13/D13</f>
        <v>0.6612310827746597</v>
      </c>
      <c r="G13" s="84">
        <f>SUM(G11:G12)</f>
        <v>4067558.31</v>
      </c>
      <c r="H13" s="90">
        <f>G13/D13</f>
        <v>0.52368821699799095</v>
      </c>
      <c r="I13" s="84">
        <f>SUM(I11:I12)</f>
        <v>96832.37</v>
      </c>
      <c r="J13" s="170">
        <f>I13/D13</f>
        <v>1.2466931590954806E-2</v>
      </c>
      <c r="K13" s="562">
        <f t="shared" ref="K13" si="4">SUM(K11:K12)</f>
        <v>808534.89</v>
      </c>
      <c r="L13" s="90">
        <v>0.432</v>
      </c>
      <c r="M13" s="225">
        <f t="shared" si="0"/>
        <v>4.0307764826326791</v>
      </c>
      <c r="N13" s="562">
        <f t="shared" ref="N13" si="5">SUM(N11:N12)</f>
        <v>201173.68</v>
      </c>
      <c r="O13" s="90">
        <v>0.108</v>
      </c>
      <c r="P13" s="225">
        <f>+I13/N13-1</f>
        <v>-0.51866282905397965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6"/>
      <c r="L14" s="86" t="s">
        <v>129</v>
      </c>
      <c r="M14" s="214" t="s">
        <v>129</v>
      </c>
      <c r="N14" s="626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7"/>
      <c r="L15" s="49" t="s">
        <v>129</v>
      </c>
      <c r="M15" s="215" t="s">
        <v>129</v>
      </c>
      <c r="N15" s="627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2">
        <f t="shared" ref="K16" si="7">SUM(K14:K15)</f>
        <v>0</v>
      </c>
      <c r="L16" s="58" t="s">
        <v>129</v>
      </c>
      <c r="M16" s="216" t="s">
        <v>129</v>
      </c>
      <c r="N16" s="562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358179031.26000005</v>
      </c>
      <c r="E17" s="155">
        <f>+E10+E13+E16</f>
        <v>326694746.63999999</v>
      </c>
      <c r="F17" s="181">
        <f>E17/D17</f>
        <v>0.91209902905470253</v>
      </c>
      <c r="G17" s="155">
        <f t="shared" si="9"/>
        <v>315215799.23000002</v>
      </c>
      <c r="H17" s="181">
        <f>G17/D17</f>
        <v>0.88005095697851365</v>
      </c>
      <c r="I17" s="155">
        <f t="shared" si="9"/>
        <v>198465481.13</v>
      </c>
      <c r="J17" s="173">
        <f>I17/D17</f>
        <v>0.55409575605763217</v>
      </c>
      <c r="K17" s="570">
        <f t="shared" ref="K17" si="10">+K10+K13+K16</f>
        <v>287351746.74000001</v>
      </c>
      <c r="L17" s="181">
        <v>0.87662043999494454</v>
      </c>
      <c r="M17" s="601">
        <f t="shared" si="0"/>
        <v>9.6968446533272079E-2</v>
      </c>
      <c r="N17" s="570">
        <f t="shared" ref="N17" si="11">+N10+N13+N16</f>
        <v>204918044.25999999</v>
      </c>
      <c r="O17" s="181">
        <v>0.625</v>
      </c>
      <c r="P17" s="601">
        <f>+I17/N17-1</f>
        <v>-3.1488506311396325E-2</v>
      </c>
    </row>
    <row r="22" spans="1:16" x14ac:dyDescent="0.25">
      <c r="E22" s="180"/>
    </row>
    <row r="26" spans="1:16" x14ac:dyDescent="0.25">
      <c r="J26" s="518"/>
      <c r="K26" s="518"/>
      <c r="L26" s="518"/>
      <c r="M26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5"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521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769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1361339.78</v>
      </c>
      <c r="E5" s="30">
        <v>1228643.52</v>
      </c>
      <c r="F5" s="48">
        <f>E5/D5</f>
        <v>0.90252524612187557</v>
      </c>
      <c r="G5" s="30">
        <v>1228643.52</v>
      </c>
      <c r="H5" s="48">
        <f>G5/D5</f>
        <v>0.90252524612187557</v>
      </c>
      <c r="I5" s="30">
        <v>1228643.52</v>
      </c>
      <c r="J5" s="153">
        <f>I5/D5</f>
        <v>0.90252524612187557</v>
      </c>
      <c r="K5" s="572"/>
      <c r="L5" s="48" t="s">
        <v>129</v>
      </c>
      <c r="M5" s="210" t="s">
        <v>129</v>
      </c>
      <c r="N5" s="572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18521181.149999999</v>
      </c>
      <c r="E6" s="32">
        <v>15504337.66</v>
      </c>
      <c r="F6" s="48">
        <f>E6/D6</f>
        <v>0.83711387164959516</v>
      </c>
      <c r="G6" s="32">
        <v>14969357.76</v>
      </c>
      <c r="H6" s="48">
        <f>G6/D6</f>
        <v>0.80822911016125998</v>
      </c>
      <c r="I6" s="32">
        <v>8003447.7599999998</v>
      </c>
      <c r="J6" s="153">
        <f>I6/D6</f>
        <v>0.43212404733701343</v>
      </c>
      <c r="K6" s="572"/>
      <c r="L6" s="48" t="s">
        <v>129</v>
      </c>
      <c r="M6" s="210" t="s">
        <v>129</v>
      </c>
      <c r="N6" s="572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6"/>
      <c r="L7" s="48" t="s">
        <v>129</v>
      </c>
      <c r="M7" s="212" t="s">
        <v>129</v>
      </c>
      <c r="N7" s="626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203958348.96000001</v>
      </c>
      <c r="E8" s="398">
        <v>129122948.81999999</v>
      </c>
      <c r="F8" s="48">
        <f t="shared" ref="F8" si="0">E8/D8</f>
        <v>0.63308488952969211</v>
      </c>
      <c r="G8" s="398">
        <v>128027048.81</v>
      </c>
      <c r="H8" s="412">
        <f>G8/D8</f>
        <v>0.62771173361041699</v>
      </c>
      <c r="I8" s="398">
        <v>88947474.049999997</v>
      </c>
      <c r="J8" s="153">
        <f t="shared" ref="J8" si="1">I8/D8</f>
        <v>0.43610607020281494</v>
      </c>
      <c r="K8" s="629"/>
      <c r="L8" s="412" t="s">
        <v>129</v>
      </c>
      <c r="M8" s="443" t="s">
        <v>129</v>
      </c>
      <c r="N8" s="629"/>
      <c r="O8" s="412" t="s">
        <v>129</v>
      </c>
      <c r="P8" s="443" t="s">
        <v>129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17" t="s">
        <v>129</v>
      </c>
      <c r="G9" s="180"/>
      <c r="H9" s="509" t="s">
        <v>129</v>
      </c>
      <c r="I9" s="180"/>
      <c r="J9" s="513" t="s">
        <v>129</v>
      </c>
      <c r="K9" s="561"/>
      <c r="L9" s="268" t="s">
        <v>129</v>
      </c>
      <c r="M9" s="631" t="s">
        <v>129</v>
      </c>
      <c r="N9" s="561"/>
      <c r="O9" s="268" t="s">
        <v>129</v>
      </c>
      <c r="P9" s="631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223840869.89000002</v>
      </c>
      <c r="E10" s="84">
        <f>SUM(E5:E9)</f>
        <v>145855930</v>
      </c>
      <c r="F10" s="90">
        <f>E10/D10</f>
        <v>0.65160544663571307</v>
      </c>
      <c r="G10" s="84">
        <f>SUM(G5:G9)</f>
        <v>144225050.09</v>
      </c>
      <c r="H10" s="90">
        <f>G10/D10</f>
        <v>0.6443195568390846</v>
      </c>
      <c r="I10" s="84">
        <f>SUM(I5:I9)</f>
        <v>98179565.329999998</v>
      </c>
      <c r="J10" s="170">
        <f>I10/D10</f>
        <v>0.43861322276958381</v>
      </c>
      <c r="K10" s="562">
        <f>SUM(K5:K9)</f>
        <v>0</v>
      </c>
      <c r="L10" s="630" t="s">
        <v>129</v>
      </c>
      <c r="M10" s="213" t="s">
        <v>129</v>
      </c>
      <c r="N10" s="562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89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59"/>
      <c r="L11" s="412" t="s">
        <v>129</v>
      </c>
      <c r="M11" s="210" t="s">
        <v>129</v>
      </c>
      <c r="N11" s="559"/>
      <c r="O11" s="414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557">
        <v>4249248.1500000004</v>
      </c>
      <c r="E12" s="398">
        <v>3899248.15</v>
      </c>
      <c r="F12" s="48">
        <f t="shared" ref="F12:F13" si="2">E12/D12</f>
        <v>0.91763248752605786</v>
      </c>
      <c r="G12" s="137">
        <v>3899248.15</v>
      </c>
      <c r="H12" s="390">
        <f>G12/D12</f>
        <v>0.91763248752605786</v>
      </c>
      <c r="I12" s="137">
        <v>3899248.15</v>
      </c>
      <c r="J12" s="392">
        <f t="shared" ref="J12:J13" si="3">I12/D12</f>
        <v>0.91763248752605786</v>
      </c>
      <c r="K12" s="563"/>
      <c r="L12" s="390" t="s">
        <v>129</v>
      </c>
      <c r="M12" s="496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4249248.1500000004</v>
      </c>
      <c r="E13" s="84">
        <f>SUM(E11:E12)</f>
        <v>3899248.15</v>
      </c>
      <c r="F13" s="90">
        <f t="shared" si="2"/>
        <v>0.91763248752605786</v>
      </c>
      <c r="G13" s="84">
        <f>SUM(G11:G12)</f>
        <v>3899248.15</v>
      </c>
      <c r="H13" s="90">
        <f>G13/D13</f>
        <v>0.91763248752605786</v>
      </c>
      <c r="I13" s="84">
        <f>SUM(I11:I12)</f>
        <v>3899248.15</v>
      </c>
      <c r="J13" s="170">
        <f t="shared" si="3"/>
        <v>0.91763248752605786</v>
      </c>
      <c r="K13" s="562">
        <f t="shared" ref="K13" si="4">SUM(K11:K12)</f>
        <v>0</v>
      </c>
      <c r="L13" s="90" t="s">
        <v>129</v>
      </c>
      <c r="M13" s="225" t="s">
        <v>129</v>
      </c>
      <c r="N13" s="562">
        <f t="shared" ref="N13" si="5"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6"/>
      <c r="L14" s="86" t="s">
        <v>129</v>
      </c>
      <c r="M14" s="214" t="s">
        <v>129</v>
      </c>
      <c r="N14" s="626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7"/>
      <c r="L15" s="49" t="s">
        <v>129</v>
      </c>
      <c r="M15" s="215" t="s">
        <v>129</v>
      </c>
      <c r="N15" s="627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2">
        <f t="shared" ref="K16" si="7">SUM(K14:K15)</f>
        <v>0</v>
      </c>
      <c r="L16" s="58" t="s">
        <v>129</v>
      </c>
      <c r="M16" s="216" t="s">
        <v>129</v>
      </c>
      <c r="N16" s="562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9">+D10+D13+D16</f>
        <v>228090118.04000002</v>
      </c>
      <c r="E17" s="155">
        <f>+E10+E13+E16</f>
        <v>149755178.15000001</v>
      </c>
      <c r="F17" s="181">
        <f>E17/D17</f>
        <v>0.65656144789112492</v>
      </c>
      <c r="G17" s="155">
        <f t="shared" si="9"/>
        <v>148124298.24000001</v>
      </c>
      <c r="H17" s="181">
        <f>G17/D17</f>
        <v>0.64941129196146741</v>
      </c>
      <c r="I17" s="155">
        <f t="shared" si="9"/>
        <v>102078813.48</v>
      </c>
      <c r="J17" s="173">
        <f>I17/D17</f>
        <v>0.44753720308960737</v>
      </c>
      <c r="K17" s="570">
        <f t="shared" ref="K17" si="10">+K10+K13+K16</f>
        <v>0</v>
      </c>
      <c r="L17" s="181" t="s">
        <v>129</v>
      </c>
      <c r="M17" s="601" t="s">
        <v>129</v>
      </c>
      <c r="N17" s="570">
        <f t="shared" ref="N17" si="11">+N10+N13+N16</f>
        <v>0</v>
      </c>
      <c r="O17" s="181" t="s">
        <v>129</v>
      </c>
      <c r="P17" s="601" t="s">
        <v>129</v>
      </c>
    </row>
    <row r="22" spans="1:16" x14ac:dyDescent="0.25">
      <c r="E22" s="180"/>
    </row>
    <row r="26" spans="1:16" x14ac:dyDescent="0.25">
      <c r="J26" s="518"/>
      <c r="K26" s="518"/>
      <c r="L26" s="518"/>
      <c r="M26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770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Agost&amp;RDirecció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213352222.63</v>
      </c>
      <c r="E5" s="30">
        <v>141685345.91999999</v>
      </c>
      <c r="F5" s="48">
        <f>E5/D5</f>
        <v>0.66409125798381652</v>
      </c>
      <c r="G5" s="30">
        <v>141605012.02000001</v>
      </c>
      <c r="H5" s="48">
        <f>G5/D5</f>
        <v>0.66371472616704097</v>
      </c>
      <c r="I5" s="30">
        <v>141179261.02000001</v>
      </c>
      <c r="J5" s="153">
        <f>I5/D5</f>
        <v>0.66171919504600674</v>
      </c>
      <c r="K5" s="572">
        <v>161665984.13</v>
      </c>
      <c r="L5" s="48">
        <v>0.69462678551289436</v>
      </c>
      <c r="M5" s="210">
        <f>+G5/K5-1</f>
        <v>-0.12408901116680437</v>
      </c>
      <c r="N5" s="572">
        <v>160653364.93000001</v>
      </c>
      <c r="O5" s="48">
        <v>0.69027588619644309</v>
      </c>
      <c r="P5" s="210">
        <f>+I5/N5-1</f>
        <v>-0.1212181513813001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21180013.48</v>
      </c>
      <c r="E6" s="32">
        <v>17845071.07</v>
      </c>
      <c r="F6" s="48">
        <f>E6/D6</f>
        <v>0.84254295148824432</v>
      </c>
      <c r="G6" s="32">
        <v>15811721.140000001</v>
      </c>
      <c r="H6" s="48">
        <f>G6/D6</f>
        <v>0.74653971088974025</v>
      </c>
      <c r="I6" s="32">
        <v>7041272.4400000004</v>
      </c>
      <c r="J6" s="153">
        <f>I6/D6</f>
        <v>0.33244891211466787</v>
      </c>
      <c r="K6" s="573">
        <v>14700258.689999999</v>
      </c>
      <c r="L6" s="280">
        <v>0.74169212649952754</v>
      </c>
      <c r="M6" s="211">
        <f>+G6/K6-1</f>
        <v>7.560835992335857E-2</v>
      </c>
      <c r="N6" s="573">
        <v>7099014.0199999996</v>
      </c>
      <c r="O6" s="280">
        <v>0.35817620054030219</v>
      </c>
      <c r="P6" s="211">
        <f>+I6/N6-1</f>
        <v>-8.1337464382129632E-3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0"/>
      <c r="L7" s="280" t="s">
        <v>129</v>
      </c>
      <c r="M7" s="212" t="s">
        <v>129</v>
      </c>
      <c r="N7" s="560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3215021.56</v>
      </c>
      <c r="E8" s="34">
        <v>3099996.84</v>
      </c>
      <c r="F8" s="390">
        <f>E8/D8</f>
        <v>0.96422272203984838</v>
      </c>
      <c r="G8" s="34">
        <v>3099996.84</v>
      </c>
      <c r="H8" s="390">
        <f>G8/D8</f>
        <v>0.96422272203984838</v>
      </c>
      <c r="I8" s="34">
        <v>3085010.73</v>
      </c>
      <c r="J8" s="392">
        <f>I8/D8</f>
        <v>0.959561443811904</v>
      </c>
      <c r="K8" s="574">
        <v>2542372.9500000002</v>
      </c>
      <c r="L8" s="390">
        <v>0.96051066086560521</v>
      </c>
      <c r="M8" s="443">
        <f t="shared" ref="M8:M12" si="0">+G8/K8-1</f>
        <v>0.21933205747803419</v>
      </c>
      <c r="N8" s="574">
        <v>2528600.1</v>
      </c>
      <c r="O8" s="390">
        <v>0.95530726643226571</v>
      </c>
      <c r="P8" s="516">
        <f>+I8/N8-1</f>
        <v>0.22004690658677095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237747257.66999999</v>
      </c>
      <c r="E9" s="84">
        <f t="shared" si="1"/>
        <v>162630413.82999998</v>
      </c>
      <c r="F9" s="90">
        <f>E9/D9</f>
        <v>0.68404748565275009</v>
      </c>
      <c r="G9" s="84">
        <f t="shared" si="1"/>
        <v>160516730.00000003</v>
      </c>
      <c r="H9" s="90">
        <f>G9/D9</f>
        <v>0.67515701999306277</v>
      </c>
      <c r="I9" s="84">
        <f t="shared" si="1"/>
        <v>151305544.19</v>
      </c>
      <c r="J9" s="170">
        <f>I9/D9</f>
        <v>0.63641341512345195</v>
      </c>
      <c r="K9" s="562">
        <f t="shared" ref="K9" si="2">SUM(K5:K8)</f>
        <v>178908615.76999998</v>
      </c>
      <c r="L9" s="90">
        <v>0.70103966632632975</v>
      </c>
      <c r="M9" s="213">
        <f t="shared" si="0"/>
        <v>-0.10280044754045858</v>
      </c>
      <c r="N9" s="562">
        <f t="shared" ref="N9" si="3">SUM(N5:N8)</f>
        <v>170280979.05000001</v>
      </c>
      <c r="O9" s="90">
        <v>0.667232934653054</v>
      </c>
      <c r="P9" s="213">
        <f>+I9/N9-1</f>
        <v>-0.11143602160302479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2542980.4500000002</v>
      </c>
      <c r="E10" s="30">
        <v>1905193.14</v>
      </c>
      <c r="F10" s="414">
        <f>E10/D10</f>
        <v>0.749196927565841</v>
      </c>
      <c r="G10" s="30">
        <v>1631624.63</v>
      </c>
      <c r="H10" s="414">
        <f>G10/D10</f>
        <v>0.64161902227757972</v>
      </c>
      <c r="I10" s="136">
        <v>339102.19</v>
      </c>
      <c r="J10" s="431">
        <f>I10/D10</f>
        <v>0.1333483275500604</v>
      </c>
      <c r="K10" s="559">
        <v>2894470.47</v>
      </c>
      <c r="L10" s="48">
        <v>0.49006556946122259</v>
      </c>
      <c r="M10" s="224">
        <f t="shared" si="0"/>
        <v>-0.43629598335477238</v>
      </c>
      <c r="N10" s="559">
        <v>1000831.16</v>
      </c>
      <c r="O10" s="48">
        <v>0.16945168293941379</v>
      </c>
      <c r="P10" s="224">
        <f>+I10/N10-1</f>
        <v>-0.66117942410985686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3"/>
      <c r="L11" s="49" t="s">
        <v>129</v>
      </c>
      <c r="M11" s="215" t="s">
        <v>129</v>
      </c>
      <c r="N11" s="563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2542980.4500000002</v>
      </c>
      <c r="E12" s="84">
        <f t="shared" si="4"/>
        <v>1905193.14</v>
      </c>
      <c r="F12" s="90">
        <f>E12/D12</f>
        <v>0.749196927565841</v>
      </c>
      <c r="G12" s="84">
        <f t="shared" si="4"/>
        <v>1631624.63</v>
      </c>
      <c r="H12" s="90">
        <f>G12/D12</f>
        <v>0.64161902227757972</v>
      </c>
      <c r="I12" s="84">
        <f t="shared" si="4"/>
        <v>339102.19</v>
      </c>
      <c r="J12" s="170">
        <f>I12/D12</f>
        <v>0.1333483275500604</v>
      </c>
      <c r="K12" s="562">
        <f t="shared" ref="K12" si="5">SUM(K10:K11)</f>
        <v>2894470.47</v>
      </c>
      <c r="L12" s="90">
        <v>0.49006556946122259</v>
      </c>
      <c r="M12" s="213">
        <f t="shared" si="0"/>
        <v>-0.43629598335477238</v>
      </c>
      <c r="N12" s="562">
        <f t="shared" ref="N12" si="6">SUM(N10:N11)</f>
        <v>1000831.16</v>
      </c>
      <c r="O12" s="90">
        <v>0.16945168293941379</v>
      </c>
      <c r="P12" s="213">
        <f>+I12/N12-1</f>
        <v>-0.66117942410985686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59"/>
      <c r="L13" s="86" t="s">
        <v>129</v>
      </c>
      <c r="M13" s="214" t="s">
        <v>129</v>
      </c>
      <c r="N13" s="559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3"/>
      <c r="L14" s="49" t="s">
        <v>129</v>
      </c>
      <c r="M14" s="215" t="s">
        <v>129</v>
      </c>
      <c r="N14" s="563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2">
        <f t="shared" ref="K15" si="8">SUM(K13:K14)</f>
        <v>0</v>
      </c>
      <c r="L15" s="58" t="s">
        <v>129</v>
      </c>
      <c r="M15" s="216" t="s">
        <v>129</v>
      </c>
      <c r="N15" s="562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240290238.11999997</v>
      </c>
      <c r="E16" s="155">
        <f t="shared" si="10"/>
        <v>164535606.96999997</v>
      </c>
      <c r="F16" s="181">
        <f>E16/D16</f>
        <v>0.68473695917614241</v>
      </c>
      <c r="G16" s="155">
        <f t="shared" si="10"/>
        <v>162148354.63000003</v>
      </c>
      <c r="H16" s="181">
        <f>G16/D16</f>
        <v>0.67480208891808491</v>
      </c>
      <c r="I16" s="155">
        <f t="shared" si="10"/>
        <v>151644646.38</v>
      </c>
      <c r="J16" s="173">
        <f>I16/D16</f>
        <v>0.63108950062411306</v>
      </c>
      <c r="K16" s="570">
        <f t="shared" ref="K16" si="11">+K9+K12+K15</f>
        <v>181803086.23999998</v>
      </c>
      <c r="L16" s="181">
        <v>0.69626746323435018</v>
      </c>
      <c r="M16" s="601">
        <f>+G16/K16-1</f>
        <v>-0.10810999976124469</v>
      </c>
      <c r="N16" s="570">
        <f t="shared" ref="N16" si="12">+N9+N12+N15</f>
        <v>171281810.21000001</v>
      </c>
      <c r="O16" s="181">
        <v>0.65597319583271851</v>
      </c>
      <c r="P16" s="601">
        <f>+I16/N16-1</f>
        <v>-0.11464827354360552</v>
      </c>
    </row>
    <row r="20" spans="5:5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7" zoomScaleNormal="100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8691781.7599999998</v>
      </c>
      <c r="F5" s="48">
        <f>E5/D5</f>
        <v>0.72692748415866304</v>
      </c>
      <c r="G5" s="30">
        <v>8654475.7599999998</v>
      </c>
      <c r="H5" s="48">
        <f>G5/D5</f>
        <v>0.72380743841052597</v>
      </c>
      <c r="I5" s="30">
        <v>8654475.7599999998</v>
      </c>
      <c r="J5" s="153">
        <f>I5/D5</f>
        <v>0.72380743841052597</v>
      </c>
      <c r="K5" s="572">
        <v>8613803.1300000008</v>
      </c>
      <c r="L5" s="48">
        <v>0.72942567450064077</v>
      </c>
      <c r="M5" s="210">
        <f>+G5/K5-1</f>
        <v>4.7217970257928954E-3</v>
      </c>
      <c r="N5" s="30">
        <v>8613803.1300000008</v>
      </c>
      <c r="O5" s="48">
        <v>0.72942567450064077</v>
      </c>
      <c r="P5" s="210">
        <f>+I5/N5-1</f>
        <v>4.7217970257928954E-3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9947808.5299999993</v>
      </c>
      <c r="E6" s="32">
        <v>9089284.6799999997</v>
      </c>
      <c r="F6" s="48">
        <f>E6/D6</f>
        <v>0.91369718793733157</v>
      </c>
      <c r="G6" s="32">
        <v>6106171.21</v>
      </c>
      <c r="H6" s="48">
        <f>G6/D6</f>
        <v>0.61382074168249001</v>
      </c>
      <c r="I6" s="32">
        <v>3149854.91</v>
      </c>
      <c r="J6" s="153">
        <f>I6/D6</f>
        <v>0.31663807164169455</v>
      </c>
      <c r="K6" s="573">
        <v>5078919.01</v>
      </c>
      <c r="L6" s="280">
        <v>0.66205948259363245</v>
      </c>
      <c r="M6" s="211">
        <f>+G6/K6-1</f>
        <v>0.20225803915703722</v>
      </c>
      <c r="N6" s="32">
        <v>2685223.82</v>
      </c>
      <c r="O6" s="280">
        <v>0.3500307623368259</v>
      </c>
      <c r="P6" s="211">
        <f>+I6/N6-1</f>
        <v>0.1730325370046808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0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32630285.140000001</v>
      </c>
      <c r="E8" s="34">
        <v>30341281.82</v>
      </c>
      <c r="F8" s="390">
        <f>E8/D8</f>
        <v>0.92985034270527978</v>
      </c>
      <c r="G8" s="34">
        <v>30011349.77</v>
      </c>
      <c r="H8" s="390">
        <f>G8/D8</f>
        <v>0.91973912091900278</v>
      </c>
      <c r="I8" s="34">
        <v>19993297.300000001</v>
      </c>
      <c r="J8" s="392">
        <f>I8/D8</f>
        <v>0.61272211426344891</v>
      </c>
      <c r="K8" s="574">
        <v>26881723.050000001</v>
      </c>
      <c r="L8" s="390">
        <v>0.93451516047803795</v>
      </c>
      <c r="M8" s="516">
        <f>+G8/K8-1</f>
        <v>0.11642210263750186</v>
      </c>
      <c r="N8" s="688">
        <v>19762219.670000002</v>
      </c>
      <c r="O8" s="390">
        <v>0.68701302561452771</v>
      </c>
      <c r="P8" s="516">
        <f>+I8/N8-1</f>
        <v>1.1692898563959719E-2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54534969.630000003</v>
      </c>
      <c r="E9" s="84">
        <f t="shared" si="0"/>
        <v>48122348.259999998</v>
      </c>
      <c r="F9" s="90">
        <f>E9/D9</f>
        <v>0.88241267184143835</v>
      </c>
      <c r="G9" s="84">
        <f t="shared" si="0"/>
        <v>44771996.739999995</v>
      </c>
      <c r="H9" s="90">
        <f>G9/D9</f>
        <v>0.82097775140908225</v>
      </c>
      <c r="I9" s="84">
        <f t="shared" si="0"/>
        <v>31797627.969999999</v>
      </c>
      <c r="J9" s="170">
        <f>I9/D9</f>
        <v>0.5830685922397203</v>
      </c>
      <c r="K9" s="562">
        <f t="shared" ref="K9" si="1">SUM(K5:K8)</f>
        <v>40574445.189999998</v>
      </c>
      <c r="L9" s="90">
        <v>0.84099370581693</v>
      </c>
      <c r="M9" s="213">
        <f t="shared" ref="M9" si="2">+G9/K9-1</f>
        <v>0.10345308556516075</v>
      </c>
      <c r="N9" s="84">
        <f t="shared" ref="N9" si="3">SUM(N5:N8)</f>
        <v>31061246.620000005</v>
      </c>
      <c r="O9" s="90">
        <v>0.64400000000000002</v>
      </c>
      <c r="P9" s="213">
        <f>+I9/N9-1</f>
        <v>2.3707398450835138E-2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7913555.4199999999</v>
      </c>
      <c r="E10" s="30">
        <v>7589926.8799999999</v>
      </c>
      <c r="F10" s="48">
        <f>E10/D10</f>
        <v>0.9591045335725974</v>
      </c>
      <c r="G10" s="30">
        <v>6838115.1600000001</v>
      </c>
      <c r="H10" s="48">
        <f>G10/D10</f>
        <v>0.86410150647558115</v>
      </c>
      <c r="I10" s="30">
        <v>45743</v>
      </c>
      <c r="J10" s="153">
        <f>I10/D10</f>
        <v>5.7803348270479412E-3</v>
      </c>
      <c r="K10" s="559">
        <v>2254093</v>
      </c>
      <c r="L10" s="48">
        <v>0.95403586442770094</v>
      </c>
      <c r="M10" s="210">
        <f>+G10/K10-1</f>
        <v>2.0336437582655198</v>
      </c>
      <c r="N10" s="30">
        <v>1820837.73</v>
      </c>
      <c r="O10" s="48">
        <v>0.77066230085587539</v>
      </c>
      <c r="P10" s="210">
        <f>+I10/N10-1</f>
        <v>-0.97487804693062896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6009938.1600000001</v>
      </c>
      <c r="E11" s="34">
        <v>6009938.1600000001</v>
      </c>
      <c r="F11" s="78">
        <f>E11/D11</f>
        <v>1</v>
      </c>
      <c r="G11" s="56">
        <v>6009938.1600000001</v>
      </c>
      <c r="H11" s="78">
        <f>G11/D11</f>
        <v>1</v>
      </c>
      <c r="I11" s="56">
        <v>0</v>
      </c>
      <c r="J11" s="172">
        <f>I11/D11</f>
        <v>0</v>
      </c>
      <c r="K11" s="563">
        <v>14315491.16</v>
      </c>
      <c r="L11" s="390">
        <v>0.47463314487291913</v>
      </c>
      <c r="M11" s="210">
        <f>+G11/K11-1</f>
        <v>-0.58017939497648363</v>
      </c>
      <c r="N11" s="56">
        <v>12965491.16</v>
      </c>
      <c r="O11" s="390">
        <v>0.42987360861831808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G12" si="4">SUM(D10:D11)</f>
        <v>13923493.58</v>
      </c>
      <c r="E12" s="84">
        <f t="shared" si="4"/>
        <v>13599865.039999999</v>
      </c>
      <c r="F12" s="90">
        <f>E12/D12</f>
        <v>0.97675665678728307</v>
      </c>
      <c r="G12" s="84">
        <f t="shared" si="4"/>
        <v>12848053.32</v>
      </c>
      <c r="H12" s="90">
        <f>G12/D12</f>
        <v>0.92276074579839751</v>
      </c>
      <c r="I12" s="84">
        <f>SUM(I10:I11)</f>
        <v>45743</v>
      </c>
      <c r="J12" s="170">
        <f>I12/D12</f>
        <v>3.2853105247741998E-3</v>
      </c>
      <c r="K12" s="562">
        <f t="shared" ref="K12" si="5">SUM(K10:K11)</f>
        <v>16569584.16</v>
      </c>
      <c r="L12" s="90">
        <v>0.50945929807691204</v>
      </c>
      <c r="M12" s="213">
        <f>+G12/K12-1</f>
        <v>-0.22460013504647902</v>
      </c>
      <c r="N12" s="84">
        <f t="shared" ref="N12" si="6">SUM(N10:N11)</f>
        <v>14786328.890000001</v>
      </c>
      <c r="O12" s="90">
        <v>0.45500000000000002</v>
      </c>
      <c r="P12" s="213">
        <f>+I12/N12-1</f>
        <v>-0.99690639912446855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59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2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68458463.210000008</v>
      </c>
      <c r="E16" s="155">
        <f t="shared" si="10"/>
        <v>61722213.299999997</v>
      </c>
      <c r="F16" s="181">
        <f>E16/D16</f>
        <v>0.90160091836510847</v>
      </c>
      <c r="G16" s="155">
        <f t="shared" si="10"/>
        <v>57620050.059999995</v>
      </c>
      <c r="H16" s="181">
        <f>G16/D16</f>
        <v>0.84167898837061828</v>
      </c>
      <c r="I16" s="155">
        <f t="shared" si="10"/>
        <v>31843370.969999999</v>
      </c>
      <c r="J16" s="173">
        <f>I16/D16</f>
        <v>0.46514878477944721</v>
      </c>
      <c r="K16" s="570">
        <f t="shared" ref="K16" si="11">+K9+K12+K15</f>
        <v>57144029.349999994</v>
      </c>
      <c r="L16" s="181">
        <v>0.70749340103121872</v>
      </c>
      <c r="M16" s="601">
        <f>+G16/K16-1</f>
        <v>8.3301915425746387E-3</v>
      </c>
      <c r="N16" s="155">
        <f t="shared" ref="N16" si="12">+N9+N12+N15</f>
        <v>45847575.510000005</v>
      </c>
      <c r="O16" s="181">
        <v>0.56799999999999995</v>
      </c>
      <c r="P16" s="601">
        <f>+I16/N16-1</f>
        <v>-0.30545136540416384</v>
      </c>
    </row>
    <row r="19" spans="5:7" x14ac:dyDescent="0.25">
      <c r="G19" s="684"/>
    </row>
    <row r="20" spans="5:7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8"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1517039.96</v>
      </c>
      <c r="E5" s="180">
        <v>1133333.6599999999</v>
      </c>
      <c r="F5" s="48">
        <f>E5/D5</f>
        <v>0.74706908841082864</v>
      </c>
      <c r="G5" s="180">
        <v>1133333.6599999999</v>
      </c>
      <c r="H5" s="48">
        <f>G5/D5</f>
        <v>0.74706908841082864</v>
      </c>
      <c r="I5" s="180">
        <v>1133333.6599999999</v>
      </c>
      <c r="J5" s="153">
        <f>I5/D5</f>
        <v>0.74706908841082864</v>
      </c>
      <c r="K5" s="180">
        <v>1366153.03</v>
      </c>
      <c r="L5" s="48">
        <v>0.71081144647860006</v>
      </c>
      <c r="M5" s="210">
        <f>+G5/K5-1</f>
        <v>-0.17041968570680555</v>
      </c>
      <c r="N5" s="683">
        <v>1366153.03</v>
      </c>
      <c r="O5" s="48">
        <v>0.71081144647860006</v>
      </c>
      <c r="P5" s="210">
        <f>+I5/N5-1</f>
        <v>-0.17041968570680555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214117279.03</v>
      </c>
      <c r="F6" s="48">
        <f>E6/D6</f>
        <v>0.96594979236799428</v>
      </c>
      <c r="G6" s="34">
        <v>210215466.28</v>
      </c>
      <c r="H6" s="48">
        <f>G6/D6</f>
        <v>0.94834749874276458</v>
      </c>
      <c r="I6" s="34">
        <v>101336846.29000001</v>
      </c>
      <c r="J6" s="153">
        <f>I6/D6</f>
        <v>0.45716210329451268</v>
      </c>
      <c r="K6" s="34">
        <v>208871017.05000001</v>
      </c>
      <c r="L6" s="280">
        <v>0.94781037220405373</v>
      </c>
      <c r="M6" s="210">
        <f>+G6/K6-1</f>
        <v>6.4367438287435963E-3</v>
      </c>
      <c r="N6" s="34">
        <v>96857329.739999995</v>
      </c>
      <c r="O6" s="280">
        <v>0.43951709072965495</v>
      </c>
      <c r="P6" s="210">
        <f t="shared" ref="P6:P12" si="0">+I6/N6-1</f>
        <v>4.6248606708698681E-2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60468408.159999996</v>
      </c>
      <c r="F8" s="390">
        <f>E8/D8</f>
        <v>0.99878973559233719</v>
      </c>
      <c r="G8" s="80">
        <v>60456358.159999996</v>
      </c>
      <c r="H8" s="78">
        <f t="shared" ref="H8" si="1">G8/D8</f>
        <v>0.99859069915860077</v>
      </c>
      <c r="I8" s="34">
        <v>33318412.02</v>
      </c>
      <c r="J8" s="392">
        <f>I8/D8</f>
        <v>0.55033841545420226</v>
      </c>
      <c r="K8" s="34">
        <v>63465513.939999998</v>
      </c>
      <c r="L8" s="390">
        <v>0.94515931933896302</v>
      </c>
      <c r="M8" s="516">
        <f>+G8/K8-1</f>
        <v>-4.7414029969801263E-2</v>
      </c>
      <c r="N8" s="34">
        <v>38370324.399999999</v>
      </c>
      <c r="O8" s="390">
        <v>0.57142954403559987</v>
      </c>
      <c r="P8" s="210">
        <f t="shared" si="0"/>
        <v>-0.1316619668714607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275719020.85000002</v>
      </c>
      <c r="F9" s="90">
        <f>E9/D9</f>
        <v>0.97178693012422068</v>
      </c>
      <c r="G9" s="84">
        <f>SUM(G5:G8)</f>
        <v>271805158.10000002</v>
      </c>
      <c r="H9" s="90">
        <f>G9/D9</f>
        <v>0.95799230451215878</v>
      </c>
      <c r="I9" s="84">
        <f t="shared" si="2"/>
        <v>135788591.97</v>
      </c>
      <c r="J9" s="170">
        <f>I9/D9</f>
        <v>0.47859439849166535</v>
      </c>
      <c r="K9" s="84">
        <f>SUM(K5:K8)</f>
        <v>273702684.01999998</v>
      </c>
      <c r="L9" s="90">
        <v>0.94562162389325743</v>
      </c>
      <c r="M9" s="213">
        <f t="shared" ref="M9" si="3">+G9/K9-1</f>
        <v>-6.9327998254532508E-3</v>
      </c>
      <c r="N9" s="84">
        <f t="shared" ref="N9" si="4">SUM(N5:N8)</f>
        <v>136593807.16999999</v>
      </c>
      <c r="O9" s="90">
        <v>0.47192104897451226</v>
      </c>
      <c r="P9" s="213">
        <f>+I9/N9-1</f>
        <v>-5.8949612481175029E-3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2893998.45</v>
      </c>
      <c r="E10" s="30">
        <v>2819652.45</v>
      </c>
      <c r="F10" s="48">
        <f>E10/D10</f>
        <v>0.97431028340737358</v>
      </c>
      <c r="G10" s="136">
        <v>2819652.45</v>
      </c>
      <c r="H10" s="48">
        <f>G10/D10</f>
        <v>0.97431028340737358</v>
      </c>
      <c r="I10" s="136">
        <v>254385.96</v>
      </c>
      <c r="J10" s="153">
        <f>I10/D10</f>
        <v>8.790120810189099E-2</v>
      </c>
      <c r="K10" s="136">
        <v>107786.29</v>
      </c>
      <c r="L10" s="48">
        <v>6.8356334360495694E-2</v>
      </c>
      <c r="M10" s="224">
        <f>+G10/K10-1</f>
        <v>25.159657689303533</v>
      </c>
      <c r="N10" s="136">
        <v>7480.02</v>
      </c>
      <c r="O10" s="48">
        <v>4.7437085750255906E-3</v>
      </c>
      <c r="P10" s="224">
        <f t="shared" si="0"/>
        <v>33.008727249392379</v>
      </c>
    </row>
    <row r="11" spans="1:16" ht="15" customHeight="1" x14ac:dyDescent="0.25">
      <c r="A11" s="24">
        <v>7</v>
      </c>
      <c r="B11" s="24" t="s">
        <v>6</v>
      </c>
      <c r="C11" s="161"/>
      <c r="D11" s="206">
        <v>17420.71</v>
      </c>
      <c r="E11" s="34">
        <v>0</v>
      </c>
      <c r="F11" s="78" t="s">
        <v>129</v>
      </c>
      <c r="G11" s="137">
        <v>0</v>
      </c>
      <c r="H11" s="78" t="s">
        <v>129</v>
      </c>
      <c r="I11" s="137">
        <v>0</v>
      </c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200000</v>
      </c>
      <c r="O11" s="736">
        <v>1</v>
      </c>
      <c r="P11" s="224">
        <f t="shared" si="0"/>
        <v>-1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5">SUM(D10:D11)</f>
        <v>2911419.16</v>
      </c>
      <c r="E12" s="84">
        <f t="shared" si="5"/>
        <v>2819652.45</v>
      </c>
      <c r="F12" s="90">
        <f>E12/D12</f>
        <v>0.96848041970019871</v>
      </c>
      <c r="G12" s="84">
        <f>SUM(G10:G11)</f>
        <v>2819652.45</v>
      </c>
      <c r="H12" s="90">
        <f>G12/D12</f>
        <v>0.96848041970019871</v>
      </c>
      <c r="I12" s="84">
        <f t="shared" si="5"/>
        <v>254385.96</v>
      </c>
      <c r="J12" s="170">
        <f>I12/D12</f>
        <v>8.7375244174734357E-2</v>
      </c>
      <c r="K12" s="84">
        <f>SUM(K10:K11)</f>
        <v>307786.28999999998</v>
      </c>
      <c r="L12" s="90">
        <v>0.17299999999999999</v>
      </c>
      <c r="M12" s="225">
        <f>+G12/K12-1</f>
        <v>8.1610722816796049</v>
      </c>
      <c r="N12" s="84">
        <f t="shared" ref="N12" si="6">SUM(N10:N11)</f>
        <v>207480.02</v>
      </c>
      <c r="O12" s="90">
        <v>0.11700000000000001</v>
      </c>
      <c r="P12" s="225">
        <f t="shared" si="0"/>
        <v>0.22607449141367919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286635157.67000002</v>
      </c>
      <c r="E16" s="155">
        <f t="shared" si="10"/>
        <v>278538673.30000001</v>
      </c>
      <c r="F16" s="181">
        <f>E16/D16</f>
        <v>0.97175334513806777</v>
      </c>
      <c r="G16" s="155">
        <f t="shared" si="10"/>
        <v>274624810.55000001</v>
      </c>
      <c r="H16" s="181">
        <f>G16/D16</f>
        <v>0.95809883470810164</v>
      </c>
      <c r="I16" s="155">
        <f t="shared" si="10"/>
        <v>136042977.93000001</v>
      </c>
      <c r="J16" s="173">
        <f>I16/D16</f>
        <v>0.47462069564622228</v>
      </c>
      <c r="K16" s="155">
        <f t="shared" ref="K16" si="11">+K9+K12+K15</f>
        <v>274010470.31</v>
      </c>
      <c r="L16" s="181">
        <v>0.94090894155689819</v>
      </c>
      <c r="M16" s="601">
        <f>+G16/K16-1</f>
        <v>2.2420319898905916E-3</v>
      </c>
      <c r="N16" s="155">
        <f t="shared" ref="N16" si="12">+N9+N12+N15</f>
        <v>136801287.19</v>
      </c>
      <c r="O16" s="181">
        <v>0.46975414548188749</v>
      </c>
      <c r="P16" s="601">
        <f>+I16/N16-1</f>
        <v>-5.5431441880132715E-3</v>
      </c>
    </row>
    <row r="20" spans="5:5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A7" sqref="A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6" zoomScaleNormal="100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535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2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601736.19999999995</v>
      </c>
      <c r="E5" s="30">
        <v>418068.12</v>
      </c>
      <c r="F5" s="48">
        <f>E5/D5</f>
        <v>0.69476976788167311</v>
      </c>
      <c r="G5" s="30">
        <v>418068.12</v>
      </c>
      <c r="H5" s="48">
        <f>G5/D5</f>
        <v>0.69476976788167311</v>
      </c>
      <c r="I5" s="30">
        <v>418068.12</v>
      </c>
      <c r="J5" s="153">
        <f>I5/D5</f>
        <v>0.69476976788167311</v>
      </c>
      <c r="K5" s="204">
        <v>522847.83</v>
      </c>
      <c r="L5" s="48">
        <v>0.69681950984378094</v>
      </c>
      <c r="M5" s="210">
        <f>G5/K5-1</f>
        <v>-0.20040192191292061</v>
      </c>
      <c r="N5" s="30">
        <v>522847.83</v>
      </c>
      <c r="O5" s="48">
        <v>0.69681950984378094</v>
      </c>
      <c r="P5" s="210">
        <f>I5/N5-1</f>
        <v>-0.20040192191292061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3766948.04</v>
      </c>
      <c r="E6" s="32">
        <v>3319430.71</v>
      </c>
      <c r="F6" s="48">
        <f>E6/D6</f>
        <v>0.88119896392305952</v>
      </c>
      <c r="G6" s="32">
        <v>3179663.58</v>
      </c>
      <c r="H6" s="48">
        <f>G6/D6</f>
        <v>0.84409541789166809</v>
      </c>
      <c r="I6" s="32">
        <v>1504802.01</v>
      </c>
      <c r="J6" s="153">
        <f>I6/D6</f>
        <v>0.39947511726230234</v>
      </c>
      <c r="K6" s="32">
        <v>3100905.53</v>
      </c>
      <c r="L6" s="280">
        <v>0.73113514247315492</v>
      </c>
      <c r="M6" s="210">
        <f>G6/K6-1</f>
        <v>2.5398403543109627E-2</v>
      </c>
      <c r="N6" s="32">
        <v>1247605.75</v>
      </c>
      <c r="O6" s="280">
        <v>0.29416194687381442</v>
      </c>
      <c r="P6" s="210">
        <f>I6/N6-1</f>
        <v>0.20615187129427714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32000</v>
      </c>
      <c r="F8" s="78">
        <f>E8/D8</f>
        <v>0.91298145506419404</v>
      </c>
      <c r="G8" s="180">
        <v>32000</v>
      </c>
      <c r="H8" s="48">
        <f t="shared" ref="H8" si="0">G8/D8</f>
        <v>0.91298145506419404</v>
      </c>
      <c r="I8" s="180">
        <v>32000</v>
      </c>
      <c r="J8" s="172">
        <v>0</v>
      </c>
      <c r="K8" s="180">
        <v>0</v>
      </c>
      <c r="L8" s="390" t="s">
        <v>129</v>
      </c>
      <c r="M8" s="245" t="s">
        <v>129</v>
      </c>
      <c r="N8" s="180">
        <v>0</v>
      </c>
      <c r="O8" s="390" t="s">
        <v>129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1">SUM(D5:D8)</f>
        <v>4403734.24</v>
      </c>
      <c r="E9" s="84">
        <f t="shared" si="1"/>
        <v>3769498.83</v>
      </c>
      <c r="F9" s="90">
        <f>E9/D9</f>
        <v>0.85597781895212643</v>
      </c>
      <c r="G9" s="84">
        <f t="shared" si="1"/>
        <v>3629731.7</v>
      </c>
      <c r="H9" s="90">
        <f>G9/D9</f>
        <v>0.82423949815827213</v>
      </c>
      <c r="I9" s="84">
        <f t="shared" si="1"/>
        <v>1954870.13</v>
      </c>
      <c r="J9" s="170">
        <f>I9/D9</f>
        <v>0.44391192189654022</v>
      </c>
      <c r="K9" s="84">
        <f t="shared" ref="K9" si="2">SUM(K5:K8)</f>
        <v>3623753.36</v>
      </c>
      <c r="L9" s="90">
        <v>0.72597678871800153</v>
      </c>
      <c r="M9" s="213">
        <f t="shared" ref="M9" si="3">G9/K9-1</f>
        <v>1.6497645965618535E-3</v>
      </c>
      <c r="N9" s="84">
        <f t="shared" ref="N9" si="4">SUM(N5:N8)</f>
        <v>1770453.58</v>
      </c>
      <c r="O9" s="90">
        <v>0.35468975862714053</v>
      </c>
      <c r="P9" s="213">
        <f>I9/N9-1</f>
        <v>0.10416344832943869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3" t="s">
        <v>129</v>
      </c>
      <c r="N11" s="137"/>
      <c r="O11" s="49" t="s">
        <v>129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4403734.24</v>
      </c>
      <c r="E16" s="155">
        <f t="shared" si="11"/>
        <v>3769498.83</v>
      </c>
      <c r="F16" s="181">
        <f>E16/D16</f>
        <v>0.85597781895212643</v>
      </c>
      <c r="G16" s="155">
        <f t="shared" si="11"/>
        <v>3629731.7</v>
      </c>
      <c r="H16" s="181">
        <f>G16/D16</f>
        <v>0.82423949815827213</v>
      </c>
      <c r="I16" s="155">
        <f t="shared" si="11"/>
        <v>1954870.13</v>
      </c>
      <c r="J16" s="173">
        <f>I16/D16</f>
        <v>0.44391192189654022</v>
      </c>
      <c r="K16" s="155">
        <f t="shared" ref="K16" si="12">+K9+K12+K15</f>
        <v>3623753.36</v>
      </c>
      <c r="L16" s="181">
        <v>0.72597678871800153</v>
      </c>
      <c r="M16" s="601">
        <f t="shared" ref="M16" si="13">G16/K16-1</f>
        <v>1.6497645965618535E-3</v>
      </c>
      <c r="N16" s="155">
        <f t="shared" ref="N16" si="14">+N9+N12+N15</f>
        <v>1770453.58</v>
      </c>
      <c r="O16" s="181">
        <v>0.35468975862714053</v>
      </c>
      <c r="P16" s="601">
        <f>I16/N16-1</f>
        <v>0.10416344832943869</v>
      </c>
    </row>
    <row r="21" spans="5:5" x14ac:dyDescent="0.25">
      <c r="E21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4"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536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D1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526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4386001.22</v>
      </c>
      <c r="E5" s="30">
        <v>2907819.4</v>
      </c>
      <c r="F5" s="48">
        <f>E5/D5</f>
        <v>0.66297733496754474</v>
      </c>
      <c r="G5" s="30">
        <v>2907819.4</v>
      </c>
      <c r="H5" s="48">
        <f>G5/D5</f>
        <v>0.66297733496754474</v>
      </c>
      <c r="I5" s="30">
        <v>2907819.4</v>
      </c>
      <c r="J5" s="153">
        <f>I5/D5</f>
        <v>0.66297733496754474</v>
      </c>
      <c r="K5" s="700">
        <v>3454674.29</v>
      </c>
      <c r="L5" s="48">
        <v>0.70810821422771419</v>
      </c>
      <c r="M5" s="210">
        <f>G5/K5-1</f>
        <v>-0.15829419623810614</v>
      </c>
      <c r="N5" s="683">
        <v>3454674.29</v>
      </c>
      <c r="O5" s="48">
        <v>0.70810821422771419</v>
      </c>
      <c r="P5" s="210">
        <f>I5/N5-1</f>
        <v>-0.15829419623810614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26205486.800000001</v>
      </c>
      <c r="E6" s="32">
        <v>25070065.120000001</v>
      </c>
      <c r="F6" s="48">
        <f>E6/D6</f>
        <v>0.95667236832249958</v>
      </c>
      <c r="G6" s="32">
        <v>24172848.370000001</v>
      </c>
      <c r="H6" s="48">
        <f>G6/D6</f>
        <v>0.92243462426349587</v>
      </c>
      <c r="I6" s="32">
        <v>9059774.3699999992</v>
      </c>
      <c r="J6" s="178">
        <f>I6/D6</f>
        <v>0.34572051414820498</v>
      </c>
      <c r="K6" s="700">
        <v>21659161.359999999</v>
      </c>
      <c r="L6" s="280">
        <v>0.83511892612382677</v>
      </c>
      <c r="M6" s="210">
        <f>G6/K6-1</f>
        <v>0.11605652537601308</v>
      </c>
      <c r="N6" s="32">
        <v>7649911.5899999999</v>
      </c>
      <c r="O6" s="280">
        <v>0.29495998694489695</v>
      </c>
      <c r="P6" s="210">
        <f>I6/N6-1</f>
        <v>0.18429791814103824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0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90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3182336.02</v>
      </c>
      <c r="J8" s="172">
        <f>I8/D8</f>
        <v>0.50642690367446963</v>
      </c>
      <c r="K8" s="700">
        <v>6331633.0499999998</v>
      </c>
      <c r="L8" s="390">
        <v>1</v>
      </c>
      <c r="M8" s="516">
        <f t="shared" ref="M8:M11" si="2">G8/K8-1</f>
        <v>-7.6901171649548239E-3</v>
      </c>
      <c r="N8" s="32">
        <v>3242836.02</v>
      </c>
      <c r="O8" s="390">
        <v>0.51216423857664972</v>
      </c>
      <c r="P8" s="210">
        <f>I8/N8-1</f>
        <v>-1.865650918728845E-2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36875388.019999996</v>
      </c>
      <c r="E9" s="84">
        <f>SUM(E5:E8)</f>
        <v>34260826.57</v>
      </c>
      <c r="F9" s="90">
        <f>E9/D9</f>
        <v>0.92909738472224501</v>
      </c>
      <c r="G9" s="84">
        <f>SUM(G5:G8)</f>
        <v>33363609.82</v>
      </c>
      <c r="H9" s="90">
        <f>G9/D9</f>
        <v>0.90476633905261361</v>
      </c>
      <c r="I9" s="84">
        <f>SUM(I5:I8)</f>
        <v>15149929.789999999</v>
      </c>
      <c r="J9" s="170">
        <f>I9/D9</f>
        <v>0.41084123051893517</v>
      </c>
      <c r="K9" s="699">
        <f>SUM(K5:K8)</f>
        <v>31445468.699999999</v>
      </c>
      <c r="L9" s="90">
        <v>0.84654187533923575</v>
      </c>
      <c r="M9" s="213">
        <f t="shared" si="2"/>
        <v>6.0998967396532988E-2</v>
      </c>
      <c r="N9" s="84">
        <f>SUM(N5:N8)</f>
        <v>14347421.899999999</v>
      </c>
      <c r="O9" s="90">
        <v>0.38600000000000001</v>
      </c>
      <c r="P9" s="213">
        <f>I9/N9-1</f>
        <v>5.5933943784004958E-2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15785006.470000001</v>
      </c>
      <c r="E10" s="30">
        <v>13210820.689999999</v>
      </c>
      <c r="F10" s="48">
        <f>E10/D10</f>
        <v>0.83692209535090545</v>
      </c>
      <c r="G10" s="136">
        <v>11955374.359999999</v>
      </c>
      <c r="H10" s="48">
        <f>G10/D10</f>
        <v>0.75738799237882093</v>
      </c>
      <c r="I10" s="136">
        <v>3403424.65</v>
      </c>
      <c r="J10" s="153">
        <f>I10/D10</f>
        <v>0.21561122933134913</v>
      </c>
      <c r="K10" s="698">
        <v>3679650.97</v>
      </c>
      <c r="L10" s="48">
        <v>0.27506624120577566</v>
      </c>
      <c r="M10" s="224">
        <f t="shared" si="2"/>
        <v>2.2490511892218947</v>
      </c>
      <c r="N10" s="136">
        <v>2249817.11</v>
      </c>
      <c r="O10" s="48">
        <v>0.16818136853021715</v>
      </c>
      <c r="P10" s="224">
        <f>I10/N10-1</f>
        <v>0.512756141320305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697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15785006.470000001</v>
      </c>
      <c r="E12" s="84">
        <f t="shared" si="3"/>
        <v>13210820.689999999</v>
      </c>
      <c r="F12" s="90">
        <f>E12/D12</f>
        <v>0.83692209535090545</v>
      </c>
      <c r="G12" s="84">
        <f t="shared" si="3"/>
        <v>11955374.359999999</v>
      </c>
      <c r="H12" s="90">
        <f>G12/D12</f>
        <v>0.75738799237882093</v>
      </c>
      <c r="I12" s="84">
        <f t="shared" si="3"/>
        <v>3403424.65</v>
      </c>
      <c r="J12" s="170">
        <f>I12/D12</f>
        <v>0.21561122933134913</v>
      </c>
      <c r="K12" s="699">
        <f>SUM(K10:K11)</f>
        <v>3727332.97</v>
      </c>
      <c r="L12" s="90">
        <v>0.27764100985472062</v>
      </c>
      <c r="M12" s="225">
        <f t="shared" ref="M12" si="4">G12/K12-1</f>
        <v>2.2074876208336169</v>
      </c>
      <c r="N12" s="84">
        <f t="shared" ref="N12" si="5">SUM(N10:N11)</f>
        <v>2249817.11</v>
      </c>
      <c r="O12" s="90">
        <v>0.16758403379476694</v>
      </c>
      <c r="P12" s="225">
        <f>I12/N12-1</f>
        <v>0.512756141320305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96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1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699">
        <v>0</v>
      </c>
      <c r="L15" s="58" t="s">
        <v>129</v>
      </c>
      <c r="M15" s="633" t="s">
        <v>129</v>
      </c>
      <c r="N15" s="84">
        <f t="shared" ref="N15" si="7">SUM(N13:N14)</f>
        <v>0</v>
      </c>
      <c r="O15" s="228" t="s">
        <v>129</v>
      </c>
      <c r="P15" s="633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52660394.489999995</v>
      </c>
      <c r="E16" s="155">
        <f t="shared" si="8"/>
        <v>47471647.259999998</v>
      </c>
      <c r="F16" s="181">
        <f>E16/D16</f>
        <v>0.90146774857553869</v>
      </c>
      <c r="G16" s="155">
        <f t="shared" si="8"/>
        <v>45318984.18</v>
      </c>
      <c r="H16" s="181">
        <f>G16/D16</f>
        <v>0.86058953068811328</v>
      </c>
      <c r="I16" s="155">
        <f t="shared" si="8"/>
        <v>18553354.439999998</v>
      </c>
      <c r="J16" s="173">
        <f>I16/D16</f>
        <v>0.35232084035229183</v>
      </c>
      <c r="K16" s="702">
        <f>SUM(K9,K12,K15)</f>
        <v>35172801.670000002</v>
      </c>
      <c r="L16" s="181">
        <v>0.6955160084589066</v>
      </c>
      <c r="M16" s="634">
        <f>G16/K16-1</f>
        <v>0.28846671371800325</v>
      </c>
      <c r="N16" s="155">
        <f t="shared" ref="N16" si="9">+N9+N12+N15</f>
        <v>16597239.009999998</v>
      </c>
      <c r="O16" s="181">
        <v>0.32800000000000001</v>
      </c>
      <c r="P16" s="634">
        <f>I16/N16-1</f>
        <v>0.11785788159231902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10" zoomScaleNormal="100" workbookViewId="0">
      <selection activeCell="E36" sqref="E3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537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O19" sqref="O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84"/>
      <c r="M2" s="784"/>
      <c r="N2" s="784"/>
      <c r="O2" s="784"/>
      <c r="P2" s="78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7780305.2999999998</v>
      </c>
      <c r="F5" s="48">
        <f>E5/D5</f>
        <v>0.69253895728144932</v>
      </c>
      <c r="G5" s="30">
        <v>7780305.2999999998</v>
      </c>
      <c r="H5" s="48">
        <f>G5/D5</f>
        <v>0.69253895728144932</v>
      </c>
      <c r="I5" s="30">
        <v>7780305.2999999998</v>
      </c>
      <c r="J5" s="153">
        <f>I5/D5</f>
        <v>0.69253895728144932</v>
      </c>
      <c r="K5" s="559">
        <v>8200212.7699999996</v>
      </c>
      <c r="L5" s="48">
        <v>0.71098736955213759</v>
      </c>
      <c r="M5" s="210">
        <f>+G5/K5-1</f>
        <v>-5.120689935463707E-2</v>
      </c>
      <c r="N5" s="559">
        <v>8200212.7699999996</v>
      </c>
      <c r="O5" s="48">
        <v>0.71098736955213759</v>
      </c>
      <c r="P5" s="210">
        <f>+I5/N5-1</f>
        <v>-5.120689935463707E-2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22491086.34</v>
      </c>
      <c r="E6" s="32">
        <v>18935271.57</v>
      </c>
      <c r="F6" s="48">
        <f t="shared" ref="F6:F12" si="0">E6/D6</f>
        <v>0.84190115514002339</v>
      </c>
      <c r="G6" s="32">
        <v>17338093.48</v>
      </c>
      <c r="H6" s="48">
        <f t="shared" ref="H6:H12" si="1">G6/D6</f>
        <v>0.77088732922448955</v>
      </c>
      <c r="I6" s="32">
        <v>11056678.75</v>
      </c>
      <c r="J6" s="153">
        <f t="shared" ref="J6:J12" si="2">I6/D6</f>
        <v>0.49160269908065279</v>
      </c>
      <c r="K6" s="560">
        <v>19411863.390000001</v>
      </c>
      <c r="L6" s="280">
        <v>0.71321990732736973</v>
      </c>
      <c r="M6" s="210">
        <f>+G6/K6-1</f>
        <v>-0.10683002802648511</v>
      </c>
      <c r="N6" s="560">
        <v>11917259.460000001</v>
      </c>
      <c r="O6" s="280">
        <v>0.43785733068964383</v>
      </c>
      <c r="P6" s="210">
        <f>+I6/N6-1</f>
        <v>-7.2212970850263014E-2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0"/>
      <c r="L7" s="418" t="s">
        <v>129</v>
      </c>
      <c r="M7" s="212" t="s">
        <v>129</v>
      </c>
      <c r="N7" s="560"/>
      <c r="O7" s="41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49524105.399999999</v>
      </c>
      <c r="E8" s="34">
        <v>42923919.310000002</v>
      </c>
      <c r="F8" s="78">
        <f t="shared" si="0"/>
        <v>0.86672780786869108</v>
      </c>
      <c r="G8" s="34">
        <v>34302349.810000002</v>
      </c>
      <c r="H8" s="78">
        <f t="shared" si="1"/>
        <v>0.69263946381149577</v>
      </c>
      <c r="I8" s="34">
        <v>21015382.329999998</v>
      </c>
      <c r="J8" s="172">
        <f t="shared" si="2"/>
        <v>0.42434653105313841</v>
      </c>
      <c r="K8" s="563">
        <v>35759528.490000002</v>
      </c>
      <c r="L8" s="390">
        <v>0.7101026894270358</v>
      </c>
      <c r="M8" s="516">
        <f>+G8/K8-1</f>
        <v>-4.0749381816024055E-2</v>
      </c>
      <c r="N8" s="563">
        <v>24445239.120000001</v>
      </c>
      <c r="O8" s="390">
        <v>0.48542670375682534</v>
      </c>
      <c r="P8" s="516">
        <f>+I8/N8-1</f>
        <v>-0.14030776189846506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83249657.640000001</v>
      </c>
      <c r="E9" s="84">
        <f t="shared" si="3"/>
        <v>69639496.180000007</v>
      </c>
      <c r="F9" s="90">
        <f>E9/D9</f>
        <v>0.83651390473153675</v>
      </c>
      <c r="G9" s="84">
        <f t="shared" si="3"/>
        <v>59420748.590000004</v>
      </c>
      <c r="H9" s="90">
        <f>G9/D9</f>
        <v>0.7137656811389621</v>
      </c>
      <c r="I9" s="84">
        <f t="shared" si="3"/>
        <v>39852366.379999995</v>
      </c>
      <c r="J9" s="170">
        <f>I9/D9</f>
        <v>0.4787090723223783</v>
      </c>
      <c r="K9" s="562">
        <f>SUM(K5:K8)</f>
        <v>63371604.650000006</v>
      </c>
      <c r="L9" s="90">
        <v>0.71116930993164751</v>
      </c>
      <c r="M9" s="213">
        <f>+G9/K9-1</f>
        <v>-6.2344264151436457E-2</v>
      </c>
      <c r="N9" s="562">
        <f>SUM(N5:N8)</f>
        <v>44562711.350000001</v>
      </c>
      <c r="O9" s="90">
        <v>0.50009200263264431</v>
      </c>
      <c r="P9" s="213">
        <f>+I9/N9-1</f>
        <v>-0.10570148959304748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16435811.49</v>
      </c>
      <c r="E10" s="180">
        <v>15757773.99</v>
      </c>
      <c r="F10" s="417">
        <f t="shared" si="0"/>
        <v>0.95874633264000764</v>
      </c>
      <c r="G10" s="136">
        <v>15738234.220000001</v>
      </c>
      <c r="H10" s="417">
        <f t="shared" si="1"/>
        <v>0.95755747926261958</v>
      </c>
      <c r="I10" s="56">
        <v>15738234.220000001</v>
      </c>
      <c r="J10" s="348">
        <f t="shared" si="2"/>
        <v>0.95755747926261958</v>
      </c>
      <c r="K10" s="559">
        <v>29037500</v>
      </c>
      <c r="L10" s="417">
        <v>0.9264095095925472</v>
      </c>
      <c r="M10" s="224">
        <f>+G10/K10-1</f>
        <v>-0.45800312630219542</v>
      </c>
      <c r="N10" s="559">
        <v>29037500</v>
      </c>
      <c r="O10" s="417">
        <v>0.9264095095925472</v>
      </c>
      <c r="P10" s="224">
        <f>+I10/N10-1</f>
        <v>-0.45800312630219542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193375.37</v>
      </c>
      <c r="E11" s="34">
        <v>75000</v>
      </c>
      <c r="F11" s="417">
        <f t="shared" si="0"/>
        <v>0.38784670457256271</v>
      </c>
      <c r="G11" s="137">
        <v>75000</v>
      </c>
      <c r="H11" s="417">
        <f t="shared" si="1"/>
        <v>0.38784670457256271</v>
      </c>
      <c r="I11" s="137">
        <v>75000</v>
      </c>
      <c r="J11" s="348">
        <f t="shared" si="2"/>
        <v>0.38784670457256271</v>
      </c>
      <c r="K11" s="563"/>
      <c r="L11" s="28" t="s">
        <v>129</v>
      </c>
      <c r="M11" s="553" t="s">
        <v>129</v>
      </c>
      <c r="N11" s="563"/>
      <c r="O11" s="28" t="s">
        <v>129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16629186.859999999</v>
      </c>
      <c r="E12" s="84">
        <f t="shared" si="4"/>
        <v>15832773.99</v>
      </c>
      <c r="F12" s="510">
        <f t="shared" si="0"/>
        <v>0.95210752776398844</v>
      </c>
      <c r="G12" s="84">
        <f t="shared" si="4"/>
        <v>15813234.220000001</v>
      </c>
      <c r="H12" s="510">
        <f t="shared" si="1"/>
        <v>0.95093249917332401</v>
      </c>
      <c r="I12" s="84">
        <f t="shared" si="4"/>
        <v>15813234.220000001</v>
      </c>
      <c r="J12" s="171">
        <f t="shared" si="2"/>
        <v>0.95093249917332401</v>
      </c>
      <c r="K12" s="562">
        <f>SUM(K10:K11)</f>
        <v>29037500</v>
      </c>
      <c r="L12" s="510">
        <v>0.9264095095925472</v>
      </c>
      <c r="M12" s="225">
        <f>+G12/K12-1</f>
        <v>-0.45542025931984498</v>
      </c>
      <c r="N12" s="562">
        <f>SUM(N10:N11)</f>
        <v>29037500</v>
      </c>
      <c r="O12" s="510">
        <v>0.9264095095925472</v>
      </c>
      <c r="P12" s="225">
        <f>+I12/N12-1</f>
        <v>-0.45542025931984498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9"/>
      <c r="L13" s="417" t="s">
        <v>129</v>
      </c>
      <c r="M13" s="224" t="s">
        <v>129</v>
      </c>
      <c r="N13" s="559"/>
      <c r="O13" s="417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28" t="s">
        <v>129</v>
      </c>
      <c r="M14" s="215" t="s">
        <v>129</v>
      </c>
      <c r="N14" s="563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2"/>
      <c r="L15" s="676" t="s">
        <v>129</v>
      </c>
      <c r="M15" s="635" t="s">
        <v>129</v>
      </c>
      <c r="N15" s="562"/>
      <c r="O15" s="676" t="s">
        <v>129</v>
      </c>
      <c r="P15" s="635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99878844.5</v>
      </c>
      <c r="E16" s="155">
        <f t="shared" si="6"/>
        <v>85472270.170000002</v>
      </c>
      <c r="F16" s="181">
        <f>E16/D16</f>
        <v>0.85575950140272194</v>
      </c>
      <c r="G16" s="155">
        <f t="shared" si="6"/>
        <v>75233982.810000002</v>
      </c>
      <c r="H16" s="181">
        <f>G16/D16</f>
        <v>0.75325243485370919</v>
      </c>
      <c r="I16" s="155">
        <f t="shared" si="6"/>
        <v>55665600.599999994</v>
      </c>
      <c r="J16" s="173">
        <f>I16/D16</f>
        <v>0.55733124345466367</v>
      </c>
      <c r="K16" s="570">
        <f>SUM(K9,K12,K15)</f>
        <v>92409104.650000006</v>
      </c>
      <c r="L16" s="181">
        <v>0.76717877449362382</v>
      </c>
      <c r="M16" s="601">
        <f>+G16/K16-1</f>
        <v>-0.18585962828068592</v>
      </c>
      <c r="N16" s="570">
        <f>SUM(N15,N12,N9)</f>
        <v>73600211.349999994</v>
      </c>
      <c r="O16" s="181">
        <v>0.61099999999999999</v>
      </c>
      <c r="P16" s="601">
        <f>+I16/N16-1</f>
        <v>-0.24367607675354863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Agost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779</v>
      </c>
    </row>
    <row r="2" spans="1:19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488145.95</v>
      </c>
      <c r="E5" s="30">
        <v>310261.46999999997</v>
      </c>
      <c r="F5" s="48">
        <f>E5/D5</f>
        <v>0.63559160943566151</v>
      </c>
      <c r="G5" s="30">
        <v>307310.27</v>
      </c>
      <c r="H5" s="48">
        <f>G5/D5</f>
        <v>0.62954587659694816</v>
      </c>
      <c r="I5" s="30">
        <v>307310.27</v>
      </c>
      <c r="J5" s="153">
        <f>I5/D5</f>
        <v>0.62954587659694816</v>
      </c>
      <c r="K5" s="559">
        <v>1033314.56</v>
      </c>
      <c r="L5" s="48">
        <v>0.50284519603929412</v>
      </c>
      <c r="M5" s="210">
        <f>+G5/K5-1</f>
        <v>-0.70259756138537321</v>
      </c>
      <c r="N5" s="559">
        <v>1033314.56</v>
      </c>
      <c r="O5" s="48">
        <v>0.50284519603929412</v>
      </c>
      <c r="P5" s="210">
        <f>+I5/N5-1</f>
        <v>-0.70259756138537321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1948127.18</v>
      </c>
      <c r="E6" s="32">
        <v>657074.71</v>
      </c>
      <c r="F6" s="48">
        <f t="shared" ref="F6:F8" si="0">E6/D6</f>
        <v>0.33728532548886259</v>
      </c>
      <c r="G6" s="32">
        <v>457537.79</v>
      </c>
      <c r="H6" s="48">
        <f t="shared" ref="H6:H8" si="1">G6/D6</f>
        <v>0.23486032877997215</v>
      </c>
      <c r="I6" s="32">
        <v>273211.02</v>
      </c>
      <c r="J6" s="153">
        <f t="shared" ref="J6:J8" si="2">I6/D6</f>
        <v>0.14024290754980381</v>
      </c>
      <c r="K6" s="560">
        <v>57687.81</v>
      </c>
      <c r="L6" s="280">
        <v>0.13010775785172277</v>
      </c>
      <c r="M6" s="210">
        <f>+G6/K6-1</f>
        <v>6.9312733487369345</v>
      </c>
      <c r="N6" s="560">
        <v>26623.54</v>
      </c>
      <c r="O6" s="280">
        <v>6.0046118850336935E-2</v>
      </c>
      <c r="P6" s="210">
        <f>+I6/N6-1</f>
        <v>9.262009484839357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0"/>
      <c r="L7" s="418" t="s">
        <v>129</v>
      </c>
      <c r="M7" s="212" t="s">
        <v>129</v>
      </c>
      <c r="N7" s="560"/>
      <c r="O7" s="418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44801856.890000001</v>
      </c>
      <c r="E8" s="34">
        <v>31187760.559999999</v>
      </c>
      <c r="F8" s="390">
        <f t="shared" si="0"/>
        <v>0.69612651628645472</v>
      </c>
      <c r="G8" s="34">
        <v>26094583.93</v>
      </c>
      <c r="H8" s="78">
        <f t="shared" si="1"/>
        <v>0.58244424989055399</v>
      </c>
      <c r="I8" s="34">
        <v>24665040.390000001</v>
      </c>
      <c r="J8" s="172">
        <f t="shared" si="2"/>
        <v>0.55053611841489014</v>
      </c>
      <c r="K8" s="563">
        <v>30710240.48</v>
      </c>
      <c r="L8" s="390">
        <v>0.52066192241316567</v>
      </c>
      <c r="M8" s="516">
        <f>+G8/K8-1</f>
        <v>-0.15029698490983623</v>
      </c>
      <c r="N8" s="563">
        <v>29834070.300000001</v>
      </c>
      <c r="O8" s="390">
        <v>0.50580731876468621</v>
      </c>
      <c r="P8" s="516">
        <f>+I8/N8-1</f>
        <v>-0.17325929241374749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47238130.020000003</v>
      </c>
      <c r="E9" s="84">
        <f t="shared" si="3"/>
        <v>32155096.739999998</v>
      </c>
      <c r="F9" s="90">
        <f>E9/D9</f>
        <v>0.68070215155396607</v>
      </c>
      <c r="G9" s="84">
        <f t="shared" si="3"/>
        <v>26859431.989999998</v>
      </c>
      <c r="H9" s="90">
        <f>G9/D9</f>
        <v>0.56859642789898901</v>
      </c>
      <c r="I9" s="84">
        <f t="shared" si="3"/>
        <v>25245561.68</v>
      </c>
      <c r="J9" s="170">
        <f>I9/D9</f>
        <v>0.53443185979867025</v>
      </c>
      <c r="K9" s="562">
        <f>SUM(K5:K8)</f>
        <v>31801242.850000001</v>
      </c>
      <c r="L9" s="90">
        <v>0.51724986525301497</v>
      </c>
      <c r="M9" s="213">
        <f t="shared" ref="M9:M10" si="4">+G9/K9-1</f>
        <v>-0.15539678380840394</v>
      </c>
      <c r="N9" s="562">
        <f>SUM(N5:N8)</f>
        <v>30894008.400000002</v>
      </c>
      <c r="O9" s="90">
        <v>0.502</v>
      </c>
      <c r="P9" s="213">
        <f>+I9/N9-1</f>
        <v>-0.18283308034576706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59">
        <v>3426.66</v>
      </c>
      <c r="L10" s="48">
        <v>0.27864823898307289</v>
      </c>
      <c r="M10" s="210">
        <f t="shared" si="4"/>
        <v>-1</v>
      </c>
      <c r="N10" s="559">
        <v>3426.66</v>
      </c>
      <c r="O10" s="48">
        <v>0.27864823898307289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/>
      <c r="D11" s="206">
        <v>450000</v>
      </c>
      <c r="E11" s="34">
        <v>0</v>
      </c>
      <c r="F11" s="49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3"/>
      <c r="L11" s="517" t="s">
        <v>129</v>
      </c>
      <c r="M11" s="553" t="s">
        <v>129</v>
      </c>
      <c r="N11" s="563"/>
      <c r="O11" s="517" t="s">
        <v>129</v>
      </c>
      <c r="P11" s="496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450000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3426.66</v>
      </c>
      <c r="L12" s="90">
        <v>0.27864823898307289</v>
      </c>
      <c r="M12" s="623">
        <f t="shared" ref="M12" si="6">+G12/K12-1</f>
        <v>-1</v>
      </c>
      <c r="N12" s="562">
        <f>SUM(N10:N11)</f>
        <v>3426.66</v>
      </c>
      <c r="O12" s="90">
        <v>0.27864823898307289</v>
      </c>
      <c r="P12" s="213">
        <f>+I12/N12-1</f>
        <v>-1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9"/>
      <c r="L13" s="417" t="s">
        <v>129</v>
      </c>
      <c r="M13" s="224" t="s">
        <v>129</v>
      </c>
      <c r="N13" s="559"/>
      <c r="O13" s="417" t="s">
        <v>129</v>
      </c>
      <c r="P13" s="224" t="s">
        <v>129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28" t="s">
        <v>129</v>
      </c>
      <c r="M14" s="215" t="s">
        <v>129</v>
      </c>
      <c r="N14" s="563"/>
      <c r="O14" s="28" t="s">
        <v>129</v>
      </c>
      <c r="P14" s="215" t="s">
        <v>129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2">
        <v>0</v>
      </c>
      <c r="L15" s="510" t="s">
        <v>129</v>
      </c>
      <c r="M15" s="635" t="s">
        <v>129</v>
      </c>
      <c r="N15" s="562">
        <f>SUM(N13:N14)</f>
        <v>0</v>
      </c>
      <c r="O15" s="510" t="s">
        <v>129</v>
      </c>
      <c r="P15" s="635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47688130.020000003</v>
      </c>
      <c r="E16" s="155">
        <f t="shared" si="8"/>
        <v>32155096.739999998</v>
      </c>
      <c r="F16" s="181">
        <f>E16/D16</f>
        <v>0.67427883472290528</v>
      </c>
      <c r="G16" s="155">
        <f t="shared" si="8"/>
        <v>26859431.989999998</v>
      </c>
      <c r="H16" s="181">
        <f>G16/D16</f>
        <v>0.56323097548038425</v>
      </c>
      <c r="I16" s="155">
        <f t="shared" si="8"/>
        <v>25245561.68</v>
      </c>
      <c r="J16" s="173">
        <f>I16/D16</f>
        <v>0.52938879485130208</v>
      </c>
      <c r="K16" s="570">
        <f>K9+K12+K15</f>
        <v>31804669.510000002</v>
      </c>
      <c r="L16" s="265">
        <v>0.51720214996537917</v>
      </c>
      <c r="M16" s="601">
        <f>+G16/K16-1</f>
        <v>-0.1554877820203453</v>
      </c>
      <c r="N16" s="570">
        <f>N9+N12+N15</f>
        <v>30897435.060000002</v>
      </c>
      <c r="O16" s="265">
        <v>0.502</v>
      </c>
      <c r="P16" s="601">
        <f>+I16/N16-1</f>
        <v>-0.1829237077131024</v>
      </c>
      <c r="S16" s="484"/>
    </row>
    <row r="17" spans="2:16" x14ac:dyDescent="0.25">
      <c r="P17" s="518"/>
    </row>
    <row r="25" spans="2:16" x14ac:dyDescent="0.25">
      <c r="B25" s="34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Agost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8" sqref="O18"/>
    </sheetView>
  </sheetViews>
  <sheetFormatPr defaultRowHeight="13.2" x14ac:dyDescent="0.25"/>
  <sheetData>
    <row r="1" spans="1:1" ht="13.8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C1" zoomScaleNormal="100" workbookViewId="0">
      <selection activeCell="O17" sqref="O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808523.16</v>
      </c>
      <c r="F5" s="48">
        <f>E5/D5</f>
        <v>6.5577547456742616E-2</v>
      </c>
      <c r="G5" s="30">
        <v>808523.16</v>
      </c>
      <c r="H5" s="48">
        <f>G5/D5</f>
        <v>6.5577547456742616E-2</v>
      </c>
      <c r="I5" s="30">
        <v>808523.16</v>
      </c>
      <c r="J5" s="153">
        <f>I5/D5</f>
        <v>6.5577547456742616E-2</v>
      </c>
      <c r="K5" s="572">
        <v>10365508.189999999</v>
      </c>
      <c r="L5" s="48">
        <v>0.18743814494115946</v>
      </c>
      <c r="M5" s="210">
        <f>+G5/K5-1</f>
        <v>-0.92199869556033798</v>
      </c>
      <c r="N5" s="572">
        <v>10365508.189999999</v>
      </c>
      <c r="O5" s="48">
        <v>0.18743814494115946</v>
      </c>
      <c r="P5" s="210">
        <f>+I5/N5-1</f>
        <v>-0.92199869556033798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1689964.77</v>
      </c>
      <c r="F6" s="48">
        <f t="shared" ref="F6:F17" si="0">E6/D6</f>
        <v>0.5797398217520171</v>
      </c>
      <c r="G6" s="30">
        <v>1689964.77</v>
      </c>
      <c r="H6" s="280">
        <f t="shared" ref="H6:H17" si="1">G6/D6</f>
        <v>0.5797398217520171</v>
      </c>
      <c r="I6" s="30">
        <v>1121562.01</v>
      </c>
      <c r="J6" s="178">
        <f t="shared" ref="J6:J17" si="2">I6/D6</f>
        <v>0.38475012692793237</v>
      </c>
      <c r="K6" s="573">
        <v>999015.37</v>
      </c>
      <c r="L6" s="412">
        <v>0.22257155566537465</v>
      </c>
      <c r="M6" s="210">
        <f t="shared" ref="M6:M17" si="3">+G6/K6-1</f>
        <v>0.69163040004079224</v>
      </c>
      <c r="N6" s="573">
        <v>918714.52</v>
      </c>
      <c r="O6" s="412">
        <v>0.20468125523310815</v>
      </c>
      <c r="P6" s="210">
        <f>+I6/N6-1</f>
        <v>0.22079491026222153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10767853.82</v>
      </c>
      <c r="F7" s="48">
        <f t="shared" si="0"/>
        <v>0.48723320452488689</v>
      </c>
      <c r="G7" s="30">
        <v>10767853.82</v>
      </c>
      <c r="H7" s="280">
        <f t="shared" si="1"/>
        <v>0.48723320452488689</v>
      </c>
      <c r="I7" s="30">
        <v>10767853.82</v>
      </c>
      <c r="J7" s="178">
        <f t="shared" si="2"/>
        <v>0.48723320452488689</v>
      </c>
      <c r="K7" s="573">
        <v>11907779.859999999</v>
      </c>
      <c r="L7" s="130">
        <v>0.47915982177345895</v>
      </c>
      <c r="M7" s="212">
        <f t="shared" si="3"/>
        <v>-9.5729519138087138E-2</v>
      </c>
      <c r="N7" s="573">
        <v>11907779.859999999</v>
      </c>
      <c r="O7" s="130">
        <v>0.47915982177345895</v>
      </c>
      <c r="P7" s="212">
        <f t="shared" ref="P7:P17" si="4">+I7/N7-1</f>
        <v>-9.5729519138087138E-2</v>
      </c>
    </row>
    <row r="8" spans="1:16" ht="15" customHeight="1" x14ac:dyDescent="0.25">
      <c r="A8" s="235">
        <v>4</v>
      </c>
      <c r="B8" s="554" t="s">
        <v>3</v>
      </c>
      <c r="C8" s="159">
        <v>246750409.25999999</v>
      </c>
      <c r="D8" s="204">
        <v>247635639.62</v>
      </c>
      <c r="E8" s="30">
        <v>210044144.38999999</v>
      </c>
      <c r="F8" s="48">
        <f t="shared" si="0"/>
        <v>0.84819836398474535</v>
      </c>
      <c r="G8" s="30">
        <v>210044144.38999999</v>
      </c>
      <c r="H8" s="48">
        <f t="shared" si="1"/>
        <v>0.84819836398474535</v>
      </c>
      <c r="I8" s="30">
        <v>145950942.63</v>
      </c>
      <c r="J8" s="178">
        <f t="shared" si="2"/>
        <v>0.58937777637323752</v>
      </c>
      <c r="K8" s="629">
        <v>196203541.16999999</v>
      </c>
      <c r="L8" s="414">
        <v>0.61882606601399126</v>
      </c>
      <c r="M8" s="443">
        <f t="shared" si="3"/>
        <v>7.0542066353470378E-2</v>
      </c>
      <c r="N8" s="629">
        <v>161673363.53</v>
      </c>
      <c r="O8" s="414">
        <v>0.50991786863741551</v>
      </c>
      <c r="P8" s="443">
        <f t="shared" si="4"/>
        <v>-9.7248059647639828E-2</v>
      </c>
    </row>
    <row r="9" spans="1:16" ht="15" customHeight="1" x14ac:dyDescent="0.25">
      <c r="A9" s="55">
        <v>5</v>
      </c>
      <c r="B9" s="55" t="s">
        <v>453</v>
      </c>
      <c r="C9" s="176">
        <v>13197818.9</v>
      </c>
      <c r="D9" s="512">
        <v>6908292.3700000001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1">
        <v>0</v>
      </c>
      <c r="L9" s="78">
        <v>0</v>
      </c>
      <c r="M9" s="496" t="s">
        <v>129</v>
      </c>
      <c r="N9" s="561">
        <v>0</v>
      </c>
      <c r="O9" s="78">
        <v>0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291888240.03000003</v>
      </c>
      <c r="E10" s="84">
        <f t="shared" si="5"/>
        <v>223310486.13999999</v>
      </c>
      <c r="F10" s="90">
        <f t="shared" si="0"/>
        <v>0.76505475560457081</v>
      </c>
      <c r="G10" s="84">
        <f>SUM(G5:G9)</f>
        <v>223310486.13999999</v>
      </c>
      <c r="H10" s="90">
        <f t="shared" si="1"/>
        <v>0.76505475560457081</v>
      </c>
      <c r="I10" s="84">
        <f>SUM(I5:I9)</f>
        <v>158648881.62</v>
      </c>
      <c r="J10" s="170">
        <f t="shared" si="2"/>
        <v>0.5435261167208868</v>
      </c>
      <c r="K10" s="562">
        <f>SUM(K5:K9)</f>
        <v>219475844.58999997</v>
      </c>
      <c r="L10" s="90">
        <v>0.53688026490740137</v>
      </c>
      <c r="M10" s="213">
        <f t="shared" si="3"/>
        <v>1.7471815894653187E-2</v>
      </c>
      <c r="N10" s="562">
        <f>SUM(N5:N9)</f>
        <v>184865366.09999999</v>
      </c>
      <c r="O10" s="90">
        <v>0.45221635624357864</v>
      </c>
      <c r="P10" s="213">
        <f t="shared" si="4"/>
        <v>-0.14181393212300564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324259615.64999998</v>
      </c>
      <c r="E11" s="30">
        <v>187379097.90000001</v>
      </c>
      <c r="F11" s="48">
        <f t="shared" si="0"/>
        <v>0.5778675137339756</v>
      </c>
      <c r="G11" s="30">
        <v>187379097.90000001</v>
      </c>
      <c r="H11" s="48">
        <f t="shared" si="1"/>
        <v>0.5778675137339756</v>
      </c>
      <c r="I11" s="30">
        <v>115260374.64</v>
      </c>
      <c r="J11" s="153">
        <f t="shared" si="2"/>
        <v>0.35545707537139004</v>
      </c>
      <c r="K11" s="559">
        <v>170954148.19</v>
      </c>
      <c r="L11" s="48">
        <v>0.63067515386738215</v>
      </c>
      <c r="M11" s="224">
        <f t="shared" si="3"/>
        <v>9.6078099794017158E-2</v>
      </c>
      <c r="N11" s="559">
        <v>116745692.12</v>
      </c>
      <c r="O11" s="48">
        <v>0.43069213657982447</v>
      </c>
      <c r="P11" s="224">
        <f t="shared" si="4"/>
        <v>-1.2722674841597392E-2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19058881.140000001</v>
      </c>
      <c r="E12" s="34">
        <v>15333173.33</v>
      </c>
      <c r="F12" s="390">
        <f t="shared" si="0"/>
        <v>0.80451592186171739</v>
      </c>
      <c r="G12" s="34">
        <v>15333173.33</v>
      </c>
      <c r="H12" s="390">
        <f t="shared" si="1"/>
        <v>0.80451592186171739</v>
      </c>
      <c r="I12" s="180">
        <v>460109.35</v>
      </c>
      <c r="J12" s="392">
        <f t="shared" si="2"/>
        <v>2.4141466994845845E-2</v>
      </c>
      <c r="K12" s="563">
        <v>1312173.43</v>
      </c>
      <c r="L12" s="390">
        <v>0.21229555317574716</v>
      </c>
      <c r="M12" s="224">
        <f t="shared" si="3"/>
        <v>10.685325262225437</v>
      </c>
      <c r="N12" s="563">
        <v>250864.56</v>
      </c>
      <c r="O12" s="390">
        <v>4.0587188644255978E-2</v>
      </c>
      <c r="P12" s="224">
        <f t="shared" si="4"/>
        <v>0.83409466048133685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343318496.78999996</v>
      </c>
      <c r="E13" s="84">
        <f t="shared" si="6"/>
        <v>202712271.23000002</v>
      </c>
      <c r="F13" s="90">
        <f t="shared" si="0"/>
        <v>0.59044960619757825</v>
      </c>
      <c r="G13" s="84">
        <f t="shared" si="6"/>
        <v>202712271.23000002</v>
      </c>
      <c r="H13" s="90">
        <f t="shared" si="1"/>
        <v>0.59044960619757825</v>
      </c>
      <c r="I13" s="84">
        <f t="shared" si="6"/>
        <v>115720483.98999999</v>
      </c>
      <c r="J13" s="170">
        <f t="shared" si="2"/>
        <v>0.33706451901653162</v>
      </c>
      <c r="K13" s="562">
        <f t="shared" ref="K13" si="7">SUM(K11:K12)</f>
        <v>172266321.62</v>
      </c>
      <c r="L13" s="90">
        <v>0.62134786825495847</v>
      </c>
      <c r="M13" s="213">
        <f t="shared" si="3"/>
        <v>0.1767376775894729</v>
      </c>
      <c r="N13" s="562">
        <f t="shared" ref="N13" si="8">SUM(N11:N12)</f>
        <v>116996556.68000001</v>
      </c>
      <c r="O13" s="90">
        <v>0.42199520139895136</v>
      </c>
      <c r="P13" s="213">
        <f t="shared" si="4"/>
        <v>-1.090692517977454E-2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13783857.18</v>
      </c>
      <c r="J14" s="153">
        <f t="shared" si="2"/>
        <v>0.49307169233560377</v>
      </c>
      <c r="K14" s="559">
        <v>19326730.16</v>
      </c>
      <c r="L14" s="48">
        <v>0.72798328163937009</v>
      </c>
      <c r="M14" s="224">
        <f t="shared" si="3"/>
        <v>0.18773723852726465</v>
      </c>
      <c r="N14" s="559">
        <v>12243436.67</v>
      </c>
      <c r="O14" s="48">
        <v>0.46117564284192408</v>
      </c>
      <c r="P14" s="224">
        <f t="shared" si="4"/>
        <v>0.12581602302680928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41491760.479999997</v>
      </c>
      <c r="F15" s="390">
        <f t="shared" si="0"/>
        <v>0.32485230362106082</v>
      </c>
      <c r="G15" s="34">
        <v>41491760.479999997</v>
      </c>
      <c r="H15" s="390">
        <f t="shared" si="1"/>
        <v>0.32485230362106082</v>
      </c>
      <c r="I15" s="34">
        <v>41491760.479999997</v>
      </c>
      <c r="J15" s="392">
        <f t="shared" si="2"/>
        <v>0.32485230362106082</v>
      </c>
      <c r="K15" s="563">
        <v>150999985.03</v>
      </c>
      <c r="L15" s="390">
        <v>0.95746112786600412</v>
      </c>
      <c r="M15" s="516">
        <f t="shared" si="3"/>
        <v>-0.7252201020300989</v>
      </c>
      <c r="N15" s="563">
        <v>150999985.03</v>
      </c>
      <c r="O15" s="390">
        <v>0.95746112786600412</v>
      </c>
      <c r="P15" s="516">
        <f t="shared" si="4"/>
        <v>-0.7252201020300989</v>
      </c>
    </row>
    <row r="16" spans="1:16" ht="15" customHeight="1" thickBot="1" x14ac:dyDescent="0.3">
      <c r="A16" s="9"/>
      <c r="B16" s="2" t="s">
        <v>10</v>
      </c>
      <c r="C16" s="515">
        <f>SUM(C14:C15)</f>
        <v>155680077.11000001</v>
      </c>
      <c r="D16" s="152">
        <f t="shared" ref="D16:I16" si="9">SUM(D14:D15)</f>
        <v>155680077.11000001</v>
      </c>
      <c r="E16" s="84">
        <f t="shared" si="9"/>
        <v>64446837.589999996</v>
      </c>
      <c r="F16" s="90">
        <f t="shared" si="0"/>
        <v>0.41396971781086234</v>
      </c>
      <c r="G16" s="84">
        <f t="shared" si="9"/>
        <v>64446837.589999996</v>
      </c>
      <c r="H16" s="90">
        <f t="shared" si="1"/>
        <v>0.41396971781086234</v>
      </c>
      <c r="I16" s="84">
        <f t="shared" si="9"/>
        <v>55275617.659999996</v>
      </c>
      <c r="J16" s="170">
        <f t="shared" si="2"/>
        <v>0.35505903315389226</v>
      </c>
      <c r="K16" s="562">
        <f t="shared" ref="K16" si="10">SUM(K14:K15)</f>
        <v>170326715.19</v>
      </c>
      <c r="L16" s="90">
        <v>0.92439726262123245</v>
      </c>
      <c r="M16" s="635">
        <f t="shared" si="3"/>
        <v>-0.62162813086538216</v>
      </c>
      <c r="N16" s="562">
        <f t="shared" ref="N16" si="11">SUM(N14:N15)</f>
        <v>163243421.69999999</v>
      </c>
      <c r="O16" s="90">
        <v>0.88595480745385169</v>
      </c>
      <c r="P16" s="635">
        <f t="shared" si="4"/>
        <v>-0.66139145403615363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790886813.92999995</v>
      </c>
      <c r="E17" s="155">
        <f t="shared" si="12"/>
        <v>490469594.95999998</v>
      </c>
      <c r="F17" s="181">
        <f t="shared" si="0"/>
        <v>0.62015143800767758</v>
      </c>
      <c r="G17" s="155">
        <f t="shared" si="12"/>
        <v>490469594.95999998</v>
      </c>
      <c r="H17" s="181">
        <f t="shared" si="1"/>
        <v>0.62015143800767758</v>
      </c>
      <c r="I17" s="155">
        <f t="shared" si="12"/>
        <v>329644983.26999998</v>
      </c>
      <c r="J17" s="173">
        <f t="shared" si="2"/>
        <v>0.41680424741431621</v>
      </c>
      <c r="K17" s="570">
        <f t="shared" ref="K17" si="13">+K10+K13+K16</f>
        <v>562068881.39999998</v>
      </c>
      <c r="L17" s="181">
        <v>0.6458322033224565</v>
      </c>
      <c r="M17" s="601">
        <f t="shared" si="3"/>
        <v>-0.12738525260758193</v>
      </c>
      <c r="N17" s="570">
        <f t="shared" ref="N17" si="14">+N10+N13+N16</f>
        <v>465105344.47999996</v>
      </c>
      <c r="O17" s="181">
        <v>0.53441850161564297</v>
      </c>
      <c r="P17" s="601">
        <f t="shared" si="4"/>
        <v>-0.29124662362555354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opLeftCell="C43" zoomScaleNormal="100" workbookViewId="0">
      <selection activeCell="K64" sqref="K64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9.66406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765</v>
      </c>
      <c r="D2" s="751" t="s">
        <v>782</v>
      </c>
      <c r="E2" s="752"/>
      <c r="F2" s="752"/>
      <c r="G2" s="752"/>
      <c r="H2" s="753"/>
      <c r="I2" s="748" t="s">
        <v>783</v>
      </c>
      <c r="J2" s="749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8">
        <v>668207000</v>
      </c>
      <c r="E5" s="284">
        <v>399547230.60000002</v>
      </c>
      <c r="F5" s="372">
        <f>+E5/D5</f>
        <v>0.59793930713087418</v>
      </c>
      <c r="G5" s="284">
        <v>378467671.5</v>
      </c>
      <c r="H5" s="364">
        <f>G5/E5</f>
        <v>0.94724138353219256</v>
      </c>
      <c r="I5" s="284">
        <v>405004700.62</v>
      </c>
      <c r="J5" s="372">
        <v>0.6496592041581043</v>
      </c>
      <c r="K5" s="285">
        <f>+E5/I5-1</f>
        <v>-1.3475078219204462E-2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60593604.710000001</v>
      </c>
      <c r="F6" s="327">
        <f t="shared" ref="F6:F68" si="0">+E6/D6</f>
        <v>1.0604278537716558</v>
      </c>
      <c r="G6" s="132">
        <v>48116675.939999998</v>
      </c>
      <c r="H6" s="364">
        <f t="shared" ref="H6:H14" si="1">G6/E6</f>
        <v>0.79408835586338888</v>
      </c>
      <c r="I6" s="132">
        <v>60978327.340000004</v>
      </c>
      <c r="J6" s="327">
        <v>1.0402307632207439</v>
      </c>
      <c r="K6" s="293">
        <f t="shared" ref="K6:K68" si="2">+E6/I6-1</f>
        <v>-6.3091699425418257E-3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145396484.30000001</v>
      </c>
      <c r="F7" s="327">
        <f t="shared" si="0"/>
        <v>0.84201419007742784</v>
      </c>
      <c r="G7" s="132">
        <v>138347370.5</v>
      </c>
      <c r="H7" s="364">
        <f t="shared" si="1"/>
        <v>0.95151799003987325</v>
      </c>
      <c r="I7" s="132">
        <v>124488115.79000001</v>
      </c>
      <c r="J7" s="327">
        <v>1.0304113413180591</v>
      </c>
      <c r="K7" s="293">
        <f t="shared" si="2"/>
        <v>0.16795473509511938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12526381.140000001</v>
      </c>
      <c r="F8" s="327">
        <f t="shared" si="0"/>
        <v>0.1384508231030101</v>
      </c>
      <c r="G8" s="132">
        <v>8094423.6399999997</v>
      </c>
      <c r="H8" s="364">
        <f t="shared" si="1"/>
        <v>0.64619011265371729</v>
      </c>
      <c r="I8" s="132">
        <v>13373520.08</v>
      </c>
      <c r="J8" s="327">
        <v>0.14912819854053408</v>
      </c>
      <c r="K8" s="293">
        <f t="shared" si="2"/>
        <v>-6.3344499797543197E-2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357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4">
        <f t="shared" si="1"/>
        <v>1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19305009.09</v>
      </c>
      <c r="F10" s="373">
        <f t="shared" si="0"/>
        <v>0.87059893717927073</v>
      </c>
      <c r="G10" s="294">
        <v>19028154.149999999</v>
      </c>
      <c r="H10" s="538">
        <f t="shared" si="1"/>
        <v>0.98565890651958243</v>
      </c>
      <c r="I10" s="294">
        <v>18537031.309999999</v>
      </c>
      <c r="J10" s="373">
        <v>1.1055663690582691</v>
      </c>
      <c r="K10" s="295">
        <f t="shared" si="2"/>
        <v>4.1429383548902354E-2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637366590.14999998</v>
      </c>
      <c r="F11" s="90">
        <f>+E11/D11</f>
        <v>0.63063491931308446</v>
      </c>
      <c r="G11" s="84">
        <f>SUM(G5:G10)</f>
        <v>592052176.03999996</v>
      </c>
      <c r="H11" s="170">
        <f t="shared" si="1"/>
        <v>0.9289036877516037</v>
      </c>
      <c r="I11" s="84">
        <f>SUM(I5:I10)</f>
        <v>622381695.13999999</v>
      </c>
      <c r="J11" s="43">
        <v>0.68446994314894227</v>
      </c>
      <c r="K11" s="144">
        <f>+E11/I11-1</f>
        <v>2.4076696225182603E-2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8">
        <v>90056137.609999999</v>
      </c>
      <c r="E12" s="326">
        <v>69707037.799999997</v>
      </c>
      <c r="F12" s="649">
        <f t="shared" si="0"/>
        <v>0.77403983392975984</v>
      </c>
      <c r="G12" s="326">
        <v>60541182.710000001</v>
      </c>
      <c r="H12" s="355">
        <f t="shared" si="1"/>
        <v>0.86850889982876311</v>
      </c>
      <c r="I12" s="284">
        <v>67873078.549999997</v>
      </c>
      <c r="J12" s="372">
        <v>0.75224731366680597</v>
      </c>
      <c r="K12" s="285">
        <f t="shared" si="2"/>
        <v>2.7020422370395147E-2</v>
      </c>
      <c r="L12" s="286" t="s">
        <v>165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</v>
      </c>
      <c r="E13" s="650">
        <v>685567660</v>
      </c>
      <c r="F13" s="648">
        <f t="shared" si="0"/>
        <v>0.68014656135477358</v>
      </c>
      <c r="G13" s="650">
        <v>596011032.70000005</v>
      </c>
      <c r="H13" s="365">
        <f t="shared" si="1"/>
        <v>0.86936865239530126</v>
      </c>
      <c r="I13" s="294">
        <v>699916582.19000006</v>
      </c>
      <c r="J13" s="373">
        <v>0.74740034501071584</v>
      </c>
      <c r="K13" s="295">
        <f t="shared" si="2"/>
        <v>-2.0500903329226827E-2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1098026623.6099999</v>
      </c>
      <c r="E14" s="84">
        <f>SUM(E12:E13)</f>
        <v>755274697.79999995</v>
      </c>
      <c r="F14" s="90">
        <f>+E14/D14</f>
        <v>0.68784734500960565</v>
      </c>
      <c r="G14" s="84">
        <f>SUM(G12:G13)</f>
        <v>656552215.41000009</v>
      </c>
      <c r="H14" s="171">
        <f t="shared" si="1"/>
        <v>0.86928930271653027</v>
      </c>
      <c r="I14" s="84">
        <f>SUM(I12:I13)</f>
        <v>767789660.74000001</v>
      </c>
      <c r="J14" s="43">
        <v>0.74782630184439869</v>
      </c>
      <c r="K14" s="144">
        <f t="shared" si="2"/>
        <v>-1.6299988890105754E-2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2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162</v>
      </c>
      <c r="C18" s="486">
        <v>15107000</v>
      </c>
      <c r="D18" s="368">
        <v>15107000</v>
      </c>
      <c r="E18" s="341">
        <v>8898140.3300000001</v>
      </c>
      <c r="F18" s="375">
        <f t="shared" si="0"/>
        <v>0.5890077665982657</v>
      </c>
      <c r="G18" s="341">
        <v>8879457.9399999995</v>
      </c>
      <c r="H18" s="355">
        <f t="shared" ref="H18:H23" si="3">+G18/E18</f>
        <v>0.99790041634463633</v>
      </c>
      <c r="I18" s="341">
        <v>8913048.1099999994</v>
      </c>
      <c r="J18" s="401">
        <v>0.57503536193548388</v>
      </c>
      <c r="K18" s="384">
        <f t="shared" si="2"/>
        <v>-1.6725793259517729E-3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284">
        <v>3614183.7</v>
      </c>
      <c r="F19" s="374">
        <f t="shared" si="0"/>
        <v>0.36225154856169189</v>
      </c>
      <c r="G19" s="284">
        <v>3594190.72</v>
      </c>
      <c r="H19" s="355">
        <f t="shared" si="3"/>
        <v>0.9944681893175491</v>
      </c>
      <c r="I19" s="284">
        <v>7598492.2300000004</v>
      </c>
      <c r="J19" s="335">
        <v>1.2522235052735664</v>
      </c>
      <c r="K19" s="385">
        <f t="shared" si="2"/>
        <v>-0.52435514960051488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26">
        <v>16741027.039999999</v>
      </c>
      <c r="F20" s="374">
        <f t="shared" si="0"/>
        <v>1.0525637868264295</v>
      </c>
      <c r="G20" s="326">
        <v>15990853.960000001</v>
      </c>
      <c r="H20" s="355">
        <f t="shared" si="3"/>
        <v>0.9551895425407545</v>
      </c>
      <c r="I20" s="284">
        <v>16034806.59</v>
      </c>
      <c r="J20" s="335">
        <v>0.95690198606140597</v>
      </c>
      <c r="K20" s="385">
        <f t="shared" si="2"/>
        <v>4.4042966532594763E-2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651">
        <v>15373011.9</v>
      </c>
      <c r="F21" s="374">
        <f t="shared" si="0"/>
        <v>0.45718994498141263</v>
      </c>
      <c r="G21" s="651">
        <v>14533245.18</v>
      </c>
      <c r="H21" s="355">
        <f t="shared" si="3"/>
        <v>0.94537396279515007</v>
      </c>
      <c r="I21" s="284">
        <v>18125262.02</v>
      </c>
      <c r="J21" s="335">
        <v>0.59312353218364477</v>
      </c>
      <c r="K21" s="385">
        <f t="shared" si="2"/>
        <v>-0.15184608735383121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651">
        <v>7486954.4199999999</v>
      </c>
      <c r="F22" s="374">
        <f t="shared" si="0"/>
        <v>0.89674864295125167</v>
      </c>
      <c r="G22" s="326">
        <v>6848429.5599999996</v>
      </c>
      <c r="H22" s="355">
        <f t="shared" si="3"/>
        <v>0.91471500637237746</v>
      </c>
      <c r="I22" s="284">
        <v>7632263.04</v>
      </c>
      <c r="J22" s="335">
        <v>0.89507013591541007</v>
      </c>
      <c r="K22" s="385">
        <f t="shared" si="2"/>
        <v>-1.903873323527383E-2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172</v>
      </c>
      <c r="C23" s="492">
        <v>3208129.9999999963</v>
      </c>
      <c r="D23" s="324">
        <v>3208130</v>
      </c>
      <c r="E23" s="653">
        <v>5737254.0599999996</v>
      </c>
      <c r="F23" s="380">
        <f t="shared" si="0"/>
        <v>1.7883483711694974</v>
      </c>
      <c r="G23" s="653">
        <v>3527947.77</v>
      </c>
      <c r="H23" s="445">
        <f t="shared" si="3"/>
        <v>0.61491921624959389</v>
      </c>
      <c r="I23" s="324">
        <v>3437060.3</v>
      </c>
      <c r="J23" s="402">
        <v>1.134486690516193</v>
      </c>
      <c r="K23" s="386">
        <f t="shared" si="2"/>
        <v>0.669232879039102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7">
        <v>18467000</v>
      </c>
      <c r="D24" s="368">
        <v>18467000</v>
      </c>
      <c r="E24" s="284">
        <v>797078.08</v>
      </c>
      <c r="F24" s="374">
        <f t="shared" si="0"/>
        <v>4.3162293821411166E-2</v>
      </c>
      <c r="G24" s="284">
        <v>582185.34</v>
      </c>
      <c r="H24" s="355">
        <f>+G24/E24</f>
        <v>0.73039938571639051</v>
      </c>
      <c r="I24" s="284">
        <v>2572724.12</v>
      </c>
      <c r="J24" s="335">
        <v>0.14588738984973065</v>
      </c>
      <c r="K24" s="285">
        <f t="shared" si="2"/>
        <v>-0.69018128535289669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284">
        <v>3156177.84</v>
      </c>
      <c r="F25" s="374">
        <f t="shared" si="0"/>
        <v>0.56159748042704627</v>
      </c>
      <c r="G25" s="284">
        <v>2229773.33</v>
      </c>
      <c r="H25" s="355">
        <f>+G25/E25</f>
        <v>0.70647898915607377</v>
      </c>
      <c r="I25" s="284">
        <v>5105134.04</v>
      </c>
      <c r="J25" s="335">
        <v>0.81564691484262664</v>
      </c>
      <c r="K25" s="285">
        <f t="shared" si="2"/>
        <v>-0.38176396246003375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2989289.97</v>
      </c>
      <c r="E26" s="284">
        <v>1963818.96</v>
      </c>
      <c r="F26" s="380">
        <f t="shared" si="0"/>
        <v>0.65695164393837635</v>
      </c>
      <c r="G26" s="284">
        <v>1837195.21</v>
      </c>
      <c r="H26" s="355">
        <f t="shared" ref="H26:H68" si="4">+G26/E26</f>
        <v>0.93552167863783131</v>
      </c>
      <c r="I26" s="324">
        <v>2108771.3199999998</v>
      </c>
      <c r="J26" s="335">
        <v>0.54442906492886645</v>
      </c>
      <c r="K26" s="285">
        <f t="shared" si="2"/>
        <v>-6.8737827864616352E-2</v>
      </c>
      <c r="L26" s="345" t="s">
        <v>351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506</v>
      </c>
      <c r="C27" s="487">
        <v>10</v>
      </c>
      <c r="D27" s="301">
        <v>10</v>
      </c>
      <c r="E27" s="302">
        <v>0</v>
      </c>
      <c r="F27" s="361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6">
        <v>9100000</v>
      </c>
      <c r="D28" s="292">
        <v>9100000</v>
      </c>
      <c r="E28" s="284">
        <v>5038027.1500000004</v>
      </c>
      <c r="F28" s="374">
        <f t="shared" si="0"/>
        <v>0.55362935714285721</v>
      </c>
      <c r="G28" s="284">
        <v>3007476.88</v>
      </c>
      <c r="H28" s="355">
        <f>+G28/E28</f>
        <v>0.59695527444706198</v>
      </c>
      <c r="I28" s="284">
        <v>7132161.0300000003</v>
      </c>
      <c r="J28" s="335">
        <v>1.1692067262295083</v>
      </c>
      <c r="K28" s="285">
        <f t="shared" si="2"/>
        <v>-0.29361842381172365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2">
        <v>420149.99000000022</v>
      </c>
      <c r="D29" s="324">
        <v>420149.99</v>
      </c>
      <c r="E29" s="325">
        <v>199995.45</v>
      </c>
      <c r="F29" s="347">
        <f t="shared" si="0"/>
        <v>0.47600965074401169</v>
      </c>
      <c r="G29" s="297">
        <v>131010.47</v>
      </c>
      <c r="H29" s="366">
        <f t="shared" si="4"/>
        <v>0.65506725278000066</v>
      </c>
      <c r="I29" s="297">
        <v>187759.84</v>
      </c>
      <c r="J29" s="402">
        <v>0.48101613977558028</v>
      </c>
      <c r="K29" s="298">
        <f t="shared" si="2"/>
        <v>6.5166278369219066E-2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701382.31</v>
      </c>
      <c r="F30" s="374">
        <f t="shared" si="0"/>
        <v>0.62224513623848177</v>
      </c>
      <c r="G30" s="125">
        <v>700814.66</v>
      </c>
      <c r="H30" s="355">
        <f t="shared" si="4"/>
        <v>0.99919066963636416</v>
      </c>
      <c r="I30" s="284">
        <v>1208137.49</v>
      </c>
      <c r="J30" s="401">
        <v>1.3881468484873873</v>
      </c>
      <c r="K30" s="387">
        <f t="shared" si="2"/>
        <v>-0.41945158079648692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725">
        <v>54686190</v>
      </c>
      <c r="E31" s="319">
        <v>50342298.880000003</v>
      </c>
      <c r="F31" s="347">
        <f t="shared" si="0"/>
        <v>0.92056694532934191</v>
      </c>
      <c r="G31" s="369">
        <v>22754737.199999999</v>
      </c>
      <c r="H31" s="728">
        <f t="shared" si="4"/>
        <v>0.45200035966255814</v>
      </c>
      <c r="I31" s="284">
        <v>65385518.200000003</v>
      </c>
      <c r="J31" s="335">
        <v>1.2681257999093198</v>
      </c>
      <c r="K31" s="285">
        <f t="shared" si="2"/>
        <v>-0.23006958932383281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729">
        <v>12205000</v>
      </c>
      <c r="E32" s="730">
        <v>7623008.2000000002</v>
      </c>
      <c r="F32" s="361">
        <f t="shared" si="0"/>
        <v>0.624580761982794</v>
      </c>
      <c r="G32" s="730">
        <v>7623008.2000000002</v>
      </c>
      <c r="H32" s="731">
        <f t="shared" si="4"/>
        <v>1</v>
      </c>
      <c r="I32" s="284">
        <v>7844921.9699999997</v>
      </c>
      <c r="J32" s="335">
        <v>0.73262252241314907</v>
      </c>
      <c r="K32" s="285">
        <f t="shared" si="2"/>
        <v>-2.8287568805480334E-2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729">
        <v>8093000</v>
      </c>
      <c r="E33" s="730">
        <v>6040332.9299999997</v>
      </c>
      <c r="F33" s="732">
        <f t="shared" si="0"/>
        <v>0.74636512171011982</v>
      </c>
      <c r="G33" s="730">
        <v>5609158.1100000003</v>
      </c>
      <c r="H33" s="731">
        <f t="shared" si="4"/>
        <v>0.92861737506909248</v>
      </c>
      <c r="I33" s="125">
        <v>2500324.0499999998</v>
      </c>
      <c r="J33" s="335">
        <v>0.34906101493787517</v>
      </c>
      <c r="K33" s="285">
        <f t="shared" si="2"/>
        <v>1.4158200334072699</v>
      </c>
      <c r="L33" s="289">
        <v>393</v>
      </c>
      <c r="N33"/>
    </row>
    <row r="34" spans="1:18" s="287" customFormat="1" ht="15" customHeight="1" x14ac:dyDescent="0.25">
      <c r="A34" s="281"/>
      <c r="B34" s="307" t="s">
        <v>361</v>
      </c>
      <c r="C34" s="291">
        <v>10</v>
      </c>
      <c r="D34" s="729">
        <v>10</v>
      </c>
      <c r="E34" s="730">
        <v>0</v>
      </c>
      <c r="F34" s="732">
        <f t="shared" si="0"/>
        <v>0</v>
      </c>
      <c r="G34" s="730">
        <v>0</v>
      </c>
      <c r="H34" s="731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415</v>
      </c>
      <c r="C35" s="291">
        <v>4478472.4000000004</v>
      </c>
      <c r="D35" s="729">
        <v>4478472.4000000004</v>
      </c>
      <c r="E35" s="730">
        <v>3106590.66</v>
      </c>
      <c r="F35" s="732">
        <f t="shared" si="0"/>
        <v>0.69367194492479178</v>
      </c>
      <c r="G35" s="730">
        <v>0</v>
      </c>
      <c r="H35" s="733" t="s">
        <v>129</v>
      </c>
      <c r="I35" s="310">
        <v>2113708.9500000002</v>
      </c>
      <c r="J35" s="335" t="s">
        <v>129</v>
      </c>
      <c r="K35" s="285">
        <f t="shared" si="2"/>
        <v>0.4697343548647035</v>
      </c>
      <c r="L35" s="289">
        <v>397</v>
      </c>
      <c r="N35"/>
    </row>
    <row r="36" spans="1:18" s="287" customFormat="1" ht="15" customHeight="1" x14ac:dyDescent="0.25">
      <c r="A36" s="309"/>
      <c r="B36" s="713" t="s">
        <v>774</v>
      </c>
      <c r="C36" s="291">
        <v>0</v>
      </c>
      <c r="D36" s="725">
        <v>0</v>
      </c>
      <c r="E36" s="369">
        <v>10924.85</v>
      </c>
      <c r="F36" s="726" t="s">
        <v>129</v>
      </c>
      <c r="G36" s="369">
        <v>10924.85</v>
      </c>
      <c r="H36" s="72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39">
        <v>10046099.98</v>
      </c>
      <c r="E37" s="311">
        <v>9809844.3399999999</v>
      </c>
      <c r="F37" s="376">
        <f t="shared" si="0"/>
        <v>0.97648285001439927</v>
      </c>
      <c r="G37" s="311">
        <v>9153389.1899999995</v>
      </c>
      <c r="H37" s="367">
        <f t="shared" si="4"/>
        <v>0.9330820013806661</v>
      </c>
      <c r="I37" s="311">
        <v>7812978.4500000002</v>
      </c>
      <c r="J37" s="404">
        <v>0.66520086149172619</v>
      </c>
      <c r="K37" s="312">
        <f t="shared" si="2"/>
        <v>0.25558318159702575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146640051.09999999</v>
      </c>
      <c r="F38" s="377">
        <f>+E38/D38</f>
        <v>0.52349642933398588</v>
      </c>
      <c r="G38" s="174">
        <f>SUM(G15:G37)</f>
        <v>107013798.56999999</v>
      </c>
      <c r="H38" s="175">
        <f t="shared" si="4"/>
        <v>0.72977196725758642</v>
      </c>
      <c r="I38" s="152">
        <f>SUM(I15:I37)</f>
        <v>165713071.74999997</v>
      </c>
      <c r="J38" s="43">
        <v>0.63700000000000001</v>
      </c>
      <c r="K38" s="182">
        <f>+E38/I38-1</f>
        <v>-0.11509665742467279</v>
      </c>
      <c r="L38" s="695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765</v>
      </c>
      <c r="D40" s="754" t="s">
        <v>782</v>
      </c>
      <c r="E40" s="752"/>
      <c r="F40" s="752"/>
      <c r="G40" s="752"/>
      <c r="H40" s="753"/>
      <c r="I40" s="750" t="s">
        <v>783</v>
      </c>
      <c r="J40" s="749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5">
        <v>11438669.410000086</v>
      </c>
      <c r="D43" s="297">
        <v>11444895.810000001</v>
      </c>
      <c r="E43" s="297">
        <v>3954795.65</v>
      </c>
      <c r="F43" s="347">
        <f t="shared" ref="F43:F59" si="5">+E43/D43</f>
        <v>0.3455510400142297</v>
      </c>
      <c r="G43" s="369">
        <v>3567144.77</v>
      </c>
      <c r="H43" s="463">
        <f t="shared" ref="H43:H44" si="6">G43/E43</f>
        <v>0.90197954222995069</v>
      </c>
      <c r="I43" s="297">
        <v>5805008.8199999304</v>
      </c>
      <c r="J43" s="402">
        <v>0.96133807842682695</v>
      </c>
      <c r="K43" s="501">
        <f t="shared" ref="K43:K44" si="7">+E43/I43-1</f>
        <v>-0.31872702133120145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83631.41</v>
      </c>
      <c r="E44" s="297">
        <v>171396.93</v>
      </c>
      <c r="F44" s="347">
        <f t="shared" si="5"/>
        <v>2.049432503888192</v>
      </c>
      <c r="G44" s="297">
        <v>147935.51999999999</v>
      </c>
      <c r="H44" s="463">
        <f t="shared" si="6"/>
        <v>0.86311650972978338</v>
      </c>
      <c r="I44" s="297">
        <v>150000</v>
      </c>
      <c r="J44" s="402">
        <v>0.99893446989877466</v>
      </c>
      <c r="K44" s="501">
        <f t="shared" si="7"/>
        <v>0.14264619999999995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0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04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v>55432683.119999997</v>
      </c>
      <c r="E48" s="125">
        <v>32477776.91</v>
      </c>
      <c r="F48" s="316">
        <f t="shared" si="5"/>
        <v>0.58589581239812083</v>
      </c>
      <c r="G48" s="125">
        <v>32477776.91</v>
      </c>
      <c r="H48" s="314">
        <f t="shared" ref="H48" si="8">G48/E48</f>
        <v>1</v>
      </c>
      <c r="I48" s="125">
        <v>27258029.649999999</v>
      </c>
      <c r="J48" s="328">
        <v>0.60576795561226682</v>
      </c>
      <c r="K48" s="388">
        <f t="shared" ref="K48" si="9">+E48/I48-1</f>
        <v>0.19149393140380577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417</v>
      </c>
      <c r="C49" s="306">
        <v>0</v>
      </c>
      <c r="D49" s="284"/>
      <c r="E49" s="125"/>
      <c r="F49" s="316" t="s">
        <v>129</v>
      </c>
      <c r="G49" s="125"/>
      <c r="H49" s="704" t="s">
        <v>129</v>
      </c>
      <c r="I49" s="125"/>
      <c r="J49" s="328" t="s">
        <v>129</v>
      </c>
      <c r="K49" s="498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04" t="s">
        <v>129</v>
      </c>
      <c r="I50" s="125">
        <v>0</v>
      </c>
      <c r="J50" s="328" t="s">
        <v>129</v>
      </c>
      <c r="K50" s="498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195</v>
      </c>
      <c r="C52" s="306">
        <v>716307</v>
      </c>
      <c r="D52" s="125">
        <v>3457005.56</v>
      </c>
      <c r="E52" s="319">
        <v>4237652.78</v>
      </c>
      <c r="F52" s="378">
        <f t="shared" si="5"/>
        <v>1.2258160151758624</v>
      </c>
      <c r="G52" s="319">
        <v>4237652.78</v>
      </c>
      <c r="H52" s="371">
        <f t="shared" ref="H52" si="10">G52/E52</f>
        <v>1</v>
      </c>
      <c r="I52" s="319">
        <v>4250909.03</v>
      </c>
      <c r="J52" s="328">
        <v>3.427046778762652</v>
      </c>
      <c r="K52" s="501">
        <f t="shared" ref="K52:K53" si="11">+E52/I52-1</f>
        <v>-3.1184506434850379E-3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499" t="s">
        <v>129</v>
      </c>
      <c r="I53" s="302">
        <v>37291</v>
      </c>
      <c r="J53" s="403" t="s">
        <v>129</v>
      </c>
      <c r="K53" s="501">
        <f t="shared" si="11"/>
        <v>-1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05" t="s">
        <v>129</v>
      </c>
      <c r="I54" s="323">
        <v>0</v>
      </c>
      <c r="J54" s="336" t="s">
        <v>129</v>
      </c>
      <c r="K54" s="703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418</v>
      </c>
      <c r="C55" s="282">
        <v>0</v>
      </c>
      <c r="D55" s="283"/>
      <c r="E55" s="284"/>
      <c r="F55" s="374" t="s">
        <v>129</v>
      </c>
      <c r="G55" s="284"/>
      <c r="H55" s="706" t="s">
        <v>129</v>
      </c>
      <c r="I55" s="284"/>
      <c r="J55" s="335" t="s">
        <v>129</v>
      </c>
      <c r="K55" s="498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/>
      <c r="E56" s="284"/>
      <c r="F56" s="374" t="s">
        <v>129</v>
      </c>
      <c r="G56" s="284"/>
      <c r="H56" s="355" t="s">
        <v>129</v>
      </c>
      <c r="I56" s="284">
        <v>4036234.07</v>
      </c>
      <c r="J56" s="335">
        <v>7.1974816658978327E-2</v>
      </c>
      <c r="K56" s="388">
        <f t="shared" ref="K56:K58" si="12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396571.94</v>
      </c>
      <c r="J57" s="405">
        <v>0.88520522321428574</v>
      </c>
      <c r="K57" s="388">
        <f t="shared" si="12"/>
        <v>-1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1094802.58</v>
      </c>
      <c r="E58" s="302">
        <v>1997108.88</v>
      </c>
      <c r="F58" s="361">
        <f t="shared" si="5"/>
        <v>1.8241726101887701</v>
      </c>
      <c r="G58" s="302">
        <v>1997108.88</v>
      </c>
      <c r="H58" s="371">
        <f t="shared" ref="H58" si="13">G58/E58</f>
        <v>1</v>
      </c>
      <c r="I58" s="302">
        <v>773596.15</v>
      </c>
      <c r="J58" s="403">
        <v>1.2483446763934329</v>
      </c>
      <c r="K58" s="388">
        <f t="shared" si="12"/>
        <v>1.5815910278250476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3">
        <v>400</v>
      </c>
      <c r="D59" s="393">
        <v>538785.98</v>
      </c>
      <c r="E59" s="326">
        <v>609631.93999999994</v>
      </c>
      <c r="F59" s="381">
        <f t="shared" si="5"/>
        <v>1.1314918402293985</v>
      </c>
      <c r="G59" s="326">
        <v>583521.93999999994</v>
      </c>
      <c r="H59" s="356">
        <f t="shared" ref="H59" si="14">G59/E59</f>
        <v>0.95717087920294985</v>
      </c>
      <c r="I59" s="326">
        <v>97018.33</v>
      </c>
      <c r="J59" s="404">
        <v>0.43306223254253112</v>
      </c>
      <c r="K59" s="541">
        <f t="shared" ref="K59" si="15">+E59/I59-1</f>
        <v>5.2836779400346296</v>
      </c>
      <c r="L59" s="289" t="s">
        <v>759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78960481.520000011</v>
      </c>
      <c r="E60" s="84">
        <f>SUM(E43:E59)</f>
        <v>43448363.090000004</v>
      </c>
      <c r="F60" s="90">
        <f t="shared" si="0"/>
        <v>0.55025453560582593</v>
      </c>
      <c r="G60" s="84">
        <f>SUM(G43:G59)</f>
        <v>43011140.800000004</v>
      </c>
      <c r="H60" s="170">
        <f t="shared" si="4"/>
        <v>0.98993696749646642</v>
      </c>
      <c r="I60" s="84">
        <f>SUM(I43:I59)</f>
        <v>42804658.98999992</v>
      </c>
      <c r="J60" s="43">
        <v>0.36599999999999999</v>
      </c>
      <c r="K60" s="144">
        <f t="shared" si="2"/>
        <v>1.503817844105404E-2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1172727.82</v>
      </c>
      <c r="F61" s="374">
        <f t="shared" ref="F61:F66" si="16">+E61/D61</f>
        <v>0.31695346486486486</v>
      </c>
      <c r="G61" s="284">
        <v>1172727.82</v>
      </c>
      <c r="H61" s="355">
        <f t="shared" ref="H61:H66" si="17">+G61/E61</f>
        <v>1</v>
      </c>
      <c r="I61" s="284">
        <v>465486.87</v>
      </c>
      <c r="J61" s="335">
        <v>0.12580726216216215</v>
      </c>
      <c r="K61" s="285">
        <f t="shared" si="2"/>
        <v>1.5193574632942926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1055471.6299999999</v>
      </c>
      <c r="F62" s="374">
        <f t="shared" si="16"/>
        <v>0.7314375021656121</v>
      </c>
      <c r="G62" s="284">
        <v>622962.98</v>
      </c>
      <c r="H62" s="355">
        <f t="shared" si="17"/>
        <v>0.59022238238653557</v>
      </c>
      <c r="I62" s="284">
        <v>1158767.1100000001</v>
      </c>
      <c r="J62" s="335">
        <v>0.57321008241241833</v>
      </c>
      <c r="K62" s="285">
        <f t="shared" si="2"/>
        <v>-8.9142571538814441E-2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2690762.53</v>
      </c>
      <c r="F63" s="374">
        <f t="shared" si="16"/>
        <v>0.74764171436510141</v>
      </c>
      <c r="G63" s="284">
        <v>2587233.44</v>
      </c>
      <c r="H63" s="355">
        <f t="shared" si="17"/>
        <v>0.96152425609999859</v>
      </c>
      <c r="I63" s="284">
        <v>3374729.3</v>
      </c>
      <c r="J63" s="335">
        <v>1.1042962369109948</v>
      </c>
      <c r="K63" s="285">
        <f t="shared" si="2"/>
        <v>-0.2026730766227679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v>9373584.8100000005</v>
      </c>
      <c r="F64" s="374">
        <f t="shared" si="16"/>
        <v>0.30478227011550713</v>
      </c>
      <c r="G64" s="284">
        <v>4494404.8</v>
      </c>
      <c r="H64" s="355">
        <f t="shared" si="17"/>
        <v>0.47947555722814222</v>
      </c>
      <c r="I64" s="284">
        <v>18262690.149999999</v>
      </c>
      <c r="J64" s="335">
        <v>0.59503039535118385</v>
      </c>
      <c r="K64" s="285">
        <f t="shared" si="2"/>
        <v>-0.48673581312444258</v>
      </c>
      <c r="L64" s="289" t="s">
        <v>416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2122818.5600000001</v>
      </c>
      <c r="F65" s="374">
        <f t="shared" si="16"/>
        <v>0.81644983577302066</v>
      </c>
      <c r="G65" s="284">
        <v>1823541</v>
      </c>
      <c r="H65" s="355">
        <f t="shared" si="17"/>
        <v>0.85901877549063821</v>
      </c>
      <c r="I65" s="284">
        <v>1942114.59</v>
      </c>
      <c r="J65" s="335">
        <v>0.72846416032767702</v>
      </c>
      <c r="K65" s="285">
        <f t="shared" si="2"/>
        <v>9.3044957764309766E-2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7">
        <v>20.009999999999998</v>
      </c>
      <c r="D66" s="292">
        <v>20.010000000000002</v>
      </c>
      <c r="E66" s="294">
        <v>1242215.24</v>
      </c>
      <c r="F66" s="374">
        <f t="shared" si="16"/>
        <v>62079.722138930527</v>
      </c>
      <c r="G66" s="294">
        <v>1242215.24</v>
      </c>
      <c r="H66" s="355">
        <f t="shared" si="17"/>
        <v>1</v>
      </c>
      <c r="I66" s="292">
        <v>0</v>
      </c>
      <c r="J66" s="540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36" t="s">
        <v>42</v>
      </c>
      <c r="C67" s="515">
        <f>SUM(C61:C66)</f>
        <v>42097109.999999993</v>
      </c>
      <c r="D67" s="152">
        <f>SUM(D61:D66)</f>
        <v>42097109.999999993</v>
      </c>
      <c r="E67" s="84">
        <f>SUM(E61:E66)</f>
        <v>17657580.59</v>
      </c>
      <c r="F67" s="90">
        <f t="shared" si="0"/>
        <v>0.41944876002176879</v>
      </c>
      <c r="G67" s="84">
        <f>SUM(G61:G66)</f>
        <v>11943085.279999999</v>
      </c>
      <c r="H67" s="170">
        <f t="shared" si="4"/>
        <v>0.67637155719757636</v>
      </c>
      <c r="I67" s="84">
        <f>SUM(I61:I66)</f>
        <v>25203788.02</v>
      </c>
      <c r="J67" s="43">
        <v>0.59815858023621771</v>
      </c>
      <c r="K67" s="231">
        <f>+E67/I67-1</f>
        <v>-0.29940766935556851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2509875270.5499997</v>
      </c>
      <c r="E68" s="155">
        <f>+E11+E14+E38+E60+E67</f>
        <v>1600387282.7299995</v>
      </c>
      <c r="F68" s="181">
        <f t="shared" si="0"/>
        <v>0.63763618117138543</v>
      </c>
      <c r="G68" s="155">
        <f>+G11+G14+G38+G60+G67</f>
        <v>1410572416.0999999</v>
      </c>
      <c r="H68" s="173">
        <f t="shared" si="4"/>
        <v>0.88139441703997645</v>
      </c>
      <c r="I68" s="147">
        <f>+I11+I14+I38+I60+I67</f>
        <v>1623892874.6400001</v>
      </c>
      <c r="J68" s="183">
        <v>0.68951501593802578</v>
      </c>
      <c r="K68" s="146">
        <f t="shared" si="2"/>
        <v>-1.4474841460962451E-2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  <c r="G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81"/>
      <c r="O137" s="682">
        <v>0.58699999999999997</v>
      </c>
    </row>
    <row r="138" spans="12:15" x14ac:dyDescent="0.25">
      <c r="L138" s="681"/>
      <c r="O138" s="682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zoomScaleNormal="100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529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15005045.85</v>
      </c>
      <c r="E5" s="180">
        <v>11163914.449999999</v>
      </c>
      <c r="F5" s="48">
        <f>E5/D5</f>
        <v>0.74401068557881145</v>
      </c>
      <c r="G5" s="30">
        <v>11097436.33</v>
      </c>
      <c r="H5" s="48">
        <f>G5/D5</f>
        <v>0.73958030124912955</v>
      </c>
      <c r="I5" s="180">
        <v>11097436.33</v>
      </c>
      <c r="J5" s="153">
        <f>I5/D5</f>
        <v>0.73958030124912955</v>
      </c>
      <c r="K5" s="180">
        <v>9297654.0600000005</v>
      </c>
      <c r="L5" s="48">
        <v>0.74221024676308422</v>
      </c>
      <c r="M5" s="210">
        <f>+G5/K5-1</f>
        <v>0.19357380457323647</v>
      </c>
      <c r="N5" s="180">
        <v>9297654.0600000005</v>
      </c>
      <c r="O5" s="48">
        <v>0.74221024676308422</v>
      </c>
      <c r="P5" s="210">
        <f>+I5/N5-1</f>
        <v>0.19357380457323647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23181323.420000002</v>
      </c>
      <c r="E6" s="34">
        <v>20185447.829999998</v>
      </c>
      <c r="F6" s="48">
        <f>E6/D6</f>
        <v>0.87076339276577841</v>
      </c>
      <c r="G6" s="34">
        <v>18223132.93</v>
      </c>
      <c r="H6" s="48">
        <f>G6/D6</f>
        <v>0.78611270805521583</v>
      </c>
      <c r="I6" s="34">
        <v>8873423.5</v>
      </c>
      <c r="J6" s="153">
        <f>I6/D6</f>
        <v>0.38278330098894758</v>
      </c>
      <c r="K6" s="34">
        <v>8060365.7599999998</v>
      </c>
      <c r="L6" s="280">
        <v>0.65400025245049243</v>
      </c>
      <c r="M6" s="210">
        <f>+G6/K6-1</f>
        <v>1.2608320109284965</v>
      </c>
      <c r="N6" s="34">
        <v>4177781.67</v>
      </c>
      <c r="O6" s="280">
        <v>0.33897596563447263</v>
      </c>
      <c r="P6" s="210">
        <f>+I6/N6-1</f>
        <v>1.1239557738784374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35732109.759999998</v>
      </c>
      <c r="E8" s="34">
        <v>33380196.199999999</v>
      </c>
      <c r="F8" s="390">
        <f>E8/D8</f>
        <v>0.93417926968776899</v>
      </c>
      <c r="G8" s="34">
        <v>32287744.91</v>
      </c>
      <c r="H8" s="390">
        <f>G8/D8</f>
        <v>0.90360589192369034</v>
      </c>
      <c r="I8" s="34">
        <v>13998958.189999999</v>
      </c>
      <c r="J8" s="392">
        <f>I8/D8</f>
        <v>0.39177530473364358</v>
      </c>
      <c r="K8" s="34">
        <v>140129530.84999999</v>
      </c>
      <c r="L8" s="390">
        <v>0.98413709848130848</v>
      </c>
      <c r="M8" s="516">
        <f>+G8/K8-1</f>
        <v>-0.76958643396471482</v>
      </c>
      <c r="N8" s="34">
        <v>92917587.829999998</v>
      </c>
      <c r="O8" s="390">
        <v>0.6525651283510191</v>
      </c>
      <c r="P8" s="516">
        <f>+I8/N8-1</f>
        <v>-0.84934006018739761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73918479.030000001</v>
      </c>
      <c r="E9" s="84">
        <f>SUM(E5:E8)</f>
        <v>64729558.479999997</v>
      </c>
      <c r="F9" s="90">
        <f>E9/D9</f>
        <v>0.87568845205444967</v>
      </c>
      <c r="G9" s="84">
        <f t="shared" ref="G9:I9" si="0">SUM(G5:G8)</f>
        <v>61608314.170000002</v>
      </c>
      <c r="H9" s="90">
        <f>G9/D9</f>
        <v>0.83346295782136037</v>
      </c>
      <c r="I9" s="84">
        <f t="shared" si="0"/>
        <v>33969818.019999996</v>
      </c>
      <c r="J9" s="170">
        <f>I9/D9</f>
        <v>0.45955785976350055</v>
      </c>
      <c r="K9" s="84">
        <f t="shared" ref="K9" si="1">SUM(K5:K8)</f>
        <v>157487550.66999999</v>
      </c>
      <c r="L9" s="90">
        <v>0.941686376083676</v>
      </c>
      <c r="M9" s="213">
        <f>+G9/K9-1</f>
        <v>-0.60880517915289512</v>
      </c>
      <c r="N9" s="84">
        <f t="shared" ref="N9" si="2">SUM(N5:N8)</f>
        <v>106393023.56</v>
      </c>
      <c r="O9" s="90">
        <v>0.63600000000000001</v>
      </c>
      <c r="P9" s="213">
        <f>+I9/N9-1</f>
        <v>-0.68071385807695539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244628.71</v>
      </c>
      <c r="E10" s="30">
        <v>219204.38</v>
      </c>
      <c r="F10" s="390">
        <f>E10/D10</f>
        <v>0.89606972133401686</v>
      </c>
      <c r="G10" s="136">
        <v>219204.38</v>
      </c>
      <c r="H10" s="48">
        <f>G10/D10</f>
        <v>0.89606972133401686</v>
      </c>
      <c r="I10" s="136">
        <v>149473.29</v>
      </c>
      <c r="J10" s="513">
        <f>I10/D10</f>
        <v>0.61102104491333009</v>
      </c>
      <c r="K10" s="136">
        <v>130546.49</v>
      </c>
      <c r="L10" s="48">
        <v>0.11258364939962195</v>
      </c>
      <c r="M10" s="224">
        <f>+G10/K10-1</f>
        <v>0.67912886819094109</v>
      </c>
      <c r="N10" s="136">
        <v>0</v>
      </c>
      <c r="O10" s="417">
        <v>0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2">
        <v>484839</v>
      </c>
      <c r="E11" s="180">
        <v>450000</v>
      </c>
      <c r="F11" s="390">
        <f>E11/D11</f>
        <v>0.92814315680050496</v>
      </c>
      <c r="G11" s="180">
        <v>288925.90000000002</v>
      </c>
      <c r="H11" s="390">
        <f>G11/D11</f>
        <v>0.59592132646094897</v>
      </c>
      <c r="I11" s="137">
        <v>138925.9</v>
      </c>
      <c r="J11" s="392">
        <f>I11/D11</f>
        <v>0.28654027419411393</v>
      </c>
      <c r="K11" s="180">
        <v>4376793</v>
      </c>
      <c r="L11" s="390">
        <v>1</v>
      </c>
      <c r="M11" s="496">
        <f>+G11/K11-1</f>
        <v>-0.93398684836134582</v>
      </c>
      <c r="N11" s="137">
        <v>3000000</v>
      </c>
      <c r="O11" s="390">
        <v>0.68543337553318151</v>
      </c>
      <c r="P11" s="496">
        <f>+I11/N11-1</f>
        <v>-0.95369136666666665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729467.71</v>
      </c>
      <c r="E12" s="84">
        <f t="shared" si="3"/>
        <v>669204.38</v>
      </c>
      <c r="F12" s="90">
        <f>E12/D12</f>
        <v>0.91738725487931472</v>
      </c>
      <c r="G12" s="84">
        <f t="shared" si="3"/>
        <v>508130.28</v>
      </c>
      <c r="H12" s="90">
        <f>G12/D12</f>
        <v>0.69657679570217035</v>
      </c>
      <c r="I12" s="84">
        <f t="shared" si="3"/>
        <v>288399.19</v>
      </c>
      <c r="J12" s="170">
        <f>I12/D12</f>
        <v>0.39535566282981877</v>
      </c>
      <c r="K12" s="152">
        <f t="shared" ref="K12" si="4">SUM(K10:K11)</f>
        <v>4507339.49</v>
      </c>
      <c r="L12" s="90">
        <v>0.81413644837672894</v>
      </c>
      <c r="M12" s="225">
        <f>+G12/K12-1</f>
        <v>-0.88726602885641526</v>
      </c>
      <c r="N12" s="84">
        <f t="shared" ref="N12" si="5">SUM(N10:N11)</f>
        <v>3000000</v>
      </c>
      <c r="O12" s="90">
        <v>0.54200000000000004</v>
      </c>
      <c r="P12" s="225">
        <f>+I12/N12-1</f>
        <v>-0.90386693666666662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36" t="s">
        <v>129</v>
      </c>
      <c r="N15" s="84">
        <f t="shared" ref="N15" si="8">SUM(N13:N14)</f>
        <v>0</v>
      </c>
      <c r="O15" s="58" t="s">
        <v>129</v>
      </c>
      <c r="P15" s="63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74647946.739999995</v>
      </c>
      <c r="E16" s="155">
        <f t="shared" si="9"/>
        <v>65398762.859999999</v>
      </c>
      <c r="F16" s="181">
        <f>E16/D16</f>
        <v>0.87609593721023493</v>
      </c>
      <c r="G16" s="155">
        <f t="shared" si="9"/>
        <v>62116444.450000003</v>
      </c>
      <c r="H16" s="181">
        <f>G16/D16</f>
        <v>0.83212529162191939</v>
      </c>
      <c r="I16" s="155">
        <f t="shared" si="9"/>
        <v>34258217.209999993</v>
      </c>
      <c r="J16" s="173">
        <f>I16/D16</f>
        <v>0.4589304690365017</v>
      </c>
      <c r="K16" s="155">
        <f t="shared" ref="K16" si="10">+K9+K12+K15</f>
        <v>161994890.16</v>
      </c>
      <c r="L16" s="181">
        <v>0.93759923886154395</v>
      </c>
      <c r="M16" s="601">
        <f>+G16/K16-1</f>
        <v>-0.61655306294755041</v>
      </c>
      <c r="N16" s="155">
        <f t="shared" ref="N16" si="11">+N9+N12+N15</f>
        <v>109393023.56</v>
      </c>
      <c r="O16" s="181">
        <v>0.63314846243184086</v>
      </c>
      <c r="P16" s="601">
        <f>+I16/N16-1</f>
        <v>-0.68683361977640178</v>
      </c>
    </row>
    <row r="21" spans="10:14" x14ac:dyDescent="0.25">
      <c r="J21" s="97" t="s">
        <v>148</v>
      </c>
    </row>
    <row r="24" spans="10:14" x14ac:dyDescent="0.25">
      <c r="N24" s="684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7" t="s">
        <v>544</v>
      </c>
      <c r="M3" s="88" t="s">
        <v>545</v>
      </c>
      <c r="N3" s="217" t="s">
        <v>39</v>
      </c>
      <c r="O3" s="637" t="s">
        <v>40</v>
      </c>
      <c r="P3" s="605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638" t="s">
        <v>18</v>
      </c>
      <c r="P4" s="581" t="s">
        <v>764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43784111.530000001</v>
      </c>
      <c r="E5" s="30">
        <v>30938445.050000001</v>
      </c>
      <c r="F5" s="48">
        <f>E5/D5</f>
        <v>0.70661351729842903</v>
      </c>
      <c r="G5" s="30">
        <v>30938445.050000001</v>
      </c>
      <c r="H5" s="48">
        <f>G5/D5</f>
        <v>0.70661351729842903</v>
      </c>
      <c r="I5" s="30">
        <v>30936702.649999999</v>
      </c>
      <c r="J5" s="153">
        <f>I5/D5</f>
        <v>0.7065737220407633</v>
      </c>
      <c r="K5" s="30">
        <v>33273278.129999995</v>
      </c>
      <c r="L5" s="48">
        <v>0.70449254268524653</v>
      </c>
      <c r="M5" s="210">
        <f>+G5/K5-1</f>
        <v>-7.0171417161774996E-2</v>
      </c>
      <c r="N5" s="683">
        <v>33273278.129999995</v>
      </c>
      <c r="O5" s="48">
        <v>0.70449254268524653</v>
      </c>
      <c r="P5" s="210">
        <f>+I5/N5-1</f>
        <v>-7.0223783507922022E-2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182154745.68000001</v>
      </c>
      <c r="E6" s="32">
        <v>171255895.84</v>
      </c>
      <c r="F6" s="48">
        <f>E6/D6</f>
        <v>0.94016708266746707</v>
      </c>
      <c r="G6" s="32">
        <v>165593517.78</v>
      </c>
      <c r="H6" s="48">
        <f>G6/D6</f>
        <v>0.90908154581328393</v>
      </c>
      <c r="I6" s="32">
        <v>80943141.549999997</v>
      </c>
      <c r="J6" s="153">
        <f>I6/D6</f>
        <v>0.44436471445106734</v>
      </c>
      <c r="K6" s="32">
        <v>159046989.03</v>
      </c>
      <c r="L6" s="280">
        <v>0.92056756978429743</v>
      </c>
      <c r="M6" s="210">
        <f>+G6/K6-1</f>
        <v>4.1160972552364283E-2</v>
      </c>
      <c r="N6" s="32">
        <v>76780075.040000007</v>
      </c>
      <c r="O6" s="280">
        <v>0.44440481092098294</v>
      </c>
      <c r="P6" s="210">
        <f>+I6/N6-1</f>
        <v>5.4220662168292577E-2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108166461.43000001</v>
      </c>
      <c r="E8" s="34">
        <v>106246537.36</v>
      </c>
      <c r="F8" s="390">
        <f>E8/D8</f>
        <v>0.98225028308573736</v>
      </c>
      <c r="G8" s="34">
        <v>105743673.23999999</v>
      </c>
      <c r="H8" s="390">
        <f>G8/D8</f>
        <v>0.97760129934944828</v>
      </c>
      <c r="I8" s="34">
        <v>79681602.239999995</v>
      </c>
      <c r="J8" s="392">
        <f>I8/D8</f>
        <v>0.73665719657073181</v>
      </c>
      <c r="K8" s="34">
        <v>104432730.76000001</v>
      </c>
      <c r="L8" s="390">
        <v>0.9711644502848279</v>
      </c>
      <c r="M8" s="516">
        <f>+G8/K8-1</f>
        <v>1.2552984782258525E-2</v>
      </c>
      <c r="N8" s="34">
        <v>75328120.829999998</v>
      </c>
      <c r="O8" s="390">
        <v>0.70050828437090307</v>
      </c>
      <c r="P8" s="516">
        <f>+I8/N8-1</f>
        <v>5.779357512216321E-2</v>
      </c>
    </row>
    <row r="9" spans="1:16384" ht="15" customHeight="1" x14ac:dyDescent="0.25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16" t="s">
        <v>129</v>
      </c>
      <c r="N9" s="34"/>
      <c r="O9" s="390" t="s">
        <v>129</v>
      </c>
      <c r="P9" s="516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6"/>
      <c r="AD9" s="34"/>
      <c r="AE9" s="390"/>
      <c r="AF9" s="516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6"/>
      <c r="AT9" s="34"/>
      <c r="AU9" s="390"/>
      <c r="AV9" s="516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6"/>
      <c r="BJ9" s="34"/>
      <c r="BK9" s="390"/>
      <c r="BL9" s="516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6"/>
      <c r="BZ9" s="34"/>
      <c r="CA9" s="390"/>
      <c r="CB9" s="516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6"/>
      <c r="CP9" s="34"/>
      <c r="CQ9" s="390"/>
      <c r="CR9" s="516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6"/>
      <c r="DF9" s="34"/>
      <c r="DG9" s="390"/>
      <c r="DH9" s="516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6"/>
      <c r="DV9" s="34"/>
      <c r="DW9" s="390"/>
      <c r="DX9" s="516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6"/>
      <c r="EL9" s="34"/>
      <c r="EM9" s="390"/>
      <c r="EN9" s="516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6"/>
      <c r="FB9" s="34"/>
      <c r="FC9" s="390"/>
      <c r="FD9" s="516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6"/>
      <c r="FR9" s="34"/>
      <c r="FS9" s="390"/>
      <c r="FT9" s="516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6"/>
      <c r="GH9" s="34"/>
      <c r="GI9" s="390"/>
      <c r="GJ9" s="516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6"/>
      <c r="GX9" s="34"/>
      <c r="GY9" s="390"/>
      <c r="GZ9" s="516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6"/>
      <c r="HN9" s="34"/>
      <c r="HO9" s="390"/>
      <c r="HP9" s="516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6"/>
      <c r="ID9" s="34"/>
      <c r="IE9" s="390"/>
      <c r="IF9" s="516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6"/>
      <c r="IT9" s="34"/>
      <c r="IU9" s="390"/>
      <c r="IV9" s="516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6"/>
      <c r="JJ9" s="34"/>
      <c r="JK9" s="390"/>
      <c r="JL9" s="516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6"/>
      <c r="JZ9" s="34"/>
      <c r="KA9" s="390"/>
      <c r="KB9" s="516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6"/>
      <c r="KP9" s="34"/>
      <c r="KQ9" s="390"/>
      <c r="KR9" s="516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6"/>
      <c r="LF9" s="34"/>
      <c r="LG9" s="390"/>
      <c r="LH9" s="516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6"/>
      <c r="LV9" s="34"/>
      <c r="LW9" s="390"/>
      <c r="LX9" s="516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6"/>
      <c r="ML9" s="34"/>
      <c r="MM9" s="390"/>
      <c r="MN9" s="516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6"/>
      <c r="NB9" s="34"/>
      <c r="NC9" s="390"/>
      <c r="ND9" s="516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6"/>
      <c r="NR9" s="34"/>
      <c r="NS9" s="390"/>
      <c r="NT9" s="516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6"/>
      <c r="OH9" s="34"/>
      <c r="OI9" s="390"/>
      <c r="OJ9" s="516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6"/>
      <c r="OX9" s="34"/>
      <c r="OY9" s="390"/>
      <c r="OZ9" s="516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6"/>
      <c r="PN9" s="34"/>
      <c r="PO9" s="390"/>
      <c r="PP9" s="516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6"/>
      <c r="QD9" s="34"/>
      <c r="QE9" s="390"/>
      <c r="QF9" s="516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6"/>
      <c r="QT9" s="34"/>
      <c r="QU9" s="390"/>
      <c r="QV9" s="516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6"/>
      <c r="RJ9" s="34"/>
      <c r="RK9" s="390"/>
      <c r="RL9" s="516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6"/>
      <c r="RZ9" s="34"/>
      <c r="SA9" s="390"/>
      <c r="SB9" s="516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6"/>
      <c r="SP9" s="34"/>
      <c r="SQ9" s="390"/>
      <c r="SR9" s="516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6"/>
      <c r="TF9" s="34"/>
      <c r="TG9" s="390"/>
      <c r="TH9" s="516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6"/>
      <c r="TV9" s="34"/>
      <c r="TW9" s="390"/>
      <c r="TX9" s="516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6"/>
      <c r="UL9" s="34"/>
      <c r="UM9" s="390"/>
      <c r="UN9" s="516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6"/>
      <c r="VB9" s="34"/>
      <c r="VC9" s="390"/>
      <c r="VD9" s="516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6"/>
      <c r="VR9" s="34"/>
      <c r="VS9" s="390"/>
      <c r="VT9" s="516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6"/>
      <c r="WH9" s="34"/>
      <c r="WI9" s="390"/>
      <c r="WJ9" s="516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6"/>
      <c r="WX9" s="34"/>
      <c r="WY9" s="390"/>
      <c r="WZ9" s="516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6"/>
      <c r="XN9" s="34"/>
      <c r="XO9" s="390"/>
      <c r="XP9" s="516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6"/>
      <c r="YD9" s="34"/>
      <c r="YE9" s="390"/>
      <c r="YF9" s="516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6"/>
      <c r="YT9" s="34"/>
      <c r="YU9" s="390"/>
      <c r="YV9" s="516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6"/>
      <c r="ZJ9" s="34"/>
      <c r="ZK9" s="390"/>
      <c r="ZL9" s="516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6"/>
      <c r="ZZ9" s="34"/>
      <c r="AAA9" s="390"/>
      <c r="AAB9" s="516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6"/>
      <c r="AAP9" s="34"/>
      <c r="AAQ9" s="390"/>
      <c r="AAR9" s="516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6"/>
      <c r="ABF9" s="34"/>
      <c r="ABG9" s="390"/>
      <c r="ABH9" s="516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6"/>
      <c r="ABV9" s="34"/>
      <c r="ABW9" s="390"/>
      <c r="ABX9" s="516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6"/>
      <c r="ACL9" s="34"/>
      <c r="ACM9" s="390"/>
      <c r="ACN9" s="516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6"/>
      <c r="ADB9" s="34"/>
      <c r="ADC9" s="390"/>
      <c r="ADD9" s="516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6"/>
      <c r="ADR9" s="34"/>
      <c r="ADS9" s="390"/>
      <c r="ADT9" s="516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6"/>
      <c r="AEH9" s="34"/>
      <c r="AEI9" s="390"/>
      <c r="AEJ9" s="516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6"/>
      <c r="AEX9" s="34"/>
      <c r="AEY9" s="390"/>
      <c r="AEZ9" s="516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6"/>
      <c r="AFN9" s="34"/>
      <c r="AFO9" s="390"/>
      <c r="AFP9" s="516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6"/>
      <c r="AGD9" s="34"/>
      <c r="AGE9" s="390"/>
      <c r="AGF9" s="516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6"/>
      <c r="AGT9" s="34"/>
      <c r="AGU9" s="390"/>
      <c r="AGV9" s="516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6"/>
      <c r="AHJ9" s="34"/>
      <c r="AHK9" s="390"/>
      <c r="AHL9" s="516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6"/>
      <c r="AHZ9" s="34"/>
      <c r="AIA9" s="390"/>
      <c r="AIB9" s="516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6"/>
      <c r="AIP9" s="34"/>
      <c r="AIQ9" s="390"/>
      <c r="AIR9" s="516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6"/>
      <c r="AJF9" s="34"/>
      <c r="AJG9" s="390"/>
      <c r="AJH9" s="516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6"/>
      <c r="AJV9" s="34"/>
      <c r="AJW9" s="390"/>
      <c r="AJX9" s="516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6"/>
      <c r="AKL9" s="34"/>
      <c r="AKM9" s="390"/>
      <c r="AKN9" s="516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6"/>
      <c r="ALB9" s="34"/>
      <c r="ALC9" s="390"/>
      <c r="ALD9" s="516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6"/>
      <c r="ALR9" s="34"/>
      <c r="ALS9" s="390"/>
      <c r="ALT9" s="516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6"/>
      <c r="AMH9" s="34"/>
      <c r="AMI9" s="390"/>
      <c r="AMJ9" s="516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6"/>
      <c r="AMX9" s="34"/>
      <c r="AMY9" s="390"/>
      <c r="AMZ9" s="516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6"/>
      <c r="ANN9" s="34"/>
      <c r="ANO9" s="390"/>
      <c r="ANP9" s="516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6"/>
      <c r="AOD9" s="34"/>
      <c r="AOE9" s="390"/>
      <c r="AOF9" s="516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6"/>
      <c r="AOT9" s="34"/>
      <c r="AOU9" s="390"/>
      <c r="AOV9" s="516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6"/>
      <c r="APJ9" s="34"/>
      <c r="APK9" s="390"/>
      <c r="APL9" s="516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6"/>
      <c r="APZ9" s="34"/>
      <c r="AQA9" s="390"/>
      <c r="AQB9" s="516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6"/>
      <c r="AQP9" s="34"/>
      <c r="AQQ9" s="390"/>
      <c r="AQR9" s="516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6"/>
      <c r="ARF9" s="34"/>
      <c r="ARG9" s="390"/>
      <c r="ARH9" s="516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6"/>
      <c r="ARV9" s="34"/>
      <c r="ARW9" s="390"/>
      <c r="ARX9" s="516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6"/>
      <c r="ASL9" s="34"/>
      <c r="ASM9" s="390"/>
      <c r="ASN9" s="516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6"/>
      <c r="ATB9" s="34"/>
      <c r="ATC9" s="390"/>
      <c r="ATD9" s="516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6"/>
      <c r="ATR9" s="34"/>
      <c r="ATS9" s="390"/>
      <c r="ATT9" s="516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6"/>
      <c r="AUH9" s="34"/>
      <c r="AUI9" s="390"/>
      <c r="AUJ9" s="516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6"/>
      <c r="AUX9" s="34"/>
      <c r="AUY9" s="390"/>
      <c r="AUZ9" s="516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6"/>
      <c r="AVN9" s="34"/>
      <c r="AVO9" s="390"/>
      <c r="AVP9" s="516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6"/>
      <c r="AWD9" s="34"/>
      <c r="AWE9" s="390"/>
      <c r="AWF9" s="516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6"/>
      <c r="AWT9" s="34"/>
      <c r="AWU9" s="390"/>
      <c r="AWV9" s="516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6"/>
      <c r="AXJ9" s="34"/>
      <c r="AXK9" s="390"/>
      <c r="AXL9" s="516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6"/>
      <c r="AXZ9" s="34"/>
      <c r="AYA9" s="390"/>
      <c r="AYB9" s="516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6"/>
      <c r="AYP9" s="34"/>
      <c r="AYQ9" s="390"/>
      <c r="AYR9" s="516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6"/>
      <c r="AZF9" s="34"/>
      <c r="AZG9" s="390"/>
      <c r="AZH9" s="516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6"/>
      <c r="AZV9" s="34"/>
      <c r="AZW9" s="390"/>
      <c r="AZX9" s="516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6"/>
      <c r="BAL9" s="34"/>
      <c r="BAM9" s="390"/>
      <c r="BAN9" s="516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6"/>
      <c r="BBB9" s="34"/>
      <c r="BBC9" s="390"/>
      <c r="BBD9" s="516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6"/>
      <c r="BBR9" s="34"/>
      <c r="BBS9" s="390"/>
      <c r="BBT9" s="516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6"/>
      <c r="BCH9" s="34"/>
      <c r="BCI9" s="390"/>
      <c r="BCJ9" s="516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6"/>
      <c r="BCX9" s="34"/>
      <c r="BCY9" s="390"/>
      <c r="BCZ9" s="516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6"/>
      <c r="BDN9" s="34"/>
      <c r="BDO9" s="390"/>
      <c r="BDP9" s="516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6"/>
      <c r="BED9" s="34"/>
      <c r="BEE9" s="390"/>
      <c r="BEF9" s="516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6"/>
      <c r="BET9" s="34"/>
      <c r="BEU9" s="390"/>
      <c r="BEV9" s="516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6"/>
      <c r="BFJ9" s="34"/>
      <c r="BFK9" s="390"/>
      <c r="BFL9" s="516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6"/>
      <c r="BFZ9" s="34"/>
      <c r="BGA9" s="390"/>
      <c r="BGB9" s="516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6"/>
      <c r="BGP9" s="34"/>
      <c r="BGQ9" s="390"/>
      <c r="BGR9" s="516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6"/>
      <c r="BHF9" s="34"/>
      <c r="BHG9" s="390"/>
      <c r="BHH9" s="516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6"/>
      <c r="BHV9" s="34"/>
      <c r="BHW9" s="390"/>
      <c r="BHX9" s="516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6"/>
      <c r="BIL9" s="34"/>
      <c r="BIM9" s="390"/>
      <c r="BIN9" s="516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6"/>
      <c r="BJB9" s="34"/>
      <c r="BJC9" s="390"/>
      <c r="BJD9" s="516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6"/>
      <c r="BJR9" s="34"/>
      <c r="BJS9" s="390"/>
      <c r="BJT9" s="516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6"/>
      <c r="BKH9" s="34"/>
      <c r="BKI9" s="390"/>
      <c r="BKJ9" s="516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6"/>
      <c r="BKX9" s="34"/>
      <c r="BKY9" s="390"/>
      <c r="BKZ9" s="516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6"/>
      <c r="BLN9" s="34"/>
      <c r="BLO9" s="390"/>
      <c r="BLP9" s="516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6"/>
      <c r="BMD9" s="34"/>
      <c r="BME9" s="390"/>
      <c r="BMF9" s="516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6"/>
      <c r="BMT9" s="34"/>
      <c r="BMU9" s="390"/>
      <c r="BMV9" s="516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6"/>
      <c r="BNJ9" s="34"/>
      <c r="BNK9" s="390"/>
      <c r="BNL9" s="516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6"/>
      <c r="BNZ9" s="34"/>
      <c r="BOA9" s="390"/>
      <c r="BOB9" s="516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6"/>
      <c r="BOP9" s="34"/>
      <c r="BOQ9" s="390"/>
      <c r="BOR9" s="516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6"/>
      <c r="BPF9" s="34"/>
      <c r="BPG9" s="390"/>
      <c r="BPH9" s="516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6"/>
      <c r="BPV9" s="34"/>
      <c r="BPW9" s="390"/>
      <c r="BPX9" s="516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6"/>
      <c r="BQL9" s="34"/>
      <c r="BQM9" s="390"/>
      <c r="BQN9" s="516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6"/>
      <c r="BRB9" s="34"/>
      <c r="BRC9" s="390"/>
      <c r="BRD9" s="516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6"/>
      <c r="BRR9" s="34"/>
      <c r="BRS9" s="390"/>
      <c r="BRT9" s="516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6"/>
      <c r="BSH9" s="34"/>
      <c r="BSI9" s="390"/>
      <c r="BSJ9" s="516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6"/>
      <c r="BSX9" s="34"/>
      <c r="BSY9" s="390"/>
      <c r="BSZ9" s="516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6"/>
      <c r="BTN9" s="34"/>
      <c r="BTO9" s="390"/>
      <c r="BTP9" s="516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6"/>
      <c r="BUD9" s="34"/>
      <c r="BUE9" s="390"/>
      <c r="BUF9" s="516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6"/>
      <c r="BUT9" s="34"/>
      <c r="BUU9" s="390"/>
      <c r="BUV9" s="516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6"/>
      <c r="BVJ9" s="34"/>
      <c r="BVK9" s="390"/>
      <c r="BVL9" s="516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6"/>
      <c r="BVZ9" s="34"/>
      <c r="BWA9" s="390"/>
      <c r="BWB9" s="516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6"/>
      <c r="BWP9" s="34"/>
      <c r="BWQ9" s="390"/>
      <c r="BWR9" s="516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6"/>
      <c r="BXF9" s="34"/>
      <c r="BXG9" s="390"/>
      <c r="BXH9" s="516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6"/>
      <c r="BXV9" s="34"/>
      <c r="BXW9" s="390"/>
      <c r="BXX9" s="516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6"/>
      <c r="BYL9" s="34"/>
      <c r="BYM9" s="390"/>
      <c r="BYN9" s="516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6"/>
      <c r="BZB9" s="34"/>
      <c r="BZC9" s="390"/>
      <c r="BZD9" s="516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6"/>
      <c r="BZR9" s="34"/>
      <c r="BZS9" s="390"/>
      <c r="BZT9" s="516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6"/>
      <c r="CAH9" s="34"/>
      <c r="CAI9" s="390"/>
      <c r="CAJ9" s="516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6"/>
      <c r="CAX9" s="34"/>
      <c r="CAY9" s="390"/>
      <c r="CAZ9" s="516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6"/>
      <c r="CBN9" s="34"/>
      <c r="CBO9" s="390"/>
      <c r="CBP9" s="516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6"/>
      <c r="CCD9" s="34"/>
      <c r="CCE9" s="390"/>
      <c r="CCF9" s="516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6"/>
      <c r="CCT9" s="34"/>
      <c r="CCU9" s="390"/>
      <c r="CCV9" s="516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6"/>
      <c r="CDJ9" s="34"/>
      <c r="CDK9" s="390"/>
      <c r="CDL9" s="516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6"/>
      <c r="CDZ9" s="34"/>
      <c r="CEA9" s="390"/>
      <c r="CEB9" s="516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6"/>
      <c r="CEP9" s="34"/>
      <c r="CEQ9" s="390"/>
      <c r="CER9" s="516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6"/>
      <c r="CFF9" s="34"/>
      <c r="CFG9" s="390"/>
      <c r="CFH9" s="516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6"/>
      <c r="CFV9" s="34"/>
      <c r="CFW9" s="390"/>
      <c r="CFX9" s="516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6"/>
      <c r="CGL9" s="34"/>
      <c r="CGM9" s="390"/>
      <c r="CGN9" s="516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6"/>
      <c r="CHB9" s="34"/>
      <c r="CHC9" s="390"/>
      <c r="CHD9" s="516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6"/>
      <c r="CHR9" s="34"/>
      <c r="CHS9" s="390"/>
      <c r="CHT9" s="516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6"/>
      <c r="CIH9" s="34"/>
      <c r="CII9" s="390"/>
      <c r="CIJ9" s="516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6"/>
      <c r="CIX9" s="34"/>
      <c r="CIY9" s="390"/>
      <c r="CIZ9" s="516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6"/>
      <c r="CJN9" s="34"/>
      <c r="CJO9" s="390"/>
      <c r="CJP9" s="516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6"/>
      <c r="CKD9" s="34"/>
      <c r="CKE9" s="390"/>
      <c r="CKF9" s="516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6"/>
      <c r="CKT9" s="34"/>
      <c r="CKU9" s="390"/>
      <c r="CKV9" s="516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6"/>
      <c r="CLJ9" s="34"/>
      <c r="CLK9" s="390"/>
      <c r="CLL9" s="516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6"/>
      <c r="CLZ9" s="34"/>
      <c r="CMA9" s="390"/>
      <c r="CMB9" s="516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6"/>
      <c r="CMP9" s="34"/>
      <c r="CMQ9" s="390"/>
      <c r="CMR9" s="516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6"/>
      <c r="CNF9" s="34"/>
      <c r="CNG9" s="390"/>
      <c r="CNH9" s="516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6"/>
      <c r="CNV9" s="34"/>
      <c r="CNW9" s="390"/>
      <c r="CNX9" s="516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6"/>
      <c r="COL9" s="34"/>
      <c r="COM9" s="390"/>
      <c r="CON9" s="516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6"/>
      <c r="CPB9" s="34"/>
      <c r="CPC9" s="390"/>
      <c r="CPD9" s="516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6"/>
      <c r="CPR9" s="34"/>
      <c r="CPS9" s="390"/>
      <c r="CPT9" s="516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6"/>
      <c r="CQH9" s="34"/>
      <c r="CQI9" s="390"/>
      <c r="CQJ9" s="516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6"/>
      <c r="CQX9" s="34"/>
      <c r="CQY9" s="390"/>
      <c r="CQZ9" s="516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6"/>
      <c r="CRN9" s="34"/>
      <c r="CRO9" s="390"/>
      <c r="CRP9" s="516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6"/>
      <c r="CSD9" s="34"/>
      <c r="CSE9" s="390"/>
      <c r="CSF9" s="516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6"/>
      <c r="CST9" s="34"/>
      <c r="CSU9" s="390"/>
      <c r="CSV9" s="516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6"/>
      <c r="CTJ9" s="34"/>
      <c r="CTK9" s="390"/>
      <c r="CTL9" s="516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6"/>
      <c r="CTZ9" s="34"/>
      <c r="CUA9" s="390"/>
      <c r="CUB9" s="516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6"/>
      <c r="CUP9" s="34"/>
      <c r="CUQ9" s="390"/>
      <c r="CUR9" s="516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6"/>
      <c r="CVF9" s="34"/>
      <c r="CVG9" s="390"/>
      <c r="CVH9" s="516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6"/>
      <c r="CVV9" s="34"/>
      <c r="CVW9" s="390"/>
      <c r="CVX9" s="516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6"/>
      <c r="CWL9" s="34"/>
      <c r="CWM9" s="390"/>
      <c r="CWN9" s="516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6"/>
      <c r="CXB9" s="34"/>
      <c r="CXC9" s="390"/>
      <c r="CXD9" s="516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6"/>
      <c r="CXR9" s="34"/>
      <c r="CXS9" s="390"/>
      <c r="CXT9" s="516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6"/>
      <c r="CYH9" s="34"/>
      <c r="CYI9" s="390"/>
      <c r="CYJ9" s="516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6"/>
      <c r="CYX9" s="34"/>
      <c r="CYY9" s="390"/>
      <c r="CYZ9" s="516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6"/>
      <c r="CZN9" s="34"/>
      <c r="CZO9" s="390"/>
      <c r="CZP9" s="516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6"/>
      <c r="DAD9" s="34"/>
      <c r="DAE9" s="390"/>
      <c r="DAF9" s="516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6"/>
      <c r="DAT9" s="34"/>
      <c r="DAU9" s="390"/>
      <c r="DAV9" s="516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6"/>
      <c r="DBJ9" s="34"/>
      <c r="DBK9" s="390"/>
      <c r="DBL9" s="516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6"/>
      <c r="DBZ9" s="34"/>
      <c r="DCA9" s="390"/>
      <c r="DCB9" s="516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6"/>
      <c r="DCP9" s="34"/>
      <c r="DCQ9" s="390"/>
      <c r="DCR9" s="516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6"/>
      <c r="DDF9" s="34"/>
      <c r="DDG9" s="390"/>
      <c r="DDH9" s="516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6"/>
      <c r="DDV9" s="34"/>
      <c r="DDW9" s="390"/>
      <c r="DDX9" s="516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6"/>
      <c r="DEL9" s="34"/>
      <c r="DEM9" s="390"/>
      <c r="DEN9" s="516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6"/>
      <c r="DFB9" s="34"/>
      <c r="DFC9" s="390"/>
      <c r="DFD9" s="516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6"/>
      <c r="DFR9" s="34"/>
      <c r="DFS9" s="390"/>
      <c r="DFT9" s="516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6"/>
      <c r="DGH9" s="34"/>
      <c r="DGI9" s="390"/>
      <c r="DGJ9" s="516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6"/>
      <c r="DGX9" s="34"/>
      <c r="DGY9" s="390"/>
      <c r="DGZ9" s="516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6"/>
      <c r="DHN9" s="34"/>
      <c r="DHO9" s="390"/>
      <c r="DHP9" s="516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6"/>
      <c r="DID9" s="34"/>
      <c r="DIE9" s="390"/>
      <c r="DIF9" s="516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6"/>
      <c r="DIT9" s="34"/>
      <c r="DIU9" s="390"/>
      <c r="DIV9" s="516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6"/>
      <c r="DJJ9" s="34"/>
      <c r="DJK9" s="390"/>
      <c r="DJL9" s="516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6"/>
      <c r="DJZ9" s="34"/>
      <c r="DKA9" s="390"/>
      <c r="DKB9" s="516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6"/>
      <c r="DKP9" s="34"/>
      <c r="DKQ9" s="390"/>
      <c r="DKR9" s="516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6"/>
      <c r="DLF9" s="34"/>
      <c r="DLG9" s="390"/>
      <c r="DLH9" s="516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6"/>
      <c r="DLV9" s="34"/>
      <c r="DLW9" s="390"/>
      <c r="DLX9" s="516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6"/>
      <c r="DML9" s="34"/>
      <c r="DMM9" s="390"/>
      <c r="DMN9" s="516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6"/>
      <c r="DNB9" s="34"/>
      <c r="DNC9" s="390"/>
      <c r="DND9" s="516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6"/>
      <c r="DNR9" s="34"/>
      <c r="DNS9" s="390"/>
      <c r="DNT9" s="516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6"/>
      <c r="DOH9" s="34"/>
      <c r="DOI9" s="390"/>
      <c r="DOJ9" s="516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6"/>
      <c r="DOX9" s="34"/>
      <c r="DOY9" s="390"/>
      <c r="DOZ9" s="516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6"/>
      <c r="DPN9" s="34"/>
      <c r="DPO9" s="390"/>
      <c r="DPP9" s="516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6"/>
      <c r="DQD9" s="34"/>
      <c r="DQE9" s="390"/>
      <c r="DQF9" s="516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6"/>
      <c r="DQT9" s="34"/>
      <c r="DQU9" s="390"/>
      <c r="DQV9" s="516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6"/>
      <c r="DRJ9" s="34"/>
      <c r="DRK9" s="390"/>
      <c r="DRL9" s="516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6"/>
      <c r="DRZ9" s="34"/>
      <c r="DSA9" s="390"/>
      <c r="DSB9" s="516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6"/>
      <c r="DSP9" s="34"/>
      <c r="DSQ9" s="390"/>
      <c r="DSR9" s="516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6"/>
      <c r="DTF9" s="34"/>
      <c r="DTG9" s="390"/>
      <c r="DTH9" s="516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6"/>
      <c r="DTV9" s="34"/>
      <c r="DTW9" s="390"/>
      <c r="DTX9" s="516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6"/>
      <c r="DUL9" s="34"/>
      <c r="DUM9" s="390"/>
      <c r="DUN9" s="516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6"/>
      <c r="DVB9" s="34"/>
      <c r="DVC9" s="390"/>
      <c r="DVD9" s="516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6"/>
      <c r="DVR9" s="34"/>
      <c r="DVS9" s="390"/>
      <c r="DVT9" s="516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6"/>
      <c r="DWH9" s="34"/>
      <c r="DWI9" s="390"/>
      <c r="DWJ9" s="516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6"/>
      <c r="DWX9" s="34"/>
      <c r="DWY9" s="390"/>
      <c r="DWZ9" s="516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6"/>
      <c r="DXN9" s="34"/>
      <c r="DXO9" s="390"/>
      <c r="DXP9" s="516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6"/>
      <c r="DYD9" s="34"/>
      <c r="DYE9" s="390"/>
      <c r="DYF9" s="516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6"/>
      <c r="DYT9" s="34"/>
      <c r="DYU9" s="390"/>
      <c r="DYV9" s="516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6"/>
      <c r="DZJ9" s="34"/>
      <c r="DZK9" s="390"/>
      <c r="DZL9" s="516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6"/>
      <c r="DZZ9" s="34"/>
      <c r="EAA9" s="390"/>
      <c r="EAB9" s="516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6"/>
      <c r="EAP9" s="34"/>
      <c r="EAQ9" s="390"/>
      <c r="EAR9" s="516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6"/>
      <c r="EBF9" s="34"/>
      <c r="EBG9" s="390"/>
      <c r="EBH9" s="516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6"/>
      <c r="EBV9" s="34"/>
      <c r="EBW9" s="390"/>
      <c r="EBX9" s="516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6"/>
      <c r="ECL9" s="34"/>
      <c r="ECM9" s="390"/>
      <c r="ECN9" s="516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6"/>
      <c r="EDB9" s="34"/>
      <c r="EDC9" s="390"/>
      <c r="EDD9" s="516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6"/>
      <c r="EDR9" s="34"/>
      <c r="EDS9" s="390"/>
      <c r="EDT9" s="516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6"/>
      <c r="EEH9" s="34"/>
      <c r="EEI9" s="390"/>
      <c r="EEJ9" s="516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6"/>
      <c r="EEX9" s="34"/>
      <c r="EEY9" s="390"/>
      <c r="EEZ9" s="516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6"/>
      <c r="EFN9" s="34"/>
      <c r="EFO9" s="390"/>
      <c r="EFP9" s="516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6"/>
      <c r="EGD9" s="34"/>
      <c r="EGE9" s="390"/>
      <c r="EGF9" s="516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6"/>
      <c r="EGT9" s="34"/>
      <c r="EGU9" s="390"/>
      <c r="EGV9" s="516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6"/>
      <c r="EHJ9" s="34"/>
      <c r="EHK9" s="390"/>
      <c r="EHL9" s="516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6"/>
      <c r="EHZ9" s="34"/>
      <c r="EIA9" s="390"/>
      <c r="EIB9" s="516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6"/>
      <c r="EIP9" s="34"/>
      <c r="EIQ9" s="390"/>
      <c r="EIR9" s="516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6"/>
      <c r="EJF9" s="34"/>
      <c r="EJG9" s="390"/>
      <c r="EJH9" s="516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6"/>
      <c r="EJV9" s="34"/>
      <c r="EJW9" s="390"/>
      <c r="EJX9" s="516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6"/>
      <c r="EKL9" s="34"/>
      <c r="EKM9" s="390"/>
      <c r="EKN9" s="516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6"/>
      <c r="ELB9" s="34"/>
      <c r="ELC9" s="390"/>
      <c r="ELD9" s="516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6"/>
      <c r="ELR9" s="34"/>
      <c r="ELS9" s="390"/>
      <c r="ELT9" s="516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6"/>
      <c r="EMH9" s="34"/>
      <c r="EMI9" s="390"/>
      <c r="EMJ9" s="516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6"/>
      <c r="EMX9" s="34"/>
      <c r="EMY9" s="390"/>
      <c r="EMZ9" s="516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6"/>
      <c r="ENN9" s="34"/>
      <c r="ENO9" s="390"/>
      <c r="ENP9" s="516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6"/>
      <c r="EOD9" s="34"/>
      <c r="EOE9" s="390"/>
      <c r="EOF9" s="516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6"/>
      <c r="EOT9" s="34"/>
      <c r="EOU9" s="390"/>
      <c r="EOV9" s="516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6"/>
      <c r="EPJ9" s="34"/>
      <c r="EPK9" s="390"/>
      <c r="EPL9" s="516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6"/>
      <c r="EPZ9" s="34"/>
      <c r="EQA9" s="390"/>
      <c r="EQB9" s="516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6"/>
      <c r="EQP9" s="34"/>
      <c r="EQQ9" s="390"/>
      <c r="EQR9" s="516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6"/>
      <c r="ERF9" s="34"/>
      <c r="ERG9" s="390"/>
      <c r="ERH9" s="516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6"/>
      <c r="ERV9" s="34"/>
      <c r="ERW9" s="390"/>
      <c r="ERX9" s="516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6"/>
      <c r="ESL9" s="34"/>
      <c r="ESM9" s="390"/>
      <c r="ESN9" s="516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6"/>
      <c r="ETB9" s="34"/>
      <c r="ETC9" s="390"/>
      <c r="ETD9" s="516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6"/>
      <c r="ETR9" s="34"/>
      <c r="ETS9" s="390"/>
      <c r="ETT9" s="516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6"/>
      <c r="EUH9" s="34"/>
      <c r="EUI9" s="390"/>
      <c r="EUJ9" s="516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6"/>
      <c r="EUX9" s="34"/>
      <c r="EUY9" s="390"/>
      <c r="EUZ9" s="516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6"/>
      <c r="EVN9" s="34"/>
      <c r="EVO9" s="390"/>
      <c r="EVP9" s="516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6"/>
      <c r="EWD9" s="34"/>
      <c r="EWE9" s="390"/>
      <c r="EWF9" s="516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6"/>
      <c r="EWT9" s="34"/>
      <c r="EWU9" s="390"/>
      <c r="EWV9" s="516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6"/>
      <c r="EXJ9" s="34"/>
      <c r="EXK9" s="390"/>
      <c r="EXL9" s="516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6"/>
      <c r="EXZ9" s="34"/>
      <c r="EYA9" s="390"/>
      <c r="EYB9" s="516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6"/>
      <c r="EYP9" s="34"/>
      <c r="EYQ9" s="390"/>
      <c r="EYR9" s="516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6"/>
      <c r="EZF9" s="34"/>
      <c r="EZG9" s="390"/>
      <c r="EZH9" s="516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6"/>
      <c r="EZV9" s="34"/>
      <c r="EZW9" s="390"/>
      <c r="EZX9" s="516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6"/>
      <c r="FAL9" s="34"/>
      <c r="FAM9" s="390"/>
      <c r="FAN9" s="516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6"/>
      <c r="FBB9" s="34"/>
      <c r="FBC9" s="390"/>
      <c r="FBD9" s="516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6"/>
      <c r="FBR9" s="34"/>
      <c r="FBS9" s="390"/>
      <c r="FBT9" s="516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6"/>
      <c r="FCH9" s="34"/>
      <c r="FCI9" s="390"/>
      <c r="FCJ9" s="516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6"/>
      <c r="FCX9" s="34"/>
      <c r="FCY9" s="390"/>
      <c r="FCZ9" s="516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6"/>
      <c r="FDN9" s="34"/>
      <c r="FDO9" s="390"/>
      <c r="FDP9" s="516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6"/>
      <c r="FED9" s="34"/>
      <c r="FEE9" s="390"/>
      <c r="FEF9" s="516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6"/>
      <c r="FET9" s="34"/>
      <c r="FEU9" s="390"/>
      <c r="FEV9" s="516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6"/>
      <c r="FFJ9" s="34"/>
      <c r="FFK9" s="390"/>
      <c r="FFL9" s="516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6"/>
      <c r="FFZ9" s="34"/>
      <c r="FGA9" s="390"/>
      <c r="FGB9" s="516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6"/>
      <c r="FGP9" s="34"/>
      <c r="FGQ9" s="390"/>
      <c r="FGR9" s="516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6"/>
      <c r="FHF9" s="34"/>
      <c r="FHG9" s="390"/>
      <c r="FHH9" s="516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6"/>
      <c r="FHV9" s="34"/>
      <c r="FHW9" s="390"/>
      <c r="FHX9" s="516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6"/>
      <c r="FIL9" s="34"/>
      <c r="FIM9" s="390"/>
      <c r="FIN9" s="516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6"/>
      <c r="FJB9" s="34"/>
      <c r="FJC9" s="390"/>
      <c r="FJD9" s="516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6"/>
      <c r="FJR9" s="34"/>
      <c r="FJS9" s="390"/>
      <c r="FJT9" s="516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6"/>
      <c r="FKH9" s="34"/>
      <c r="FKI9" s="390"/>
      <c r="FKJ9" s="516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6"/>
      <c r="FKX9" s="34"/>
      <c r="FKY9" s="390"/>
      <c r="FKZ9" s="516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6"/>
      <c r="FLN9" s="34"/>
      <c r="FLO9" s="390"/>
      <c r="FLP9" s="516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6"/>
      <c r="FMD9" s="34"/>
      <c r="FME9" s="390"/>
      <c r="FMF9" s="516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6"/>
      <c r="FMT9" s="34"/>
      <c r="FMU9" s="390"/>
      <c r="FMV9" s="516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6"/>
      <c r="FNJ9" s="34"/>
      <c r="FNK9" s="390"/>
      <c r="FNL9" s="516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6"/>
      <c r="FNZ9" s="34"/>
      <c r="FOA9" s="390"/>
      <c r="FOB9" s="516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6"/>
      <c r="FOP9" s="34"/>
      <c r="FOQ9" s="390"/>
      <c r="FOR9" s="516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6"/>
      <c r="FPF9" s="34"/>
      <c r="FPG9" s="390"/>
      <c r="FPH9" s="516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6"/>
      <c r="FPV9" s="34"/>
      <c r="FPW9" s="390"/>
      <c r="FPX9" s="516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6"/>
      <c r="FQL9" s="34"/>
      <c r="FQM9" s="390"/>
      <c r="FQN9" s="516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6"/>
      <c r="FRB9" s="34"/>
      <c r="FRC9" s="390"/>
      <c r="FRD9" s="516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6"/>
      <c r="FRR9" s="34"/>
      <c r="FRS9" s="390"/>
      <c r="FRT9" s="516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6"/>
      <c r="FSH9" s="34"/>
      <c r="FSI9" s="390"/>
      <c r="FSJ9" s="516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6"/>
      <c r="FSX9" s="34"/>
      <c r="FSY9" s="390"/>
      <c r="FSZ9" s="516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6"/>
      <c r="FTN9" s="34"/>
      <c r="FTO9" s="390"/>
      <c r="FTP9" s="516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6"/>
      <c r="FUD9" s="34"/>
      <c r="FUE9" s="390"/>
      <c r="FUF9" s="516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6"/>
      <c r="FUT9" s="34"/>
      <c r="FUU9" s="390"/>
      <c r="FUV9" s="516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6"/>
      <c r="FVJ9" s="34"/>
      <c r="FVK9" s="390"/>
      <c r="FVL9" s="516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6"/>
      <c r="FVZ9" s="34"/>
      <c r="FWA9" s="390"/>
      <c r="FWB9" s="516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6"/>
      <c r="FWP9" s="34"/>
      <c r="FWQ9" s="390"/>
      <c r="FWR9" s="516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6"/>
      <c r="FXF9" s="34"/>
      <c r="FXG9" s="390"/>
      <c r="FXH9" s="516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6"/>
      <c r="FXV9" s="34"/>
      <c r="FXW9" s="390"/>
      <c r="FXX9" s="516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6"/>
      <c r="FYL9" s="34"/>
      <c r="FYM9" s="390"/>
      <c r="FYN9" s="516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6"/>
      <c r="FZB9" s="34"/>
      <c r="FZC9" s="390"/>
      <c r="FZD9" s="516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6"/>
      <c r="FZR9" s="34"/>
      <c r="FZS9" s="390"/>
      <c r="FZT9" s="516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6"/>
      <c r="GAH9" s="34"/>
      <c r="GAI9" s="390"/>
      <c r="GAJ9" s="516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6"/>
      <c r="GAX9" s="34"/>
      <c r="GAY9" s="390"/>
      <c r="GAZ9" s="516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6"/>
      <c r="GBN9" s="34"/>
      <c r="GBO9" s="390"/>
      <c r="GBP9" s="516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6"/>
      <c r="GCD9" s="34"/>
      <c r="GCE9" s="390"/>
      <c r="GCF9" s="516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6"/>
      <c r="GCT9" s="34"/>
      <c r="GCU9" s="390"/>
      <c r="GCV9" s="516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6"/>
      <c r="GDJ9" s="34"/>
      <c r="GDK9" s="390"/>
      <c r="GDL9" s="516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6"/>
      <c r="GDZ9" s="34"/>
      <c r="GEA9" s="390"/>
      <c r="GEB9" s="516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6"/>
      <c r="GEP9" s="34"/>
      <c r="GEQ9" s="390"/>
      <c r="GER9" s="516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6"/>
      <c r="GFF9" s="34"/>
      <c r="GFG9" s="390"/>
      <c r="GFH9" s="516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6"/>
      <c r="GFV9" s="34"/>
      <c r="GFW9" s="390"/>
      <c r="GFX9" s="516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6"/>
      <c r="GGL9" s="34"/>
      <c r="GGM9" s="390"/>
      <c r="GGN9" s="516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6"/>
      <c r="GHB9" s="34"/>
      <c r="GHC9" s="390"/>
      <c r="GHD9" s="516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6"/>
      <c r="GHR9" s="34"/>
      <c r="GHS9" s="390"/>
      <c r="GHT9" s="516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6"/>
      <c r="GIH9" s="34"/>
      <c r="GII9" s="390"/>
      <c r="GIJ9" s="516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6"/>
      <c r="GIX9" s="34"/>
      <c r="GIY9" s="390"/>
      <c r="GIZ9" s="516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6"/>
      <c r="GJN9" s="34"/>
      <c r="GJO9" s="390"/>
      <c r="GJP9" s="516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6"/>
      <c r="GKD9" s="34"/>
      <c r="GKE9" s="390"/>
      <c r="GKF9" s="516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6"/>
      <c r="GKT9" s="34"/>
      <c r="GKU9" s="390"/>
      <c r="GKV9" s="516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6"/>
      <c r="GLJ9" s="34"/>
      <c r="GLK9" s="390"/>
      <c r="GLL9" s="516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6"/>
      <c r="GLZ9" s="34"/>
      <c r="GMA9" s="390"/>
      <c r="GMB9" s="516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6"/>
      <c r="GMP9" s="34"/>
      <c r="GMQ9" s="390"/>
      <c r="GMR9" s="516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6"/>
      <c r="GNF9" s="34"/>
      <c r="GNG9" s="390"/>
      <c r="GNH9" s="516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6"/>
      <c r="GNV9" s="34"/>
      <c r="GNW9" s="390"/>
      <c r="GNX9" s="516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6"/>
      <c r="GOL9" s="34"/>
      <c r="GOM9" s="390"/>
      <c r="GON9" s="516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6"/>
      <c r="GPB9" s="34"/>
      <c r="GPC9" s="390"/>
      <c r="GPD9" s="516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6"/>
      <c r="GPR9" s="34"/>
      <c r="GPS9" s="390"/>
      <c r="GPT9" s="516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6"/>
      <c r="GQH9" s="34"/>
      <c r="GQI9" s="390"/>
      <c r="GQJ9" s="516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6"/>
      <c r="GQX9" s="34"/>
      <c r="GQY9" s="390"/>
      <c r="GQZ9" s="516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6"/>
      <c r="GRN9" s="34"/>
      <c r="GRO9" s="390"/>
      <c r="GRP9" s="516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6"/>
      <c r="GSD9" s="34"/>
      <c r="GSE9" s="390"/>
      <c r="GSF9" s="516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6"/>
      <c r="GST9" s="34"/>
      <c r="GSU9" s="390"/>
      <c r="GSV9" s="516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6"/>
      <c r="GTJ9" s="34"/>
      <c r="GTK9" s="390"/>
      <c r="GTL9" s="516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6"/>
      <c r="GTZ9" s="34"/>
      <c r="GUA9" s="390"/>
      <c r="GUB9" s="516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6"/>
      <c r="GUP9" s="34"/>
      <c r="GUQ9" s="390"/>
      <c r="GUR9" s="516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6"/>
      <c r="GVF9" s="34"/>
      <c r="GVG9" s="390"/>
      <c r="GVH9" s="516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6"/>
      <c r="GVV9" s="34"/>
      <c r="GVW9" s="390"/>
      <c r="GVX9" s="516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6"/>
      <c r="GWL9" s="34"/>
      <c r="GWM9" s="390"/>
      <c r="GWN9" s="516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6"/>
      <c r="GXB9" s="34"/>
      <c r="GXC9" s="390"/>
      <c r="GXD9" s="516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6"/>
      <c r="GXR9" s="34"/>
      <c r="GXS9" s="390"/>
      <c r="GXT9" s="516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6"/>
      <c r="GYH9" s="34"/>
      <c r="GYI9" s="390"/>
      <c r="GYJ9" s="516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6"/>
      <c r="GYX9" s="34"/>
      <c r="GYY9" s="390"/>
      <c r="GYZ9" s="516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6"/>
      <c r="GZN9" s="34"/>
      <c r="GZO9" s="390"/>
      <c r="GZP9" s="516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6"/>
      <c r="HAD9" s="34"/>
      <c r="HAE9" s="390"/>
      <c r="HAF9" s="516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6"/>
      <c r="HAT9" s="34"/>
      <c r="HAU9" s="390"/>
      <c r="HAV9" s="516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6"/>
      <c r="HBJ9" s="34"/>
      <c r="HBK9" s="390"/>
      <c r="HBL9" s="516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6"/>
      <c r="HBZ9" s="34"/>
      <c r="HCA9" s="390"/>
      <c r="HCB9" s="516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6"/>
      <c r="HCP9" s="34"/>
      <c r="HCQ9" s="390"/>
      <c r="HCR9" s="516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6"/>
      <c r="HDF9" s="34"/>
      <c r="HDG9" s="390"/>
      <c r="HDH9" s="516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6"/>
      <c r="HDV9" s="34"/>
      <c r="HDW9" s="390"/>
      <c r="HDX9" s="516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6"/>
      <c r="HEL9" s="34"/>
      <c r="HEM9" s="390"/>
      <c r="HEN9" s="516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6"/>
      <c r="HFB9" s="34"/>
      <c r="HFC9" s="390"/>
      <c r="HFD9" s="516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6"/>
      <c r="HFR9" s="34"/>
      <c r="HFS9" s="390"/>
      <c r="HFT9" s="516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6"/>
      <c r="HGH9" s="34"/>
      <c r="HGI9" s="390"/>
      <c r="HGJ9" s="516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6"/>
      <c r="HGX9" s="34"/>
      <c r="HGY9" s="390"/>
      <c r="HGZ9" s="516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6"/>
      <c r="HHN9" s="34"/>
      <c r="HHO9" s="390"/>
      <c r="HHP9" s="516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6"/>
      <c r="HID9" s="34"/>
      <c r="HIE9" s="390"/>
      <c r="HIF9" s="516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6"/>
      <c r="HIT9" s="34"/>
      <c r="HIU9" s="390"/>
      <c r="HIV9" s="516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6"/>
      <c r="HJJ9" s="34"/>
      <c r="HJK9" s="390"/>
      <c r="HJL9" s="516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6"/>
      <c r="HJZ9" s="34"/>
      <c r="HKA9" s="390"/>
      <c r="HKB9" s="516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6"/>
      <c r="HKP9" s="34"/>
      <c r="HKQ9" s="390"/>
      <c r="HKR9" s="516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6"/>
      <c r="HLF9" s="34"/>
      <c r="HLG9" s="390"/>
      <c r="HLH9" s="516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6"/>
      <c r="HLV9" s="34"/>
      <c r="HLW9" s="390"/>
      <c r="HLX9" s="516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6"/>
      <c r="HML9" s="34"/>
      <c r="HMM9" s="390"/>
      <c r="HMN9" s="516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6"/>
      <c r="HNB9" s="34"/>
      <c r="HNC9" s="390"/>
      <c r="HND9" s="516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6"/>
      <c r="HNR9" s="34"/>
      <c r="HNS9" s="390"/>
      <c r="HNT9" s="516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6"/>
      <c r="HOH9" s="34"/>
      <c r="HOI9" s="390"/>
      <c r="HOJ9" s="516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6"/>
      <c r="HOX9" s="34"/>
      <c r="HOY9" s="390"/>
      <c r="HOZ9" s="516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6"/>
      <c r="HPN9" s="34"/>
      <c r="HPO9" s="390"/>
      <c r="HPP9" s="516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6"/>
      <c r="HQD9" s="34"/>
      <c r="HQE9" s="390"/>
      <c r="HQF9" s="516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6"/>
      <c r="HQT9" s="34"/>
      <c r="HQU9" s="390"/>
      <c r="HQV9" s="516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6"/>
      <c r="HRJ9" s="34"/>
      <c r="HRK9" s="390"/>
      <c r="HRL9" s="516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6"/>
      <c r="HRZ9" s="34"/>
      <c r="HSA9" s="390"/>
      <c r="HSB9" s="516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6"/>
      <c r="HSP9" s="34"/>
      <c r="HSQ9" s="390"/>
      <c r="HSR9" s="516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6"/>
      <c r="HTF9" s="34"/>
      <c r="HTG9" s="390"/>
      <c r="HTH9" s="516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6"/>
      <c r="HTV9" s="34"/>
      <c r="HTW9" s="390"/>
      <c r="HTX9" s="516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6"/>
      <c r="HUL9" s="34"/>
      <c r="HUM9" s="390"/>
      <c r="HUN9" s="516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6"/>
      <c r="HVB9" s="34"/>
      <c r="HVC9" s="390"/>
      <c r="HVD9" s="516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6"/>
      <c r="HVR9" s="34"/>
      <c r="HVS9" s="390"/>
      <c r="HVT9" s="516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6"/>
      <c r="HWH9" s="34"/>
      <c r="HWI9" s="390"/>
      <c r="HWJ9" s="516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6"/>
      <c r="HWX9" s="34"/>
      <c r="HWY9" s="390"/>
      <c r="HWZ9" s="516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6"/>
      <c r="HXN9" s="34"/>
      <c r="HXO9" s="390"/>
      <c r="HXP9" s="516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6"/>
      <c r="HYD9" s="34"/>
      <c r="HYE9" s="390"/>
      <c r="HYF9" s="516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6"/>
      <c r="HYT9" s="34"/>
      <c r="HYU9" s="390"/>
      <c r="HYV9" s="516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6"/>
      <c r="HZJ9" s="34"/>
      <c r="HZK9" s="390"/>
      <c r="HZL9" s="516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6"/>
      <c r="HZZ9" s="34"/>
      <c r="IAA9" s="390"/>
      <c r="IAB9" s="516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6"/>
      <c r="IAP9" s="34"/>
      <c r="IAQ9" s="390"/>
      <c r="IAR9" s="516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6"/>
      <c r="IBF9" s="34"/>
      <c r="IBG9" s="390"/>
      <c r="IBH9" s="516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6"/>
      <c r="IBV9" s="34"/>
      <c r="IBW9" s="390"/>
      <c r="IBX9" s="516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6"/>
      <c r="ICL9" s="34"/>
      <c r="ICM9" s="390"/>
      <c r="ICN9" s="516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6"/>
      <c r="IDB9" s="34"/>
      <c r="IDC9" s="390"/>
      <c r="IDD9" s="516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6"/>
      <c r="IDR9" s="34"/>
      <c r="IDS9" s="390"/>
      <c r="IDT9" s="516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6"/>
      <c r="IEH9" s="34"/>
      <c r="IEI9" s="390"/>
      <c r="IEJ9" s="516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6"/>
      <c r="IEX9" s="34"/>
      <c r="IEY9" s="390"/>
      <c r="IEZ9" s="516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6"/>
      <c r="IFN9" s="34"/>
      <c r="IFO9" s="390"/>
      <c r="IFP9" s="516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6"/>
      <c r="IGD9" s="34"/>
      <c r="IGE9" s="390"/>
      <c r="IGF9" s="516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6"/>
      <c r="IGT9" s="34"/>
      <c r="IGU9" s="390"/>
      <c r="IGV9" s="516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6"/>
      <c r="IHJ9" s="34"/>
      <c r="IHK9" s="390"/>
      <c r="IHL9" s="516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6"/>
      <c r="IHZ9" s="34"/>
      <c r="IIA9" s="390"/>
      <c r="IIB9" s="516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6"/>
      <c r="IIP9" s="34"/>
      <c r="IIQ9" s="390"/>
      <c r="IIR9" s="516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6"/>
      <c r="IJF9" s="34"/>
      <c r="IJG9" s="390"/>
      <c r="IJH9" s="516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6"/>
      <c r="IJV9" s="34"/>
      <c r="IJW9" s="390"/>
      <c r="IJX9" s="516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6"/>
      <c r="IKL9" s="34"/>
      <c r="IKM9" s="390"/>
      <c r="IKN9" s="516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6"/>
      <c r="ILB9" s="34"/>
      <c r="ILC9" s="390"/>
      <c r="ILD9" s="516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6"/>
      <c r="ILR9" s="34"/>
      <c r="ILS9" s="390"/>
      <c r="ILT9" s="516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6"/>
      <c r="IMH9" s="34"/>
      <c r="IMI9" s="390"/>
      <c r="IMJ9" s="516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6"/>
      <c r="IMX9" s="34"/>
      <c r="IMY9" s="390"/>
      <c r="IMZ9" s="516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6"/>
      <c r="INN9" s="34"/>
      <c r="INO9" s="390"/>
      <c r="INP9" s="516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6"/>
      <c r="IOD9" s="34"/>
      <c r="IOE9" s="390"/>
      <c r="IOF9" s="516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6"/>
      <c r="IOT9" s="34"/>
      <c r="IOU9" s="390"/>
      <c r="IOV9" s="516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6"/>
      <c r="IPJ9" s="34"/>
      <c r="IPK9" s="390"/>
      <c r="IPL9" s="516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6"/>
      <c r="IPZ9" s="34"/>
      <c r="IQA9" s="390"/>
      <c r="IQB9" s="516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6"/>
      <c r="IQP9" s="34"/>
      <c r="IQQ9" s="390"/>
      <c r="IQR9" s="516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6"/>
      <c r="IRF9" s="34"/>
      <c r="IRG9" s="390"/>
      <c r="IRH9" s="516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6"/>
      <c r="IRV9" s="34"/>
      <c r="IRW9" s="390"/>
      <c r="IRX9" s="516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6"/>
      <c r="ISL9" s="34"/>
      <c r="ISM9" s="390"/>
      <c r="ISN9" s="516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6"/>
      <c r="ITB9" s="34"/>
      <c r="ITC9" s="390"/>
      <c r="ITD9" s="516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6"/>
      <c r="ITR9" s="34"/>
      <c r="ITS9" s="390"/>
      <c r="ITT9" s="516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6"/>
      <c r="IUH9" s="34"/>
      <c r="IUI9" s="390"/>
      <c r="IUJ9" s="516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6"/>
      <c r="IUX9" s="34"/>
      <c r="IUY9" s="390"/>
      <c r="IUZ9" s="516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6"/>
      <c r="IVN9" s="34"/>
      <c r="IVO9" s="390"/>
      <c r="IVP9" s="516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6"/>
      <c r="IWD9" s="34"/>
      <c r="IWE9" s="390"/>
      <c r="IWF9" s="516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6"/>
      <c r="IWT9" s="34"/>
      <c r="IWU9" s="390"/>
      <c r="IWV9" s="516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6"/>
      <c r="IXJ9" s="34"/>
      <c r="IXK9" s="390"/>
      <c r="IXL9" s="516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6"/>
      <c r="IXZ9" s="34"/>
      <c r="IYA9" s="390"/>
      <c r="IYB9" s="516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6"/>
      <c r="IYP9" s="34"/>
      <c r="IYQ9" s="390"/>
      <c r="IYR9" s="516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6"/>
      <c r="IZF9" s="34"/>
      <c r="IZG9" s="390"/>
      <c r="IZH9" s="516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6"/>
      <c r="IZV9" s="34"/>
      <c r="IZW9" s="390"/>
      <c r="IZX9" s="516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6"/>
      <c r="JAL9" s="34"/>
      <c r="JAM9" s="390"/>
      <c r="JAN9" s="516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6"/>
      <c r="JBB9" s="34"/>
      <c r="JBC9" s="390"/>
      <c r="JBD9" s="516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6"/>
      <c r="JBR9" s="34"/>
      <c r="JBS9" s="390"/>
      <c r="JBT9" s="516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6"/>
      <c r="JCH9" s="34"/>
      <c r="JCI9" s="390"/>
      <c r="JCJ9" s="516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6"/>
      <c r="JCX9" s="34"/>
      <c r="JCY9" s="390"/>
      <c r="JCZ9" s="516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6"/>
      <c r="JDN9" s="34"/>
      <c r="JDO9" s="390"/>
      <c r="JDP9" s="516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6"/>
      <c r="JED9" s="34"/>
      <c r="JEE9" s="390"/>
      <c r="JEF9" s="516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6"/>
      <c r="JET9" s="34"/>
      <c r="JEU9" s="390"/>
      <c r="JEV9" s="516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6"/>
      <c r="JFJ9" s="34"/>
      <c r="JFK9" s="390"/>
      <c r="JFL9" s="516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6"/>
      <c r="JFZ9" s="34"/>
      <c r="JGA9" s="390"/>
      <c r="JGB9" s="516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6"/>
      <c r="JGP9" s="34"/>
      <c r="JGQ9" s="390"/>
      <c r="JGR9" s="516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6"/>
      <c r="JHF9" s="34"/>
      <c r="JHG9" s="390"/>
      <c r="JHH9" s="516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6"/>
      <c r="JHV9" s="34"/>
      <c r="JHW9" s="390"/>
      <c r="JHX9" s="516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6"/>
      <c r="JIL9" s="34"/>
      <c r="JIM9" s="390"/>
      <c r="JIN9" s="516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6"/>
      <c r="JJB9" s="34"/>
      <c r="JJC9" s="390"/>
      <c r="JJD9" s="516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6"/>
      <c r="JJR9" s="34"/>
      <c r="JJS9" s="390"/>
      <c r="JJT9" s="516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6"/>
      <c r="JKH9" s="34"/>
      <c r="JKI9" s="390"/>
      <c r="JKJ9" s="516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6"/>
      <c r="JKX9" s="34"/>
      <c r="JKY9" s="390"/>
      <c r="JKZ9" s="516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6"/>
      <c r="JLN9" s="34"/>
      <c r="JLO9" s="390"/>
      <c r="JLP9" s="516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6"/>
      <c r="JMD9" s="34"/>
      <c r="JME9" s="390"/>
      <c r="JMF9" s="516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6"/>
      <c r="JMT9" s="34"/>
      <c r="JMU9" s="390"/>
      <c r="JMV9" s="516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6"/>
      <c r="JNJ9" s="34"/>
      <c r="JNK9" s="390"/>
      <c r="JNL9" s="516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6"/>
      <c r="JNZ9" s="34"/>
      <c r="JOA9" s="390"/>
      <c r="JOB9" s="516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6"/>
      <c r="JOP9" s="34"/>
      <c r="JOQ9" s="390"/>
      <c r="JOR9" s="516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6"/>
      <c r="JPF9" s="34"/>
      <c r="JPG9" s="390"/>
      <c r="JPH9" s="516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6"/>
      <c r="JPV9" s="34"/>
      <c r="JPW9" s="390"/>
      <c r="JPX9" s="516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6"/>
      <c r="JQL9" s="34"/>
      <c r="JQM9" s="390"/>
      <c r="JQN9" s="516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6"/>
      <c r="JRB9" s="34"/>
      <c r="JRC9" s="390"/>
      <c r="JRD9" s="516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6"/>
      <c r="JRR9" s="34"/>
      <c r="JRS9" s="390"/>
      <c r="JRT9" s="516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6"/>
      <c r="JSH9" s="34"/>
      <c r="JSI9" s="390"/>
      <c r="JSJ9" s="516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6"/>
      <c r="JSX9" s="34"/>
      <c r="JSY9" s="390"/>
      <c r="JSZ9" s="516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6"/>
      <c r="JTN9" s="34"/>
      <c r="JTO9" s="390"/>
      <c r="JTP9" s="516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6"/>
      <c r="JUD9" s="34"/>
      <c r="JUE9" s="390"/>
      <c r="JUF9" s="516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6"/>
      <c r="JUT9" s="34"/>
      <c r="JUU9" s="390"/>
      <c r="JUV9" s="516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6"/>
      <c r="JVJ9" s="34"/>
      <c r="JVK9" s="390"/>
      <c r="JVL9" s="516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6"/>
      <c r="JVZ9" s="34"/>
      <c r="JWA9" s="390"/>
      <c r="JWB9" s="516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6"/>
      <c r="JWP9" s="34"/>
      <c r="JWQ9" s="390"/>
      <c r="JWR9" s="516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6"/>
      <c r="JXF9" s="34"/>
      <c r="JXG9" s="390"/>
      <c r="JXH9" s="516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6"/>
      <c r="JXV9" s="34"/>
      <c r="JXW9" s="390"/>
      <c r="JXX9" s="516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6"/>
      <c r="JYL9" s="34"/>
      <c r="JYM9" s="390"/>
      <c r="JYN9" s="516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6"/>
      <c r="JZB9" s="34"/>
      <c r="JZC9" s="390"/>
      <c r="JZD9" s="516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6"/>
      <c r="JZR9" s="34"/>
      <c r="JZS9" s="390"/>
      <c r="JZT9" s="516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6"/>
      <c r="KAH9" s="34"/>
      <c r="KAI9" s="390"/>
      <c r="KAJ9" s="516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6"/>
      <c r="KAX9" s="34"/>
      <c r="KAY9" s="390"/>
      <c r="KAZ9" s="516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6"/>
      <c r="KBN9" s="34"/>
      <c r="KBO9" s="390"/>
      <c r="KBP9" s="516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6"/>
      <c r="KCD9" s="34"/>
      <c r="KCE9" s="390"/>
      <c r="KCF9" s="516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6"/>
      <c r="KCT9" s="34"/>
      <c r="KCU9" s="390"/>
      <c r="KCV9" s="516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6"/>
      <c r="KDJ9" s="34"/>
      <c r="KDK9" s="390"/>
      <c r="KDL9" s="516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6"/>
      <c r="KDZ9" s="34"/>
      <c r="KEA9" s="390"/>
      <c r="KEB9" s="516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6"/>
      <c r="KEP9" s="34"/>
      <c r="KEQ9" s="390"/>
      <c r="KER9" s="516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6"/>
      <c r="KFF9" s="34"/>
      <c r="KFG9" s="390"/>
      <c r="KFH9" s="516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6"/>
      <c r="KFV9" s="34"/>
      <c r="KFW9" s="390"/>
      <c r="KFX9" s="516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6"/>
      <c r="KGL9" s="34"/>
      <c r="KGM9" s="390"/>
      <c r="KGN9" s="516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6"/>
      <c r="KHB9" s="34"/>
      <c r="KHC9" s="390"/>
      <c r="KHD9" s="516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6"/>
      <c r="KHR9" s="34"/>
      <c r="KHS9" s="390"/>
      <c r="KHT9" s="516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6"/>
      <c r="KIH9" s="34"/>
      <c r="KII9" s="390"/>
      <c r="KIJ9" s="516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6"/>
      <c r="KIX9" s="34"/>
      <c r="KIY9" s="390"/>
      <c r="KIZ9" s="516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6"/>
      <c r="KJN9" s="34"/>
      <c r="KJO9" s="390"/>
      <c r="KJP9" s="516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6"/>
      <c r="KKD9" s="34"/>
      <c r="KKE9" s="390"/>
      <c r="KKF9" s="516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6"/>
      <c r="KKT9" s="34"/>
      <c r="KKU9" s="390"/>
      <c r="KKV9" s="516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6"/>
      <c r="KLJ9" s="34"/>
      <c r="KLK9" s="390"/>
      <c r="KLL9" s="516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6"/>
      <c r="KLZ9" s="34"/>
      <c r="KMA9" s="390"/>
      <c r="KMB9" s="516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6"/>
      <c r="KMP9" s="34"/>
      <c r="KMQ9" s="390"/>
      <c r="KMR9" s="516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6"/>
      <c r="KNF9" s="34"/>
      <c r="KNG9" s="390"/>
      <c r="KNH9" s="516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6"/>
      <c r="KNV9" s="34"/>
      <c r="KNW9" s="390"/>
      <c r="KNX9" s="516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6"/>
      <c r="KOL9" s="34"/>
      <c r="KOM9" s="390"/>
      <c r="KON9" s="516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6"/>
      <c r="KPB9" s="34"/>
      <c r="KPC9" s="390"/>
      <c r="KPD9" s="516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6"/>
      <c r="KPR9" s="34"/>
      <c r="KPS9" s="390"/>
      <c r="KPT9" s="516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6"/>
      <c r="KQH9" s="34"/>
      <c r="KQI9" s="390"/>
      <c r="KQJ9" s="516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6"/>
      <c r="KQX9" s="34"/>
      <c r="KQY9" s="390"/>
      <c r="KQZ9" s="516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6"/>
      <c r="KRN9" s="34"/>
      <c r="KRO9" s="390"/>
      <c r="KRP9" s="516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6"/>
      <c r="KSD9" s="34"/>
      <c r="KSE9" s="390"/>
      <c r="KSF9" s="516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6"/>
      <c r="KST9" s="34"/>
      <c r="KSU9" s="390"/>
      <c r="KSV9" s="516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6"/>
      <c r="KTJ9" s="34"/>
      <c r="KTK9" s="390"/>
      <c r="KTL9" s="516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6"/>
      <c r="KTZ9" s="34"/>
      <c r="KUA9" s="390"/>
      <c r="KUB9" s="516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6"/>
      <c r="KUP9" s="34"/>
      <c r="KUQ9" s="390"/>
      <c r="KUR9" s="516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6"/>
      <c r="KVF9" s="34"/>
      <c r="KVG9" s="390"/>
      <c r="KVH9" s="516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6"/>
      <c r="KVV9" s="34"/>
      <c r="KVW9" s="390"/>
      <c r="KVX9" s="516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6"/>
      <c r="KWL9" s="34"/>
      <c r="KWM9" s="390"/>
      <c r="KWN9" s="516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6"/>
      <c r="KXB9" s="34"/>
      <c r="KXC9" s="390"/>
      <c r="KXD9" s="516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6"/>
      <c r="KXR9" s="34"/>
      <c r="KXS9" s="390"/>
      <c r="KXT9" s="516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6"/>
      <c r="KYH9" s="34"/>
      <c r="KYI9" s="390"/>
      <c r="KYJ9" s="516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6"/>
      <c r="KYX9" s="34"/>
      <c r="KYY9" s="390"/>
      <c r="KYZ9" s="516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6"/>
      <c r="KZN9" s="34"/>
      <c r="KZO9" s="390"/>
      <c r="KZP9" s="516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6"/>
      <c r="LAD9" s="34"/>
      <c r="LAE9" s="390"/>
      <c r="LAF9" s="516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6"/>
      <c r="LAT9" s="34"/>
      <c r="LAU9" s="390"/>
      <c r="LAV9" s="516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6"/>
      <c r="LBJ9" s="34"/>
      <c r="LBK9" s="390"/>
      <c r="LBL9" s="516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6"/>
      <c r="LBZ9" s="34"/>
      <c r="LCA9" s="390"/>
      <c r="LCB9" s="516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6"/>
      <c r="LCP9" s="34"/>
      <c r="LCQ9" s="390"/>
      <c r="LCR9" s="516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6"/>
      <c r="LDF9" s="34"/>
      <c r="LDG9" s="390"/>
      <c r="LDH9" s="516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6"/>
      <c r="LDV9" s="34"/>
      <c r="LDW9" s="390"/>
      <c r="LDX9" s="516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6"/>
      <c r="LEL9" s="34"/>
      <c r="LEM9" s="390"/>
      <c r="LEN9" s="516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6"/>
      <c r="LFB9" s="34"/>
      <c r="LFC9" s="390"/>
      <c r="LFD9" s="516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6"/>
      <c r="LFR9" s="34"/>
      <c r="LFS9" s="390"/>
      <c r="LFT9" s="516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6"/>
      <c r="LGH9" s="34"/>
      <c r="LGI9" s="390"/>
      <c r="LGJ9" s="516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6"/>
      <c r="LGX9" s="34"/>
      <c r="LGY9" s="390"/>
      <c r="LGZ9" s="516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6"/>
      <c r="LHN9" s="34"/>
      <c r="LHO9" s="390"/>
      <c r="LHP9" s="516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6"/>
      <c r="LID9" s="34"/>
      <c r="LIE9" s="390"/>
      <c r="LIF9" s="516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6"/>
      <c r="LIT9" s="34"/>
      <c r="LIU9" s="390"/>
      <c r="LIV9" s="516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6"/>
      <c r="LJJ9" s="34"/>
      <c r="LJK9" s="390"/>
      <c r="LJL9" s="516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6"/>
      <c r="LJZ9" s="34"/>
      <c r="LKA9" s="390"/>
      <c r="LKB9" s="516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6"/>
      <c r="LKP9" s="34"/>
      <c r="LKQ9" s="390"/>
      <c r="LKR9" s="516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6"/>
      <c r="LLF9" s="34"/>
      <c r="LLG9" s="390"/>
      <c r="LLH9" s="516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6"/>
      <c r="LLV9" s="34"/>
      <c r="LLW9" s="390"/>
      <c r="LLX9" s="516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6"/>
      <c r="LML9" s="34"/>
      <c r="LMM9" s="390"/>
      <c r="LMN9" s="516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6"/>
      <c r="LNB9" s="34"/>
      <c r="LNC9" s="390"/>
      <c r="LND9" s="516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6"/>
      <c r="LNR9" s="34"/>
      <c r="LNS9" s="390"/>
      <c r="LNT9" s="516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6"/>
      <c r="LOH9" s="34"/>
      <c r="LOI9" s="390"/>
      <c r="LOJ9" s="516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6"/>
      <c r="LOX9" s="34"/>
      <c r="LOY9" s="390"/>
      <c r="LOZ9" s="516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6"/>
      <c r="LPN9" s="34"/>
      <c r="LPO9" s="390"/>
      <c r="LPP9" s="516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6"/>
      <c r="LQD9" s="34"/>
      <c r="LQE9" s="390"/>
      <c r="LQF9" s="516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6"/>
      <c r="LQT9" s="34"/>
      <c r="LQU9" s="390"/>
      <c r="LQV9" s="516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6"/>
      <c r="LRJ9" s="34"/>
      <c r="LRK9" s="390"/>
      <c r="LRL9" s="516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6"/>
      <c r="LRZ9" s="34"/>
      <c r="LSA9" s="390"/>
      <c r="LSB9" s="516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6"/>
      <c r="LSP9" s="34"/>
      <c r="LSQ9" s="390"/>
      <c r="LSR9" s="516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6"/>
      <c r="LTF9" s="34"/>
      <c r="LTG9" s="390"/>
      <c r="LTH9" s="516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6"/>
      <c r="LTV9" s="34"/>
      <c r="LTW9" s="390"/>
      <c r="LTX9" s="516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6"/>
      <c r="LUL9" s="34"/>
      <c r="LUM9" s="390"/>
      <c r="LUN9" s="516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6"/>
      <c r="LVB9" s="34"/>
      <c r="LVC9" s="390"/>
      <c r="LVD9" s="516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6"/>
      <c r="LVR9" s="34"/>
      <c r="LVS9" s="390"/>
      <c r="LVT9" s="516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6"/>
      <c r="LWH9" s="34"/>
      <c r="LWI9" s="390"/>
      <c r="LWJ9" s="516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6"/>
      <c r="LWX9" s="34"/>
      <c r="LWY9" s="390"/>
      <c r="LWZ9" s="516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6"/>
      <c r="LXN9" s="34"/>
      <c r="LXO9" s="390"/>
      <c r="LXP9" s="516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6"/>
      <c r="LYD9" s="34"/>
      <c r="LYE9" s="390"/>
      <c r="LYF9" s="516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6"/>
      <c r="LYT9" s="34"/>
      <c r="LYU9" s="390"/>
      <c r="LYV9" s="516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6"/>
      <c r="LZJ9" s="34"/>
      <c r="LZK9" s="390"/>
      <c r="LZL9" s="516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6"/>
      <c r="LZZ9" s="34"/>
      <c r="MAA9" s="390"/>
      <c r="MAB9" s="516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6"/>
      <c r="MAP9" s="34"/>
      <c r="MAQ9" s="390"/>
      <c r="MAR9" s="516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6"/>
      <c r="MBF9" s="34"/>
      <c r="MBG9" s="390"/>
      <c r="MBH9" s="516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6"/>
      <c r="MBV9" s="34"/>
      <c r="MBW9" s="390"/>
      <c r="MBX9" s="516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6"/>
      <c r="MCL9" s="34"/>
      <c r="MCM9" s="390"/>
      <c r="MCN9" s="516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6"/>
      <c r="MDB9" s="34"/>
      <c r="MDC9" s="390"/>
      <c r="MDD9" s="516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6"/>
      <c r="MDR9" s="34"/>
      <c r="MDS9" s="390"/>
      <c r="MDT9" s="516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6"/>
      <c r="MEH9" s="34"/>
      <c r="MEI9" s="390"/>
      <c r="MEJ9" s="516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6"/>
      <c r="MEX9" s="34"/>
      <c r="MEY9" s="390"/>
      <c r="MEZ9" s="516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6"/>
      <c r="MFN9" s="34"/>
      <c r="MFO9" s="390"/>
      <c r="MFP9" s="516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6"/>
      <c r="MGD9" s="34"/>
      <c r="MGE9" s="390"/>
      <c r="MGF9" s="516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6"/>
      <c r="MGT9" s="34"/>
      <c r="MGU9" s="390"/>
      <c r="MGV9" s="516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6"/>
      <c r="MHJ9" s="34"/>
      <c r="MHK9" s="390"/>
      <c r="MHL9" s="516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6"/>
      <c r="MHZ9" s="34"/>
      <c r="MIA9" s="390"/>
      <c r="MIB9" s="516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6"/>
      <c r="MIP9" s="34"/>
      <c r="MIQ9" s="390"/>
      <c r="MIR9" s="516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6"/>
      <c r="MJF9" s="34"/>
      <c r="MJG9" s="390"/>
      <c r="MJH9" s="516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6"/>
      <c r="MJV9" s="34"/>
      <c r="MJW9" s="390"/>
      <c r="MJX9" s="516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6"/>
      <c r="MKL9" s="34"/>
      <c r="MKM9" s="390"/>
      <c r="MKN9" s="516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6"/>
      <c r="MLB9" s="34"/>
      <c r="MLC9" s="390"/>
      <c r="MLD9" s="516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6"/>
      <c r="MLR9" s="34"/>
      <c r="MLS9" s="390"/>
      <c r="MLT9" s="516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6"/>
      <c r="MMH9" s="34"/>
      <c r="MMI9" s="390"/>
      <c r="MMJ9" s="516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6"/>
      <c r="MMX9" s="34"/>
      <c r="MMY9" s="390"/>
      <c r="MMZ9" s="516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6"/>
      <c r="MNN9" s="34"/>
      <c r="MNO9" s="390"/>
      <c r="MNP9" s="516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6"/>
      <c r="MOD9" s="34"/>
      <c r="MOE9" s="390"/>
      <c r="MOF9" s="516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6"/>
      <c r="MOT9" s="34"/>
      <c r="MOU9" s="390"/>
      <c r="MOV9" s="516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6"/>
      <c r="MPJ9" s="34"/>
      <c r="MPK9" s="390"/>
      <c r="MPL9" s="516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6"/>
      <c r="MPZ9" s="34"/>
      <c r="MQA9" s="390"/>
      <c r="MQB9" s="516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6"/>
      <c r="MQP9" s="34"/>
      <c r="MQQ9" s="390"/>
      <c r="MQR9" s="516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6"/>
      <c r="MRF9" s="34"/>
      <c r="MRG9" s="390"/>
      <c r="MRH9" s="516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6"/>
      <c r="MRV9" s="34"/>
      <c r="MRW9" s="390"/>
      <c r="MRX9" s="516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6"/>
      <c r="MSL9" s="34"/>
      <c r="MSM9" s="390"/>
      <c r="MSN9" s="516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6"/>
      <c r="MTB9" s="34"/>
      <c r="MTC9" s="390"/>
      <c r="MTD9" s="516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6"/>
      <c r="MTR9" s="34"/>
      <c r="MTS9" s="390"/>
      <c r="MTT9" s="516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6"/>
      <c r="MUH9" s="34"/>
      <c r="MUI9" s="390"/>
      <c r="MUJ9" s="516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6"/>
      <c r="MUX9" s="34"/>
      <c r="MUY9" s="390"/>
      <c r="MUZ9" s="516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6"/>
      <c r="MVN9" s="34"/>
      <c r="MVO9" s="390"/>
      <c r="MVP9" s="516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6"/>
      <c r="MWD9" s="34"/>
      <c r="MWE9" s="390"/>
      <c r="MWF9" s="516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6"/>
      <c r="MWT9" s="34"/>
      <c r="MWU9" s="390"/>
      <c r="MWV9" s="516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6"/>
      <c r="MXJ9" s="34"/>
      <c r="MXK9" s="390"/>
      <c r="MXL9" s="516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6"/>
      <c r="MXZ9" s="34"/>
      <c r="MYA9" s="390"/>
      <c r="MYB9" s="516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6"/>
      <c r="MYP9" s="34"/>
      <c r="MYQ9" s="390"/>
      <c r="MYR9" s="516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6"/>
      <c r="MZF9" s="34"/>
      <c r="MZG9" s="390"/>
      <c r="MZH9" s="516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6"/>
      <c r="MZV9" s="34"/>
      <c r="MZW9" s="390"/>
      <c r="MZX9" s="516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6"/>
      <c r="NAL9" s="34"/>
      <c r="NAM9" s="390"/>
      <c r="NAN9" s="516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6"/>
      <c r="NBB9" s="34"/>
      <c r="NBC9" s="390"/>
      <c r="NBD9" s="516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6"/>
      <c r="NBR9" s="34"/>
      <c r="NBS9" s="390"/>
      <c r="NBT9" s="516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6"/>
      <c r="NCH9" s="34"/>
      <c r="NCI9" s="390"/>
      <c r="NCJ9" s="516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6"/>
      <c r="NCX9" s="34"/>
      <c r="NCY9" s="390"/>
      <c r="NCZ9" s="516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6"/>
      <c r="NDN9" s="34"/>
      <c r="NDO9" s="390"/>
      <c r="NDP9" s="516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6"/>
      <c r="NED9" s="34"/>
      <c r="NEE9" s="390"/>
      <c r="NEF9" s="516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6"/>
      <c r="NET9" s="34"/>
      <c r="NEU9" s="390"/>
      <c r="NEV9" s="516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6"/>
      <c r="NFJ9" s="34"/>
      <c r="NFK9" s="390"/>
      <c r="NFL9" s="516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6"/>
      <c r="NFZ9" s="34"/>
      <c r="NGA9" s="390"/>
      <c r="NGB9" s="516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6"/>
      <c r="NGP9" s="34"/>
      <c r="NGQ9" s="390"/>
      <c r="NGR9" s="516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6"/>
      <c r="NHF9" s="34"/>
      <c r="NHG9" s="390"/>
      <c r="NHH9" s="516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6"/>
      <c r="NHV9" s="34"/>
      <c r="NHW9" s="390"/>
      <c r="NHX9" s="516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6"/>
      <c r="NIL9" s="34"/>
      <c r="NIM9" s="390"/>
      <c r="NIN9" s="516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6"/>
      <c r="NJB9" s="34"/>
      <c r="NJC9" s="390"/>
      <c r="NJD9" s="516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6"/>
      <c r="NJR9" s="34"/>
      <c r="NJS9" s="390"/>
      <c r="NJT9" s="516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6"/>
      <c r="NKH9" s="34"/>
      <c r="NKI9" s="390"/>
      <c r="NKJ9" s="516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6"/>
      <c r="NKX9" s="34"/>
      <c r="NKY9" s="390"/>
      <c r="NKZ9" s="516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6"/>
      <c r="NLN9" s="34"/>
      <c r="NLO9" s="390"/>
      <c r="NLP9" s="516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6"/>
      <c r="NMD9" s="34"/>
      <c r="NME9" s="390"/>
      <c r="NMF9" s="516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6"/>
      <c r="NMT9" s="34"/>
      <c r="NMU9" s="390"/>
      <c r="NMV9" s="516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6"/>
      <c r="NNJ9" s="34"/>
      <c r="NNK9" s="390"/>
      <c r="NNL9" s="516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6"/>
      <c r="NNZ9" s="34"/>
      <c r="NOA9" s="390"/>
      <c r="NOB9" s="516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6"/>
      <c r="NOP9" s="34"/>
      <c r="NOQ9" s="390"/>
      <c r="NOR9" s="516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6"/>
      <c r="NPF9" s="34"/>
      <c r="NPG9" s="390"/>
      <c r="NPH9" s="516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6"/>
      <c r="NPV9" s="34"/>
      <c r="NPW9" s="390"/>
      <c r="NPX9" s="516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6"/>
      <c r="NQL9" s="34"/>
      <c r="NQM9" s="390"/>
      <c r="NQN9" s="516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6"/>
      <c r="NRB9" s="34"/>
      <c r="NRC9" s="390"/>
      <c r="NRD9" s="516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6"/>
      <c r="NRR9" s="34"/>
      <c r="NRS9" s="390"/>
      <c r="NRT9" s="516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6"/>
      <c r="NSH9" s="34"/>
      <c r="NSI9" s="390"/>
      <c r="NSJ9" s="516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6"/>
      <c r="NSX9" s="34"/>
      <c r="NSY9" s="390"/>
      <c r="NSZ9" s="516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6"/>
      <c r="NTN9" s="34"/>
      <c r="NTO9" s="390"/>
      <c r="NTP9" s="516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6"/>
      <c r="NUD9" s="34"/>
      <c r="NUE9" s="390"/>
      <c r="NUF9" s="516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6"/>
      <c r="NUT9" s="34"/>
      <c r="NUU9" s="390"/>
      <c r="NUV9" s="516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6"/>
      <c r="NVJ9" s="34"/>
      <c r="NVK9" s="390"/>
      <c r="NVL9" s="516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6"/>
      <c r="NVZ9" s="34"/>
      <c r="NWA9" s="390"/>
      <c r="NWB9" s="516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6"/>
      <c r="NWP9" s="34"/>
      <c r="NWQ9" s="390"/>
      <c r="NWR9" s="516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6"/>
      <c r="NXF9" s="34"/>
      <c r="NXG9" s="390"/>
      <c r="NXH9" s="516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6"/>
      <c r="NXV9" s="34"/>
      <c r="NXW9" s="390"/>
      <c r="NXX9" s="516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6"/>
      <c r="NYL9" s="34"/>
      <c r="NYM9" s="390"/>
      <c r="NYN9" s="516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6"/>
      <c r="NZB9" s="34"/>
      <c r="NZC9" s="390"/>
      <c r="NZD9" s="516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6"/>
      <c r="NZR9" s="34"/>
      <c r="NZS9" s="390"/>
      <c r="NZT9" s="516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6"/>
      <c r="OAH9" s="34"/>
      <c r="OAI9" s="390"/>
      <c r="OAJ9" s="516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6"/>
      <c r="OAX9" s="34"/>
      <c r="OAY9" s="390"/>
      <c r="OAZ9" s="516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6"/>
      <c r="OBN9" s="34"/>
      <c r="OBO9" s="390"/>
      <c r="OBP9" s="516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6"/>
      <c r="OCD9" s="34"/>
      <c r="OCE9" s="390"/>
      <c r="OCF9" s="516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6"/>
      <c r="OCT9" s="34"/>
      <c r="OCU9" s="390"/>
      <c r="OCV9" s="516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6"/>
      <c r="ODJ9" s="34"/>
      <c r="ODK9" s="390"/>
      <c r="ODL9" s="516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6"/>
      <c r="ODZ9" s="34"/>
      <c r="OEA9" s="390"/>
      <c r="OEB9" s="516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6"/>
      <c r="OEP9" s="34"/>
      <c r="OEQ9" s="390"/>
      <c r="OER9" s="516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6"/>
      <c r="OFF9" s="34"/>
      <c r="OFG9" s="390"/>
      <c r="OFH9" s="516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6"/>
      <c r="OFV9" s="34"/>
      <c r="OFW9" s="390"/>
      <c r="OFX9" s="516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6"/>
      <c r="OGL9" s="34"/>
      <c r="OGM9" s="390"/>
      <c r="OGN9" s="516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6"/>
      <c r="OHB9" s="34"/>
      <c r="OHC9" s="390"/>
      <c r="OHD9" s="516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6"/>
      <c r="OHR9" s="34"/>
      <c r="OHS9" s="390"/>
      <c r="OHT9" s="516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6"/>
      <c r="OIH9" s="34"/>
      <c r="OII9" s="390"/>
      <c r="OIJ9" s="516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6"/>
      <c r="OIX9" s="34"/>
      <c r="OIY9" s="390"/>
      <c r="OIZ9" s="516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6"/>
      <c r="OJN9" s="34"/>
      <c r="OJO9" s="390"/>
      <c r="OJP9" s="516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6"/>
      <c r="OKD9" s="34"/>
      <c r="OKE9" s="390"/>
      <c r="OKF9" s="516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6"/>
      <c r="OKT9" s="34"/>
      <c r="OKU9" s="390"/>
      <c r="OKV9" s="516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6"/>
      <c r="OLJ9" s="34"/>
      <c r="OLK9" s="390"/>
      <c r="OLL9" s="516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6"/>
      <c r="OLZ9" s="34"/>
      <c r="OMA9" s="390"/>
      <c r="OMB9" s="516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6"/>
      <c r="OMP9" s="34"/>
      <c r="OMQ9" s="390"/>
      <c r="OMR9" s="516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6"/>
      <c r="ONF9" s="34"/>
      <c r="ONG9" s="390"/>
      <c r="ONH9" s="516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6"/>
      <c r="ONV9" s="34"/>
      <c r="ONW9" s="390"/>
      <c r="ONX9" s="516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6"/>
      <c r="OOL9" s="34"/>
      <c r="OOM9" s="390"/>
      <c r="OON9" s="516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6"/>
      <c r="OPB9" s="34"/>
      <c r="OPC9" s="390"/>
      <c r="OPD9" s="516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6"/>
      <c r="OPR9" s="34"/>
      <c r="OPS9" s="390"/>
      <c r="OPT9" s="516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6"/>
      <c r="OQH9" s="34"/>
      <c r="OQI9" s="390"/>
      <c r="OQJ9" s="516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6"/>
      <c r="OQX9" s="34"/>
      <c r="OQY9" s="390"/>
      <c r="OQZ9" s="516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6"/>
      <c r="ORN9" s="34"/>
      <c r="ORO9" s="390"/>
      <c r="ORP9" s="516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6"/>
      <c r="OSD9" s="34"/>
      <c r="OSE9" s="390"/>
      <c r="OSF9" s="516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6"/>
      <c r="OST9" s="34"/>
      <c r="OSU9" s="390"/>
      <c r="OSV9" s="516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6"/>
      <c r="OTJ9" s="34"/>
      <c r="OTK9" s="390"/>
      <c r="OTL9" s="516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6"/>
      <c r="OTZ9" s="34"/>
      <c r="OUA9" s="390"/>
      <c r="OUB9" s="516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6"/>
      <c r="OUP9" s="34"/>
      <c r="OUQ9" s="390"/>
      <c r="OUR9" s="516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6"/>
      <c r="OVF9" s="34"/>
      <c r="OVG9" s="390"/>
      <c r="OVH9" s="516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6"/>
      <c r="OVV9" s="34"/>
      <c r="OVW9" s="390"/>
      <c r="OVX9" s="516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6"/>
      <c r="OWL9" s="34"/>
      <c r="OWM9" s="390"/>
      <c r="OWN9" s="516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6"/>
      <c r="OXB9" s="34"/>
      <c r="OXC9" s="390"/>
      <c r="OXD9" s="516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6"/>
      <c r="OXR9" s="34"/>
      <c r="OXS9" s="390"/>
      <c r="OXT9" s="516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6"/>
      <c r="OYH9" s="34"/>
      <c r="OYI9" s="390"/>
      <c r="OYJ9" s="516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6"/>
      <c r="OYX9" s="34"/>
      <c r="OYY9" s="390"/>
      <c r="OYZ9" s="516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6"/>
      <c r="OZN9" s="34"/>
      <c r="OZO9" s="390"/>
      <c r="OZP9" s="516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6"/>
      <c r="PAD9" s="34"/>
      <c r="PAE9" s="390"/>
      <c r="PAF9" s="516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6"/>
      <c r="PAT9" s="34"/>
      <c r="PAU9" s="390"/>
      <c r="PAV9" s="516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6"/>
      <c r="PBJ9" s="34"/>
      <c r="PBK9" s="390"/>
      <c r="PBL9" s="516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6"/>
      <c r="PBZ9" s="34"/>
      <c r="PCA9" s="390"/>
      <c r="PCB9" s="516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6"/>
      <c r="PCP9" s="34"/>
      <c r="PCQ9" s="390"/>
      <c r="PCR9" s="516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6"/>
      <c r="PDF9" s="34"/>
      <c r="PDG9" s="390"/>
      <c r="PDH9" s="516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6"/>
      <c r="PDV9" s="34"/>
      <c r="PDW9" s="390"/>
      <c r="PDX9" s="516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6"/>
      <c r="PEL9" s="34"/>
      <c r="PEM9" s="390"/>
      <c r="PEN9" s="516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6"/>
      <c r="PFB9" s="34"/>
      <c r="PFC9" s="390"/>
      <c r="PFD9" s="516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6"/>
      <c r="PFR9" s="34"/>
      <c r="PFS9" s="390"/>
      <c r="PFT9" s="516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6"/>
      <c r="PGH9" s="34"/>
      <c r="PGI9" s="390"/>
      <c r="PGJ9" s="516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6"/>
      <c r="PGX9" s="34"/>
      <c r="PGY9" s="390"/>
      <c r="PGZ9" s="516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6"/>
      <c r="PHN9" s="34"/>
      <c r="PHO9" s="390"/>
      <c r="PHP9" s="516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6"/>
      <c r="PID9" s="34"/>
      <c r="PIE9" s="390"/>
      <c r="PIF9" s="516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6"/>
      <c r="PIT9" s="34"/>
      <c r="PIU9" s="390"/>
      <c r="PIV9" s="516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6"/>
      <c r="PJJ9" s="34"/>
      <c r="PJK9" s="390"/>
      <c r="PJL9" s="516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6"/>
      <c r="PJZ9" s="34"/>
      <c r="PKA9" s="390"/>
      <c r="PKB9" s="516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6"/>
      <c r="PKP9" s="34"/>
      <c r="PKQ9" s="390"/>
      <c r="PKR9" s="516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6"/>
      <c r="PLF9" s="34"/>
      <c r="PLG9" s="390"/>
      <c r="PLH9" s="516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6"/>
      <c r="PLV9" s="34"/>
      <c r="PLW9" s="390"/>
      <c r="PLX9" s="516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6"/>
      <c r="PML9" s="34"/>
      <c r="PMM9" s="390"/>
      <c r="PMN9" s="516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6"/>
      <c r="PNB9" s="34"/>
      <c r="PNC9" s="390"/>
      <c r="PND9" s="516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6"/>
      <c r="PNR9" s="34"/>
      <c r="PNS9" s="390"/>
      <c r="PNT9" s="516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6"/>
      <c r="POH9" s="34"/>
      <c r="POI9" s="390"/>
      <c r="POJ9" s="516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6"/>
      <c r="POX9" s="34"/>
      <c r="POY9" s="390"/>
      <c r="POZ9" s="516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6"/>
      <c r="PPN9" s="34"/>
      <c r="PPO9" s="390"/>
      <c r="PPP9" s="516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6"/>
      <c r="PQD9" s="34"/>
      <c r="PQE9" s="390"/>
      <c r="PQF9" s="516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6"/>
      <c r="PQT9" s="34"/>
      <c r="PQU9" s="390"/>
      <c r="PQV9" s="516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6"/>
      <c r="PRJ9" s="34"/>
      <c r="PRK9" s="390"/>
      <c r="PRL9" s="516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6"/>
      <c r="PRZ9" s="34"/>
      <c r="PSA9" s="390"/>
      <c r="PSB9" s="516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6"/>
      <c r="PSP9" s="34"/>
      <c r="PSQ9" s="390"/>
      <c r="PSR9" s="516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6"/>
      <c r="PTF9" s="34"/>
      <c r="PTG9" s="390"/>
      <c r="PTH9" s="516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6"/>
      <c r="PTV9" s="34"/>
      <c r="PTW9" s="390"/>
      <c r="PTX9" s="516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6"/>
      <c r="PUL9" s="34"/>
      <c r="PUM9" s="390"/>
      <c r="PUN9" s="516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6"/>
      <c r="PVB9" s="34"/>
      <c r="PVC9" s="390"/>
      <c r="PVD9" s="516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6"/>
      <c r="PVR9" s="34"/>
      <c r="PVS9" s="390"/>
      <c r="PVT9" s="516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6"/>
      <c r="PWH9" s="34"/>
      <c r="PWI9" s="390"/>
      <c r="PWJ9" s="516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6"/>
      <c r="PWX9" s="34"/>
      <c r="PWY9" s="390"/>
      <c r="PWZ9" s="516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6"/>
      <c r="PXN9" s="34"/>
      <c r="PXO9" s="390"/>
      <c r="PXP9" s="516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6"/>
      <c r="PYD9" s="34"/>
      <c r="PYE9" s="390"/>
      <c r="PYF9" s="516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6"/>
      <c r="PYT9" s="34"/>
      <c r="PYU9" s="390"/>
      <c r="PYV9" s="516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6"/>
      <c r="PZJ9" s="34"/>
      <c r="PZK9" s="390"/>
      <c r="PZL9" s="516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6"/>
      <c r="PZZ9" s="34"/>
      <c r="QAA9" s="390"/>
      <c r="QAB9" s="516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6"/>
      <c r="QAP9" s="34"/>
      <c r="QAQ9" s="390"/>
      <c r="QAR9" s="516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6"/>
      <c r="QBF9" s="34"/>
      <c r="QBG9" s="390"/>
      <c r="QBH9" s="516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6"/>
      <c r="QBV9" s="34"/>
      <c r="QBW9" s="390"/>
      <c r="QBX9" s="516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6"/>
      <c r="QCL9" s="34"/>
      <c r="QCM9" s="390"/>
      <c r="QCN9" s="516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6"/>
      <c r="QDB9" s="34"/>
      <c r="QDC9" s="390"/>
      <c r="QDD9" s="516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6"/>
      <c r="QDR9" s="34"/>
      <c r="QDS9" s="390"/>
      <c r="QDT9" s="516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6"/>
      <c r="QEH9" s="34"/>
      <c r="QEI9" s="390"/>
      <c r="QEJ9" s="516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6"/>
      <c r="QEX9" s="34"/>
      <c r="QEY9" s="390"/>
      <c r="QEZ9" s="516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6"/>
      <c r="QFN9" s="34"/>
      <c r="QFO9" s="390"/>
      <c r="QFP9" s="516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6"/>
      <c r="QGD9" s="34"/>
      <c r="QGE9" s="390"/>
      <c r="QGF9" s="516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6"/>
      <c r="QGT9" s="34"/>
      <c r="QGU9" s="390"/>
      <c r="QGV9" s="516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6"/>
      <c r="QHJ9" s="34"/>
      <c r="QHK9" s="390"/>
      <c r="QHL9" s="516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6"/>
      <c r="QHZ9" s="34"/>
      <c r="QIA9" s="390"/>
      <c r="QIB9" s="516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6"/>
      <c r="QIP9" s="34"/>
      <c r="QIQ9" s="390"/>
      <c r="QIR9" s="516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6"/>
      <c r="QJF9" s="34"/>
      <c r="QJG9" s="390"/>
      <c r="QJH9" s="516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6"/>
      <c r="QJV9" s="34"/>
      <c r="QJW9" s="390"/>
      <c r="QJX9" s="516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6"/>
      <c r="QKL9" s="34"/>
      <c r="QKM9" s="390"/>
      <c r="QKN9" s="516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6"/>
      <c r="QLB9" s="34"/>
      <c r="QLC9" s="390"/>
      <c r="QLD9" s="516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6"/>
      <c r="QLR9" s="34"/>
      <c r="QLS9" s="390"/>
      <c r="QLT9" s="516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6"/>
      <c r="QMH9" s="34"/>
      <c r="QMI9" s="390"/>
      <c r="QMJ9" s="516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6"/>
      <c r="QMX9" s="34"/>
      <c r="QMY9" s="390"/>
      <c r="QMZ9" s="516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6"/>
      <c r="QNN9" s="34"/>
      <c r="QNO9" s="390"/>
      <c r="QNP9" s="516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6"/>
      <c r="QOD9" s="34"/>
      <c r="QOE9" s="390"/>
      <c r="QOF9" s="516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6"/>
      <c r="QOT9" s="34"/>
      <c r="QOU9" s="390"/>
      <c r="QOV9" s="516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6"/>
      <c r="QPJ9" s="34"/>
      <c r="QPK9" s="390"/>
      <c r="QPL9" s="516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6"/>
      <c r="QPZ9" s="34"/>
      <c r="QQA9" s="390"/>
      <c r="QQB9" s="516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6"/>
      <c r="QQP9" s="34"/>
      <c r="QQQ9" s="390"/>
      <c r="QQR9" s="516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6"/>
      <c r="QRF9" s="34"/>
      <c r="QRG9" s="390"/>
      <c r="QRH9" s="516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6"/>
      <c r="QRV9" s="34"/>
      <c r="QRW9" s="390"/>
      <c r="QRX9" s="516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6"/>
      <c r="QSL9" s="34"/>
      <c r="QSM9" s="390"/>
      <c r="QSN9" s="516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6"/>
      <c r="QTB9" s="34"/>
      <c r="QTC9" s="390"/>
      <c r="QTD9" s="516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6"/>
      <c r="QTR9" s="34"/>
      <c r="QTS9" s="390"/>
      <c r="QTT9" s="516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6"/>
      <c r="QUH9" s="34"/>
      <c r="QUI9" s="390"/>
      <c r="QUJ9" s="516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6"/>
      <c r="QUX9" s="34"/>
      <c r="QUY9" s="390"/>
      <c r="QUZ9" s="516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6"/>
      <c r="QVN9" s="34"/>
      <c r="QVO9" s="390"/>
      <c r="QVP9" s="516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6"/>
      <c r="QWD9" s="34"/>
      <c r="QWE9" s="390"/>
      <c r="QWF9" s="516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6"/>
      <c r="QWT9" s="34"/>
      <c r="QWU9" s="390"/>
      <c r="QWV9" s="516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6"/>
      <c r="QXJ9" s="34"/>
      <c r="QXK9" s="390"/>
      <c r="QXL9" s="516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6"/>
      <c r="QXZ9" s="34"/>
      <c r="QYA9" s="390"/>
      <c r="QYB9" s="516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6"/>
      <c r="QYP9" s="34"/>
      <c r="QYQ9" s="390"/>
      <c r="QYR9" s="516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6"/>
      <c r="QZF9" s="34"/>
      <c r="QZG9" s="390"/>
      <c r="QZH9" s="516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6"/>
      <c r="QZV9" s="34"/>
      <c r="QZW9" s="390"/>
      <c r="QZX9" s="516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6"/>
      <c r="RAL9" s="34"/>
      <c r="RAM9" s="390"/>
      <c r="RAN9" s="516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6"/>
      <c r="RBB9" s="34"/>
      <c r="RBC9" s="390"/>
      <c r="RBD9" s="516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6"/>
      <c r="RBR9" s="34"/>
      <c r="RBS9" s="390"/>
      <c r="RBT9" s="516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6"/>
      <c r="RCH9" s="34"/>
      <c r="RCI9" s="390"/>
      <c r="RCJ9" s="516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6"/>
      <c r="RCX9" s="34"/>
      <c r="RCY9" s="390"/>
      <c r="RCZ9" s="516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6"/>
      <c r="RDN9" s="34"/>
      <c r="RDO9" s="390"/>
      <c r="RDP9" s="516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6"/>
      <c r="RED9" s="34"/>
      <c r="REE9" s="390"/>
      <c r="REF9" s="516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6"/>
      <c r="RET9" s="34"/>
      <c r="REU9" s="390"/>
      <c r="REV9" s="516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6"/>
      <c r="RFJ9" s="34"/>
      <c r="RFK9" s="390"/>
      <c r="RFL9" s="516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6"/>
      <c r="RFZ9" s="34"/>
      <c r="RGA9" s="390"/>
      <c r="RGB9" s="516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6"/>
      <c r="RGP9" s="34"/>
      <c r="RGQ9" s="390"/>
      <c r="RGR9" s="516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6"/>
      <c r="RHF9" s="34"/>
      <c r="RHG9" s="390"/>
      <c r="RHH9" s="516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6"/>
      <c r="RHV9" s="34"/>
      <c r="RHW9" s="390"/>
      <c r="RHX9" s="516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6"/>
      <c r="RIL9" s="34"/>
      <c r="RIM9" s="390"/>
      <c r="RIN9" s="516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6"/>
      <c r="RJB9" s="34"/>
      <c r="RJC9" s="390"/>
      <c r="RJD9" s="516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6"/>
      <c r="RJR9" s="34"/>
      <c r="RJS9" s="390"/>
      <c r="RJT9" s="516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6"/>
      <c r="RKH9" s="34"/>
      <c r="RKI9" s="390"/>
      <c r="RKJ9" s="516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6"/>
      <c r="RKX9" s="34"/>
      <c r="RKY9" s="390"/>
      <c r="RKZ9" s="516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6"/>
      <c r="RLN9" s="34"/>
      <c r="RLO9" s="390"/>
      <c r="RLP9" s="516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6"/>
      <c r="RMD9" s="34"/>
      <c r="RME9" s="390"/>
      <c r="RMF9" s="516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6"/>
      <c r="RMT9" s="34"/>
      <c r="RMU9" s="390"/>
      <c r="RMV9" s="516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6"/>
      <c r="RNJ9" s="34"/>
      <c r="RNK9" s="390"/>
      <c r="RNL9" s="516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6"/>
      <c r="RNZ9" s="34"/>
      <c r="ROA9" s="390"/>
      <c r="ROB9" s="516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6"/>
      <c r="ROP9" s="34"/>
      <c r="ROQ9" s="390"/>
      <c r="ROR9" s="516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6"/>
      <c r="RPF9" s="34"/>
      <c r="RPG9" s="390"/>
      <c r="RPH9" s="516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6"/>
      <c r="RPV9" s="34"/>
      <c r="RPW9" s="390"/>
      <c r="RPX9" s="516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6"/>
      <c r="RQL9" s="34"/>
      <c r="RQM9" s="390"/>
      <c r="RQN9" s="516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6"/>
      <c r="RRB9" s="34"/>
      <c r="RRC9" s="390"/>
      <c r="RRD9" s="516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6"/>
      <c r="RRR9" s="34"/>
      <c r="RRS9" s="390"/>
      <c r="RRT9" s="516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6"/>
      <c r="RSH9" s="34"/>
      <c r="RSI9" s="390"/>
      <c r="RSJ9" s="516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6"/>
      <c r="RSX9" s="34"/>
      <c r="RSY9" s="390"/>
      <c r="RSZ9" s="516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6"/>
      <c r="RTN9" s="34"/>
      <c r="RTO9" s="390"/>
      <c r="RTP9" s="516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6"/>
      <c r="RUD9" s="34"/>
      <c r="RUE9" s="390"/>
      <c r="RUF9" s="516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6"/>
      <c r="RUT9" s="34"/>
      <c r="RUU9" s="390"/>
      <c r="RUV9" s="516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6"/>
      <c r="RVJ9" s="34"/>
      <c r="RVK9" s="390"/>
      <c r="RVL9" s="516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6"/>
      <c r="RVZ9" s="34"/>
      <c r="RWA9" s="390"/>
      <c r="RWB9" s="516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6"/>
      <c r="RWP9" s="34"/>
      <c r="RWQ9" s="390"/>
      <c r="RWR9" s="516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6"/>
      <c r="RXF9" s="34"/>
      <c r="RXG9" s="390"/>
      <c r="RXH9" s="516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6"/>
      <c r="RXV9" s="34"/>
      <c r="RXW9" s="390"/>
      <c r="RXX9" s="516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6"/>
      <c r="RYL9" s="34"/>
      <c r="RYM9" s="390"/>
      <c r="RYN9" s="516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6"/>
      <c r="RZB9" s="34"/>
      <c r="RZC9" s="390"/>
      <c r="RZD9" s="516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6"/>
      <c r="RZR9" s="34"/>
      <c r="RZS9" s="390"/>
      <c r="RZT9" s="516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6"/>
      <c r="SAH9" s="34"/>
      <c r="SAI9" s="390"/>
      <c r="SAJ9" s="516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6"/>
      <c r="SAX9" s="34"/>
      <c r="SAY9" s="390"/>
      <c r="SAZ9" s="516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6"/>
      <c r="SBN9" s="34"/>
      <c r="SBO9" s="390"/>
      <c r="SBP9" s="516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6"/>
      <c r="SCD9" s="34"/>
      <c r="SCE9" s="390"/>
      <c r="SCF9" s="516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6"/>
      <c r="SCT9" s="34"/>
      <c r="SCU9" s="390"/>
      <c r="SCV9" s="516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6"/>
      <c r="SDJ9" s="34"/>
      <c r="SDK9" s="390"/>
      <c r="SDL9" s="516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6"/>
      <c r="SDZ9" s="34"/>
      <c r="SEA9" s="390"/>
      <c r="SEB9" s="516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6"/>
      <c r="SEP9" s="34"/>
      <c r="SEQ9" s="390"/>
      <c r="SER9" s="516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6"/>
      <c r="SFF9" s="34"/>
      <c r="SFG9" s="390"/>
      <c r="SFH9" s="516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6"/>
      <c r="SFV9" s="34"/>
      <c r="SFW9" s="390"/>
      <c r="SFX9" s="516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6"/>
      <c r="SGL9" s="34"/>
      <c r="SGM9" s="390"/>
      <c r="SGN9" s="516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6"/>
      <c r="SHB9" s="34"/>
      <c r="SHC9" s="390"/>
      <c r="SHD9" s="516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6"/>
      <c r="SHR9" s="34"/>
      <c r="SHS9" s="390"/>
      <c r="SHT9" s="516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6"/>
      <c r="SIH9" s="34"/>
      <c r="SII9" s="390"/>
      <c r="SIJ9" s="516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6"/>
      <c r="SIX9" s="34"/>
      <c r="SIY9" s="390"/>
      <c r="SIZ9" s="516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6"/>
      <c r="SJN9" s="34"/>
      <c r="SJO9" s="390"/>
      <c r="SJP9" s="516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6"/>
      <c r="SKD9" s="34"/>
      <c r="SKE9" s="390"/>
      <c r="SKF9" s="516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6"/>
      <c r="SKT9" s="34"/>
      <c r="SKU9" s="390"/>
      <c r="SKV9" s="516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6"/>
      <c r="SLJ9" s="34"/>
      <c r="SLK9" s="390"/>
      <c r="SLL9" s="516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6"/>
      <c r="SLZ9" s="34"/>
      <c r="SMA9" s="390"/>
      <c r="SMB9" s="516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6"/>
      <c r="SMP9" s="34"/>
      <c r="SMQ9" s="390"/>
      <c r="SMR9" s="516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6"/>
      <c r="SNF9" s="34"/>
      <c r="SNG9" s="390"/>
      <c r="SNH9" s="516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6"/>
      <c r="SNV9" s="34"/>
      <c r="SNW9" s="390"/>
      <c r="SNX9" s="516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6"/>
      <c r="SOL9" s="34"/>
      <c r="SOM9" s="390"/>
      <c r="SON9" s="516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6"/>
      <c r="SPB9" s="34"/>
      <c r="SPC9" s="390"/>
      <c r="SPD9" s="516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6"/>
      <c r="SPR9" s="34"/>
      <c r="SPS9" s="390"/>
      <c r="SPT9" s="516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6"/>
      <c r="SQH9" s="34"/>
      <c r="SQI9" s="390"/>
      <c r="SQJ9" s="516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6"/>
      <c r="SQX9" s="34"/>
      <c r="SQY9" s="390"/>
      <c r="SQZ9" s="516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6"/>
      <c r="SRN9" s="34"/>
      <c r="SRO9" s="390"/>
      <c r="SRP9" s="516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6"/>
      <c r="SSD9" s="34"/>
      <c r="SSE9" s="390"/>
      <c r="SSF9" s="516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6"/>
      <c r="SST9" s="34"/>
      <c r="SSU9" s="390"/>
      <c r="SSV9" s="516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6"/>
      <c r="STJ9" s="34"/>
      <c r="STK9" s="390"/>
      <c r="STL9" s="516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6"/>
      <c r="STZ9" s="34"/>
      <c r="SUA9" s="390"/>
      <c r="SUB9" s="516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6"/>
      <c r="SUP9" s="34"/>
      <c r="SUQ9" s="390"/>
      <c r="SUR9" s="516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6"/>
      <c r="SVF9" s="34"/>
      <c r="SVG9" s="390"/>
      <c r="SVH9" s="516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6"/>
      <c r="SVV9" s="34"/>
      <c r="SVW9" s="390"/>
      <c r="SVX9" s="516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6"/>
      <c r="SWL9" s="34"/>
      <c r="SWM9" s="390"/>
      <c r="SWN9" s="516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6"/>
      <c r="SXB9" s="34"/>
      <c r="SXC9" s="390"/>
      <c r="SXD9" s="516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6"/>
      <c r="SXR9" s="34"/>
      <c r="SXS9" s="390"/>
      <c r="SXT9" s="516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6"/>
      <c r="SYH9" s="34"/>
      <c r="SYI9" s="390"/>
      <c r="SYJ9" s="516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6"/>
      <c r="SYX9" s="34"/>
      <c r="SYY9" s="390"/>
      <c r="SYZ9" s="516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6"/>
      <c r="SZN9" s="34"/>
      <c r="SZO9" s="390"/>
      <c r="SZP9" s="516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6"/>
      <c r="TAD9" s="34"/>
      <c r="TAE9" s="390"/>
      <c r="TAF9" s="516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6"/>
      <c r="TAT9" s="34"/>
      <c r="TAU9" s="390"/>
      <c r="TAV9" s="516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6"/>
      <c r="TBJ9" s="34"/>
      <c r="TBK9" s="390"/>
      <c r="TBL9" s="516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6"/>
      <c r="TBZ9" s="34"/>
      <c r="TCA9" s="390"/>
      <c r="TCB9" s="516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6"/>
      <c r="TCP9" s="34"/>
      <c r="TCQ9" s="390"/>
      <c r="TCR9" s="516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6"/>
      <c r="TDF9" s="34"/>
      <c r="TDG9" s="390"/>
      <c r="TDH9" s="516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6"/>
      <c r="TDV9" s="34"/>
      <c r="TDW9" s="390"/>
      <c r="TDX9" s="516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6"/>
      <c r="TEL9" s="34"/>
      <c r="TEM9" s="390"/>
      <c r="TEN9" s="516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6"/>
      <c r="TFB9" s="34"/>
      <c r="TFC9" s="390"/>
      <c r="TFD9" s="516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6"/>
      <c r="TFR9" s="34"/>
      <c r="TFS9" s="390"/>
      <c r="TFT9" s="516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6"/>
      <c r="TGH9" s="34"/>
      <c r="TGI9" s="390"/>
      <c r="TGJ9" s="516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6"/>
      <c r="TGX9" s="34"/>
      <c r="TGY9" s="390"/>
      <c r="TGZ9" s="516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6"/>
      <c r="THN9" s="34"/>
      <c r="THO9" s="390"/>
      <c r="THP9" s="516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6"/>
      <c r="TID9" s="34"/>
      <c r="TIE9" s="390"/>
      <c r="TIF9" s="516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6"/>
      <c r="TIT9" s="34"/>
      <c r="TIU9" s="390"/>
      <c r="TIV9" s="516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6"/>
      <c r="TJJ9" s="34"/>
      <c r="TJK9" s="390"/>
      <c r="TJL9" s="516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6"/>
      <c r="TJZ9" s="34"/>
      <c r="TKA9" s="390"/>
      <c r="TKB9" s="516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6"/>
      <c r="TKP9" s="34"/>
      <c r="TKQ9" s="390"/>
      <c r="TKR9" s="516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6"/>
      <c r="TLF9" s="34"/>
      <c r="TLG9" s="390"/>
      <c r="TLH9" s="516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6"/>
      <c r="TLV9" s="34"/>
      <c r="TLW9" s="390"/>
      <c r="TLX9" s="516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6"/>
      <c r="TML9" s="34"/>
      <c r="TMM9" s="390"/>
      <c r="TMN9" s="516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6"/>
      <c r="TNB9" s="34"/>
      <c r="TNC9" s="390"/>
      <c r="TND9" s="516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6"/>
      <c r="TNR9" s="34"/>
      <c r="TNS9" s="390"/>
      <c r="TNT9" s="516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6"/>
      <c r="TOH9" s="34"/>
      <c r="TOI9" s="390"/>
      <c r="TOJ9" s="516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6"/>
      <c r="TOX9" s="34"/>
      <c r="TOY9" s="390"/>
      <c r="TOZ9" s="516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6"/>
      <c r="TPN9" s="34"/>
      <c r="TPO9" s="390"/>
      <c r="TPP9" s="516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6"/>
      <c r="TQD9" s="34"/>
      <c r="TQE9" s="390"/>
      <c r="TQF9" s="516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6"/>
      <c r="TQT9" s="34"/>
      <c r="TQU9" s="390"/>
      <c r="TQV9" s="516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6"/>
      <c r="TRJ9" s="34"/>
      <c r="TRK9" s="390"/>
      <c r="TRL9" s="516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6"/>
      <c r="TRZ9" s="34"/>
      <c r="TSA9" s="390"/>
      <c r="TSB9" s="516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6"/>
      <c r="TSP9" s="34"/>
      <c r="TSQ9" s="390"/>
      <c r="TSR9" s="516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6"/>
      <c r="TTF9" s="34"/>
      <c r="TTG9" s="390"/>
      <c r="TTH9" s="516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6"/>
      <c r="TTV9" s="34"/>
      <c r="TTW9" s="390"/>
      <c r="TTX9" s="516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6"/>
      <c r="TUL9" s="34"/>
      <c r="TUM9" s="390"/>
      <c r="TUN9" s="516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6"/>
      <c r="TVB9" s="34"/>
      <c r="TVC9" s="390"/>
      <c r="TVD9" s="516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6"/>
      <c r="TVR9" s="34"/>
      <c r="TVS9" s="390"/>
      <c r="TVT9" s="516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6"/>
      <c r="TWH9" s="34"/>
      <c r="TWI9" s="390"/>
      <c r="TWJ9" s="516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6"/>
      <c r="TWX9" s="34"/>
      <c r="TWY9" s="390"/>
      <c r="TWZ9" s="516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6"/>
      <c r="TXN9" s="34"/>
      <c r="TXO9" s="390"/>
      <c r="TXP9" s="516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6"/>
      <c r="TYD9" s="34"/>
      <c r="TYE9" s="390"/>
      <c r="TYF9" s="516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6"/>
      <c r="TYT9" s="34"/>
      <c r="TYU9" s="390"/>
      <c r="TYV9" s="516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6"/>
      <c r="TZJ9" s="34"/>
      <c r="TZK9" s="390"/>
      <c r="TZL9" s="516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6"/>
      <c r="TZZ9" s="34"/>
      <c r="UAA9" s="390"/>
      <c r="UAB9" s="516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6"/>
      <c r="UAP9" s="34"/>
      <c r="UAQ9" s="390"/>
      <c r="UAR9" s="516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6"/>
      <c r="UBF9" s="34"/>
      <c r="UBG9" s="390"/>
      <c r="UBH9" s="516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6"/>
      <c r="UBV9" s="34"/>
      <c r="UBW9" s="390"/>
      <c r="UBX9" s="516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6"/>
      <c r="UCL9" s="34"/>
      <c r="UCM9" s="390"/>
      <c r="UCN9" s="516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6"/>
      <c r="UDB9" s="34"/>
      <c r="UDC9" s="390"/>
      <c r="UDD9" s="516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6"/>
      <c r="UDR9" s="34"/>
      <c r="UDS9" s="390"/>
      <c r="UDT9" s="516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6"/>
      <c r="UEH9" s="34"/>
      <c r="UEI9" s="390"/>
      <c r="UEJ9" s="516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6"/>
      <c r="UEX9" s="34"/>
      <c r="UEY9" s="390"/>
      <c r="UEZ9" s="516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6"/>
      <c r="UFN9" s="34"/>
      <c r="UFO9" s="390"/>
      <c r="UFP9" s="516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6"/>
      <c r="UGD9" s="34"/>
      <c r="UGE9" s="390"/>
      <c r="UGF9" s="516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6"/>
      <c r="UGT9" s="34"/>
      <c r="UGU9" s="390"/>
      <c r="UGV9" s="516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6"/>
      <c r="UHJ9" s="34"/>
      <c r="UHK9" s="390"/>
      <c r="UHL9" s="516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6"/>
      <c r="UHZ9" s="34"/>
      <c r="UIA9" s="390"/>
      <c r="UIB9" s="516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6"/>
      <c r="UIP9" s="34"/>
      <c r="UIQ9" s="390"/>
      <c r="UIR9" s="516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6"/>
      <c r="UJF9" s="34"/>
      <c r="UJG9" s="390"/>
      <c r="UJH9" s="516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6"/>
      <c r="UJV9" s="34"/>
      <c r="UJW9" s="390"/>
      <c r="UJX9" s="516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6"/>
      <c r="UKL9" s="34"/>
      <c r="UKM9" s="390"/>
      <c r="UKN9" s="516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6"/>
      <c r="ULB9" s="34"/>
      <c r="ULC9" s="390"/>
      <c r="ULD9" s="516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6"/>
      <c r="ULR9" s="34"/>
      <c r="ULS9" s="390"/>
      <c r="ULT9" s="516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6"/>
      <c r="UMH9" s="34"/>
      <c r="UMI9" s="390"/>
      <c r="UMJ9" s="516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6"/>
      <c r="UMX9" s="34"/>
      <c r="UMY9" s="390"/>
      <c r="UMZ9" s="516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6"/>
      <c r="UNN9" s="34"/>
      <c r="UNO9" s="390"/>
      <c r="UNP9" s="516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6"/>
      <c r="UOD9" s="34"/>
      <c r="UOE9" s="390"/>
      <c r="UOF9" s="516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6"/>
      <c r="UOT9" s="34"/>
      <c r="UOU9" s="390"/>
      <c r="UOV9" s="516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6"/>
      <c r="UPJ9" s="34"/>
      <c r="UPK9" s="390"/>
      <c r="UPL9" s="516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6"/>
      <c r="UPZ9" s="34"/>
      <c r="UQA9" s="390"/>
      <c r="UQB9" s="516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6"/>
      <c r="UQP9" s="34"/>
      <c r="UQQ9" s="390"/>
      <c r="UQR9" s="516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6"/>
      <c r="URF9" s="34"/>
      <c r="URG9" s="390"/>
      <c r="URH9" s="516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6"/>
      <c r="URV9" s="34"/>
      <c r="URW9" s="390"/>
      <c r="URX9" s="516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6"/>
      <c r="USL9" s="34"/>
      <c r="USM9" s="390"/>
      <c r="USN9" s="516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6"/>
      <c r="UTB9" s="34"/>
      <c r="UTC9" s="390"/>
      <c r="UTD9" s="516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6"/>
      <c r="UTR9" s="34"/>
      <c r="UTS9" s="390"/>
      <c r="UTT9" s="516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6"/>
      <c r="UUH9" s="34"/>
      <c r="UUI9" s="390"/>
      <c r="UUJ9" s="516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6"/>
      <c r="UUX9" s="34"/>
      <c r="UUY9" s="390"/>
      <c r="UUZ9" s="516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6"/>
      <c r="UVN9" s="34"/>
      <c r="UVO9" s="390"/>
      <c r="UVP9" s="516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6"/>
      <c r="UWD9" s="34"/>
      <c r="UWE9" s="390"/>
      <c r="UWF9" s="516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6"/>
      <c r="UWT9" s="34"/>
      <c r="UWU9" s="390"/>
      <c r="UWV9" s="516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6"/>
      <c r="UXJ9" s="34"/>
      <c r="UXK9" s="390"/>
      <c r="UXL9" s="516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6"/>
      <c r="UXZ9" s="34"/>
      <c r="UYA9" s="390"/>
      <c r="UYB9" s="516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6"/>
      <c r="UYP9" s="34"/>
      <c r="UYQ9" s="390"/>
      <c r="UYR9" s="516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6"/>
      <c r="UZF9" s="34"/>
      <c r="UZG9" s="390"/>
      <c r="UZH9" s="516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6"/>
      <c r="UZV9" s="34"/>
      <c r="UZW9" s="390"/>
      <c r="UZX9" s="516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6"/>
      <c r="VAL9" s="34"/>
      <c r="VAM9" s="390"/>
      <c r="VAN9" s="516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6"/>
      <c r="VBB9" s="34"/>
      <c r="VBC9" s="390"/>
      <c r="VBD9" s="516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6"/>
      <c r="VBR9" s="34"/>
      <c r="VBS9" s="390"/>
      <c r="VBT9" s="516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6"/>
      <c r="VCH9" s="34"/>
      <c r="VCI9" s="390"/>
      <c r="VCJ9" s="516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6"/>
      <c r="VCX9" s="34"/>
      <c r="VCY9" s="390"/>
      <c r="VCZ9" s="516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6"/>
      <c r="VDN9" s="34"/>
      <c r="VDO9" s="390"/>
      <c r="VDP9" s="516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6"/>
      <c r="VED9" s="34"/>
      <c r="VEE9" s="390"/>
      <c r="VEF9" s="516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6"/>
      <c r="VET9" s="34"/>
      <c r="VEU9" s="390"/>
      <c r="VEV9" s="516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6"/>
      <c r="VFJ9" s="34"/>
      <c r="VFK9" s="390"/>
      <c r="VFL9" s="516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6"/>
      <c r="VFZ9" s="34"/>
      <c r="VGA9" s="390"/>
      <c r="VGB9" s="516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6"/>
      <c r="VGP9" s="34"/>
      <c r="VGQ9" s="390"/>
      <c r="VGR9" s="516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6"/>
      <c r="VHF9" s="34"/>
      <c r="VHG9" s="390"/>
      <c r="VHH9" s="516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6"/>
      <c r="VHV9" s="34"/>
      <c r="VHW9" s="390"/>
      <c r="VHX9" s="516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6"/>
      <c r="VIL9" s="34"/>
      <c r="VIM9" s="390"/>
      <c r="VIN9" s="516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6"/>
      <c r="VJB9" s="34"/>
      <c r="VJC9" s="390"/>
      <c r="VJD9" s="516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6"/>
      <c r="VJR9" s="34"/>
      <c r="VJS9" s="390"/>
      <c r="VJT9" s="516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6"/>
      <c r="VKH9" s="34"/>
      <c r="VKI9" s="390"/>
      <c r="VKJ9" s="516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6"/>
      <c r="VKX9" s="34"/>
      <c r="VKY9" s="390"/>
      <c r="VKZ9" s="516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6"/>
      <c r="VLN9" s="34"/>
      <c r="VLO9" s="390"/>
      <c r="VLP9" s="516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6"/>
      <c r="VMD9" s="34"/>
      <c r="VME9" s="390"/>
      <c r="VMF9" s="516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6"/>
      <c r="VMT9" s="34"/>
      <c r="VMU9" s="390"/>
      <c r="VMV9" s="516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6"/>
      <c r="VNJ9" s="34"/>
      <c r="VNK9" s="390"/>
      <c r="VNL9" s="516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6"/>
      <c r="VNZ9" s="34"/>
      <c r="VOA9" s="390"/>
      <c r="VOB9" s="516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6"/>
      <c r="VOP9" s="34"/>
      <c r="VOQ9" s="390"/>
      <c r="VOR9" s="516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6"/>
      <c r="VPF9" s="34"/>
      <c r="VPG9" s="390"/>
      <c r="VPH9" s="516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6"/>
      <c r="VPV9" s="34"/>
      <c r="VPW9" s="390"/>
      <c r="VPX9" s="516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6"/>
      <c r="VQL9" s="34"/>
      <c r="VQM9" s="390"/>
      <c r="VQN9" s="516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6"/>
      <c r="VRB9" s="34"/>
      <c r="VRC9" s="390"/>
      <c r="VRD9" s="516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6"/>
      <c r="VRR9" s="34"/>
      <c r="VRS9" s="390"/>
      <c r="VRT9" s="516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6"/>
      <c r="VSH9" s="34"/>
      <c r="VSI9" s="390"/>
      <c r="VSJ9" s="516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6"/>
      <c r="VSX9" s="34"/>
      <c r="VSY9" s="390"/>
      <c r="VSZ9" s="516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6"/>
      <c r="VTN9" s="34"/>
      <c r="VTO9" s="390"/>
      <c r="VTP9" s="516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6"/>
      <c r="VUD9" s="34"/>
      <c r="VUE9" s="390"/>
      <c r="VUF9" s="516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6"/>
      <c r="VUT9" s="34"/>
      <c r="VUU9" s="390"/>
      <c r="VUV9" s="516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6"/>
      <c r="VVJ9" s="34"/>
      <c r="VVK9" s="390"/>
      <c r="VVL9" s="516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6"/>
      <c r="VVZ9" s="34"/>
      <c r="VWA9" s="390"/>
      <c r="VWB9" s="516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6"/>
      <c r="VWP9" s="34"/>
      <c r="VWQ9" s="390"/>
      <c r="VWR9" s="516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6"/>
      <c r="VXF9" s="34"/>
      <c r="VXG9" s="390"/>
      <c r="VXH9" s="516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6"/>
      <c r="VXV9" s="34"/>
      <c r="VXW9" s="390"/>
      <c r="VXX9" s="516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6"/>
      <c r="VYL9" s="34"/>
      <c r="VYM9" s="390"/>
      <c r="VYN9" s="516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6"/>
      <c r="VZB9" s="34"/>
      <c r="VZC9" s="390"/>
      <c r="VZD9" s="516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6"/>
      <c r="VZR9" s="34"/>
      <c r="VZS9" s="390"/>
      <c r="VZT9" s="516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6"/>
      <c r="WAH9" s="34"/>
      <c r="WAI9" s="390"/>
      <c r="WAJ9" s="516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6"/>
      <c r="WAX9" s="34"/>
      <c r="WAY9" s="390"/>
      <c r="WAZ9" s="516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6"/>
      <c r="WBN9" s="34"/>
      <c r="WBO9" s="390"/>
      <c r="WBP9" s="516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6"/>
      <c r="WCD9" s="34"/>
      <c r="WCE9" s="390"/>
      <c r="WCF9" s="516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6"/>
      <c r="WCT9" s="34"/>
      <c r="WCU9" s="390"/>
      <c r="WCV9" s="516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6"/>
      <c r="WDJ9" s="34"/>
      <c r="WDK9" s="390"/>
      <c r="WDL9" s="516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6"/>
      <c r="WDZ9" s="34"/>
      <c r="WEA9" s="390"/>
      <c r="WEB9" s="516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6"/>
      <c r="WEP9" s="34"/>
      <c r="WEQ9" s="390"/>
      <c r="WER9" s="516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6"/>
      <c r="WFF9" s="34"/>
      <c r="WFG9" s="390"/>
      <c r="WFH9" s="516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6"/>
      <c r="WFV9" s="34"/>
      <c r="WFW9" s="390"/>
      <c r="WFX9" s="516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6"/>
      <c r="WGL9" s="34"/>
      <c r="WGM9" s="390"/>
      <c r="WGN9" s="516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6"/>
      <c r="WHB9" s="34"/>
      <c r="WHC9" s="390"/>
      <c r="WHD9" s="516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6"/>
      <c r="WHR9" s="34"/>
      <c r="WHS9" s="390"/>
      <c r="WHT9" s="516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6"/>
      <c r="WIH9" s="34"/>
      <c r="WII9" s="390"/>
      <c r="WIJ9" s="516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6"/>
      <c r="WIX9" s="34"/>
      <c r="WIY9" s="390"/>
      <c r="WIZ9" s="516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6"/>
      <c r="WJN9" s="34"/>
      <c r="WJO9" s="390"/>
      <c r="WJP9" s="516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6"/>
      <c r="WKD9" s="34"/>
      <c r="WKE9" s="390"/>
      <c r="WKF9" s="516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6"/>
      <c r="WKT9" s="34"/>
      <c r="WKU9" s="390"/>
      <c r="WKV9" s="516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6"/>
      <c r="WLJ9" s="34"/>
      <c r="WLK9" s="390"/>
      <c r="WLL9" s="516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6"/>
      <c r="WLZ9" s="34"/>
      <c r="WMA9" s="390"/>
      <c r="WMB9" s="516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6"/>
      <c r="WMP9" s="34"/>
      <c r="WMQ9" s="390"/>
      <c r="WMR9" s="516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6"/>
      <c r="WNF9" s="34"/>
      <c r="WNG9" s="390"/>
      <c r="WNH9" s="516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6"/>
      <c r="WNV9" s="34"/>
      <c r="WNW9" s="390"/>
      <c r="WNX9" s="516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6"/>
      <c r="WOL9" s="34"/>
      <c r="WOM9" s="390"/>
      <c r="WON9" s="516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6"/>
      <c r="WPB9" s="34"/>
      <c r="WPC9" s="390"/>
      <c r="WPD9" s="516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6"/>
      <c r="WPR9" s="34"/>
      <c r="WPS9" s="390"/>
      <c r="WPT9" s="516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6"/>
      <c r="WQH9" s="34"/>
      <c r="WQI9" s="390"/>
      <c r="WQJ9" s="516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6"/>
      <c r="WQX9" s="34"/>
      <c r="WQY9" s="390"/>
      <c r="WQZ9" s="516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6"/>
      <c r="WRN9" s="34"/>
      <c r="WRO9" s="390"/>
      <c r="WRP9" s="516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6"/>
      <c r="WSD9" s="34"/>
      <c r="WSE9" s="390"/>
      <c r="WSF9" s="516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6"/>
      <c r="WST9" s="34"/>
      <c r="WSU9" s="390"/>
      <c r="WSV9" s="516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6"/>
      <c r="WTJ9" s="34"/>
      <c r="WTK9" s="390"/>
      <c r="WTL9" s="516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6"/>
      <c r="WTZ9" s="34"/>
      <c r="WUA9" s="390"/>
      <c r="WUB9" s="516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6"/>
      <c r="WUP9" s="34"/>
      <c r="WUQ9" s="390"/>
      <c r="WUR9" s="516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6"/>
      <c r="WVF9" s="34"/>
      <c r="WVG9" s="390"/>
      <c r="WVH9" s="516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6"/>
      <c r="WVV9" s="34"/>
      <c r="WVW9" s="390"/>
      <c r="WVX9" s="516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6"/>
      <c r="WWL9" s="34"/>
      <c r="WWM9" s="390"/>
      <c r="WWN9" s="516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6"/>
      <c r="WXB9" s="34"/>
      <c r="WXC9" s="390"/>
      <c r="WXD9" s="516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6"/>
      <c r="WXR9" s="34"/>
      <c r="WXS9" s="390"/>
      <c r="WXT9" s="516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6"/>
      <c r="WYH9" s="34"/>
      <c r="WYI9" s="390"/>
      <c r="WYJ9" s="516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6"/>
      <c r="WYX9" s="34"/>
      <c r="WYY9" s="390"/>
      <c r="WYZ9" s="516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6"/>
      <c r="WZN9" s="34"/>
      <c r="WZO9" s="390"/>
      <c r="WZP9" s="516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6"/>
      <c r="XAD9" s="34"/>
      <c r="XAE9" s="390"/>
      <c r="XAF9" s="516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6"/>
      <c r="XAT9" s="34"/>
      <c r="XAU9" s="390"/>
      <c r="XAV9" s="516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6"/>
      <c r="XBJ9" s="34"/>
      <c r="XBK9" s="390"/>
      <c r="XBL9" s="516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6"/>
      <c r="XBZ9" s="34"/>
      <c r="XCA9" s="390"/>
      <c r="XCB9" s="516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6"/>
      <c r="XCP9" s="34"/>
      <c r="XCQ9" s="390"/>
      <c r="XCR9" s="516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6"/>
      <c r="XDF9" s="34"/>
      <c r="XDG9" s="390"/>
      <c r="XDH9" s="516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6"/>
      <c r="XDV9" s="34"/>
      <c r="XDW9" s="390"/>
      <c r="XDX9" s="516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6"/>
      <c r="XEL9" s="34"/>
      <c r="XEM9" s="390"/>
      <c r="XEN9" s="516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6"/>
      <c r="XFB9" s="34"/>
      <c r="XFC9" s="390"/>
      <c r="XFD9" s="516"/>
    </row>
    <row r="10" spans="1:16384" ht="15" customHeight="1" x14ac:dyDescent="0.25">
      <c r="A10" s="9"/>
      <c r="B10" s="514" t="s">
        <v>4</v>
      </c>
      <c r="C10" s="511">
        <f>SUM(C5:C9)</f>
        <v>328129038.38</v>
      </c>
      <c r="D10" s="152">
        <f>SUM(D5:D9)</f>
        <v>334105318.63999999</v>
      </c>
      <c r="E10" s="84">
        <f>SUM(E5:E9)</f>
        <v>308440878.25</v>
      </c>
      <c r="F10" s="90">
        <f>E10/D10</f>
        <v>0.92318457995679637</v>
      </c>
      <c r="G10" s="84">
        <f>SUM(G5:G9)</f>
        <v>302275636.06999999</v>
      </c>
      <c r="H10" s="90">
        <f>G10/D10</f>
        <v>0.90473158972875667</v>
      </c>
      <c r="I10" s="84">
        <f>SUM(I5:I9)</f>
        <v>191561446.44</v>
      </c>
      <c r="J10" s="170">
        <f>I10/D10</f>
        <v>0.57335647100670173</v>
      </c>
      <c r="K10" s="152">
        <f>SUM(K5:K9)</f>
        <v>296752997.92000002</v>
      </c>
      <c r="L10" s="90">
        <v>0.90602132780229139</v>
      </c>
      <c r="M10" s="213">
        <f t="shared" ref="M10" si="0">+G10/K10-1</f>
        <v>1.8610218561258884E-2</v>
      </c>
      <c r="N10" s="694">
        <f>SUM(N5:N9)</f>
        <v>185381474</v>
      </c>
      <c r="O10" s="90">
        <v>0.56599999999999995</v>
      </c>
      <c r="P10" s="213">
        <f>+I10/N10-1</f>
        <v>3.3336515816030143E-2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2">
        <v>16263881.09</v>
      </c>
      <c r="E11" s="180">
        <v>10646593.529999999</v>
      </c>
      <c r="F11" s="48">
        <f>E11/D11</f>
        <v>0.6546157999486456</v>
      </c>
      <c r="G11" s="56">
        <v>7668295.3799999999</v>
      </c>
      <c r="H11" s="48">
        <f>G11/D11</f>
        <v>0.471492341684355</v>
      </c>
      <c r="I11" s="30">
        <v>2247170.5099999998</v>
      </c>
      <c r="J11" s="153">
        <f>I11/D11</f>
        <v>0.13816938881714363</v>
      </c>
      <c r="K11" s="150">
        <v>9117180.6999999993</v>
      </c>
      <c r="L11" s="48">
        <v>0.45409818188583756</v>
      </c>
      <c r="M11" s="210">
        <f>+G11/K11-1</f>
        <v>-0.15891813134733634</v>
      </c>
      <c r="N11" s="683">
        <v>2455876.7000000002</v>
      </c>
      <c r="O11" s="48">
        <v>0.12231951752429243</v>
      </c>
      <c r="P11" s="210">
        <f>+I11/N11-1</f>
        <v>-8.4982356809688575E-2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0</v>
      </c>
      <c r="J12" s="153">
        <f>I12/D12</f>
        <v>0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16477073.09</v>
      </c>
      <c r="E13" s="84">
        <f t="shared" si="1"/>
        <v>10859785.529999999</v>
      </c>
      <c r="F13" s="90">
        <f>E13/D13</f>
        <v>0.65908462447683414</v>
      </c>
      <c r="G13" s="84">
        <f t="shared" si="1"/>
        <v>7881487.3799999999</v>
      </c>
      <c r="H13" s="90">
        <f>G13/D13</f>
        <v>0.47833054675124947</v>
      </c>
      <c r="I13" s="84">
        <f t="shared" si="1"/>
        <v>2247170.5099999998</v>
      </c>
      <c r="J13" s="170">
        <f>I13/D13</f>
        <v>0.13638165575437158</v>
      </c>
      <c r="K13" s="84">
        <f t="shared" ref="K13" si="2">SUM(K11:K12)</f>
        <v>9117180.6999999993</v>
      </c>
      <c r="L13" s="90">
        <v>0.45409818188583756</v>
      </c>
      <c r="M13" s="213">
        <f t="shared" ref="M13" si="3">+G13/K13-1</f>
        <v>-0.13553458691457099</v>
      </c>
      <c r="N13" s="84">
        <f t="shared" ref="N13" si="4">SUM(N11:N12)</f>
        <v>2455876.7000000002</v>
      </c>
      <c r="O13" s="90">
        <v>0.12231951752429243</v>
      </c>
      <c r="P13" s="213">
        <f>+I13/N13-1</f>
        <v>-8.4982356809688575E-2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35" t="s">
        <v>129</v>
      </c>
      <c r="N16" s="84">
        <f t="shared" ref="N16" si="7">SUM(N14:N15)</f>
        <v>0</v>
      </c>
      <c r="O16" s="263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350582391.72999996</v>
      </c>
      <c r="E17" s="155">
        <f t="shared" si="8"/>
        <v>319300663.77999997</v>
      </c>
      <c r="F17" s="181">
        <f>E17/D17</f>
        <v>0.91077210753330839</v>
      </c>
      <c r="G17" s="155">
        <f t="shared" si="8"/>
        <v>310157123.44999999</v>
      </c>
      <c r="H17" s="181">
        <f>G17/D17</f>
        <v>0.88469110476280455</v>
      </c>
      <c r="I17" s="155">
        <f t="shared" si="8"/>
        <v>193808616.94999999</v>
      </c>
      <c r="J17" s="173">
        <f>I17/D17</f>
        <v>0.55281902777154068</v>
      </c>
      <c r="K17" s="155">
        <f t="shared" ref="K17" si="9">+K10+K13+K16</f>
        <v>305870178.62</v>
      </c>
      <c r="L17" s="181">
        <v>0.87991890055138</v>
      </c>
      <c r="M17" s="601">
        <f>+G17/K17-1</f>
        <v>1.4015569773233372E-2</v>
      </c>
      <c r="N17" s="155">
        <f t="shared" ref="N17" si="10">+N10+N13+N16</f>
        <v>187837350.69999999</v>
      </c>
      <c r="O17" s="181">
        <v>0.54</v>
      </c>
      <c r="P17" s="601">
        <f>+I17/N17-1</f>
        <v>3.1789557442901017E-2</v>
      </c>
    </row>
    <row r="19" spans="1:16" x14ac:dyDescent="0.25">
      <c r="C19" t="s">
        <v>777</v>
      </c>
    </row>
    <row r="20" spans="1:16" x14ac:dyDescent="0.25">
      <c r="D20" s="46">
        <f>D17-D5</f>
        <v>306798280.19999993</v>
      </c>
      <c r="E20" s="46">
        <f t="shared" ref="E20:I20" si="11">E17-E5</f>
        <v>288362218.72999996</v>
      </c>
      <c r="F20" s="46">
        <f t="shared" si="11"/>
        <v>0.20415859023487937</v>
      </c>
      <c r="G20" s="46">
        <f t="shared" si="11"/>
        <v>279218678.39999998</v>
      </c>
      <c r="H20" s="46">
        <f t="shared" si="11"/>
        <v>0.17807758746437552</v>
      </c>
      <c r="I20" s="46">
        <f t="shared" si="11"/>
        <v>162871914.29999998</v>
      </c>
      <c r="J20" s="720">
        <f>I20/D20</f>
        <v>0.53087622979445903</v>
      </c>
      <c r="N20" s="46">
        <f>N17-N5</f>
        <v>154564072.56999999</v>
      </c>
      <c r="O20" s="442">
        <f>N20/(343704354.25-47230135.33)</f>
        <v>0.52134068565235769</v>
      </c>
      <c r="P20" s="442">
        <f>I20/N20-1</f>
        <v>5.3750147701610684E-2</v>
      </c>
    </row>
    <row r="21" spans="1:16" x14ac:dyDescent="0.25">
      <c r="D21" s="46">
        <f>D10-D5</f>
        <v>290321207.11000001</v>
      </c>
      <c r="E21" s="46">
        <f t="shared" ref="E21:I21" si="12">E10-E5</f>
        <v>277502433.19999999</v>
      </c>
      <c r="F21" s="46">
        <f t="shared" si="12"/>
        <v>0.21657106265836734</v>
      </c>
      <c r="G21" s="46">
        <f t="shared" si="12"/>
        <v>271337191.01999998</v>
      </c>
      <c r="H21" s="46">
        <f t="shared" si="12"/>
        <v>0.19811807243032764</v>
      </c>
      <c r="I21" s="46">
        <f t="shared" si="12"/>
        <v>160624743.78999999</v>
      </c>
      <c r="J21" s="720">
        <f>I21/D21</f>
        <v>0.55326562392371414</v>
      </c>
      <c r="N21" s="46">
        <f>N10-N5</f>
        <v>152108195.87</v>
      </c>
      <c r="O21" s="442">
        <f>N21/(327147637.74-47230135.33)</f>
        <v>0.54340366200897461</v>
      </c>
      <c r="P21" s="442">
        <f>I21/N21-1</f>
        <v>5.5990065961197155E-2</v>
      </c>
    </row>
    <row r="137" spans="12:12" x14ac:dyDescent="0.25">
      <c r="L137" s="680"/>
    </row>
    <row r="138" spans="12:12" x14ac:dyDescent="0.25">
      <c r="L138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7"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3" zoomScaleNormal="100" workbookViewId="0">
      <selection activeCell="N41" sqref="N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4983348</v>
      </c>
      <c r="E5" s="30">
        <v>3502565.56</v>
      </c>
      <c r="F5" s="48">
        <f>E5/D5</f>
        <v>0.70285389661729425</v>
      </c>
      <c r="G5" s="30">
        <v>3502565.56</v>
      </c>
      <c r="H5" s="48">
        <f>G5/D5</f>
        <v>0.70285389661729425</v>
      </c>
      <c r="I5" s="30">
        <v>3502565.56</v>
      </c>
      <c r="J5" s="153">
        <f>I5/D5</f>
        <v>0.70285389661729425</v>
      </c>
      <c r="K5" s="572">
        <v>3565650.29</v>
      </c>
      <c r="L5" s="48">
        <v>0.70535408084556883</v>
      </c>
      <c r="M5" s="210">
        <f>+G5/K5-1</f>
        <v>-1.7692349184361578E-2</v>
      </c>
      <c r="N5" s="572">
        <v>3565650.29</v>
      </c>
      <c r="O5" s="48">
        <v>0.70535408084556883</v>
      </c>
      <c r="P5" s="210">
        <f>+I5/N5-1</f>
        <v>-1.7692349184361578E-2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31196155.289999999</v>
      </c>
      <c r="E6" s="30">
        <v>30344916.949999999</v>
      </c>
      <c r="F6" s="48">
        <f t="shared" ref="F6:F17" si="0">E6/D6</f>
        <v>0.97271335739654863</v>
      </c>
      <c r="G6" s="30">
        <v>29804552.109999999</v>
      </c>
      <c r="H6" s="280">
        <f t="shared" ref="H6:H17" si="1">G6/D6</f>
        <v>0.95539183700479646</v>
      </c>
      <c r="I6" s="30">
        <v>14887779.02</v>
      </c>
      <c r="J6" s="178">
        <f t="shared" ref="J6:J17" si="2">I6/D6</f>
        <v>0.47723121267999047</v>
      </c>
      <c r="K6" s="573">
        <v>28833214.34</v>
      </c>
      <c r="L6" s="412">
        <v>0.96779144565366959</v>
      </c>
      <c r="M6" s="210">
        <f t="shared" ref="M6:M17" si="3">+G6/K6-1</f>
        <v>3.3688154173378893E-2</v>
      </c>
      <c r="N6" s="573">
        <v>13826058.6</v>
      </c>
      <c r="O6" s="412">
        <v>0.46407386573003051</v>
      </c>
      <c r="P6" s="210">
        <f>+I6/N6-1</f>
        <v>7.6791257054269924E-2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12984740.82</v>
      </c>
      <c r="D8" s="204">
        <v>12982579.92</v>
      </c>
      <c r="E8" s="30">
        <v>12791715.220000001</v>
      </c>
      <c r="F8" s="48">
        <f t="shared" si="0"/>
        <v>0.98529839976521405</v>
      </c>
      <c r="G8" s="30">
        <v>12701023.26</v>
      </c>
      <c r="H8" s="48">
        <f t="shared" si="1"/>
        <v>0.97831273431513754</v>
      </c>
      <c r="I8" s="30">
        <v>10198138.199999999</v>
      </c>
      <c r="J8" s="178">
        <f t="shared" si="2"/>
        <v>0.78552477726630465</v>
      </c>
      <c r="K8" s="629">
        <v>12850470.210000001</v>
      </c>
      <c r="L8" s="414">
        <v>0.97957557363716108</v>
      </c>
      <c r="M8" s="443">
        <f t="shared" si="3"/>
        <v>-1.1629687284415824E-2</v>
      </c>
      <c r="N8" s="629">
        <v>12476043.130000001</v>
      </c>
      <c r="O8" s="414">
        <v>0.95103345683657381</v>
      </c>
      <c r="P8" s="443">
        <f t="shared" ref="P8:P17" si="4">+I8/N8-1</f>
        <v>-0.1825823224771107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49162083.210000001</v>
      </c>
      <c r="E10" s="84">
        <f t="shared" si="5"/>
        <v>46639197.729999997</v>
      </c>
      <c r="F10" s="90">
        <f t="shared" si="0"/>
        <v>0.94868229100009283</v>
      </c>
      <c r="G10" s="84">
        <f>SUM(G5:G9)</f>
        <v>46008140.93</v>
      </c>
      <c r="H10" s="90">
        <f t="shared" si="1"/>
        <v>0.93584604080897738</v>
      </c>
      <c r="I10" s="84">
        <f>SUM(I5:I9)</f>
        <v>28588482.779999997</v>
      </c>
      <c r="J10" s="170">
        <f t="shared" si="2"/>
        <v>0.58151487718455441</v>
      </c>
      <c r="K10" s="562">
        <f>SUM(K5:K9)</f>
        <v>45249334.840000004</v>
      </c>
      <c r="L10" s="90">
        <v>0.94335630926721448</v>
      </c>
      <c r="M10" s="213">
        <f t="shared" si="3"/>
        <v>1.6769441864352475E-2</v>
      </c>
      <c r="N10" s="562">
        <f>SUM(N5:N9)</f>
        <v>29867752.020000003</v>
      </c>
      <c r="O10" s="90">
        <v>0.62268169048947708</v>
      </c>
      <c r="P10" s="213">
        <f t="shared" si="4"/>
        <v>-4.2831118965477644E-2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3041203.12</v>
      </c>
      <c r="E11" s="30">
        <v>1151161.6299999999</v>
      </c>
      <c r="F11" s="48">
        <f t="shared" si="0"/>
        <v>0.37852178383928525</v>
      </c>
      <c r="G11" s="30">
        <v>581647.51</v>
      </c>
      <c r="H11" s="48">
        <f t="shared" si="1"/>
        <v>0.19125572579315253</v>
      </c>
      <c r="I11" s="30">
        <v>245340.62</v>
      </c>
      <c r="J11" s="153">
        <f t="shared" si="2"/>
        <v>8.0672224221577146E-2</v>
      </c>
      <c r="K11" s="559">
        <v>583345.48</v>
      </c>
      <c r="L11" s="48">
        <v>0.57992934241626926</v>
      </c>
      <c r="M11" s="224">
        <f t="shared" si="3"/>
        <v>-2.9107451042561516E-3</v>
      </c>
      <c r="N11" s="559">
        <v>145843.73000000001</v>
      </c>
      <c r="O11" s="48">
        <v>0.14498965250306892</v>
      </c>
      <c r="P11" s="224">
        <f t="shared" si="4"/>
        <v>0.68221575243584343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3041203.12</v>
      </c>
      <c r="E13" s="84">
        <f t="shared" si="6"/>
        <v>1151161.6299999999</v>
      </c>
      <c r="F13" s="90">
        <f t="shared" si="0"/>
        <v>0.37852178383928525</v>
      </c>
      <c r="G13" s="84">
        <f t="shared" si="6"/>
        <v>581647.51</v>
      </c>
      <c r="H13" s="90">
        <f t="shared" si="1"/>
        <v>0.19125572579315253</v>
      </c>
      <c r="I13" s="84">
        <f t="shared" si="6"/>
        <v>245340.62</v>
      </c>
      <c r="J13" s="170">
        <f t="shared" si="2"/>
        <v>8.0672224221577146E-2</v>
      </c>
      <c r="K13" s="562">
        <f>SUM(K11:K12)</f>
        <v>583345.48</v>
      </c>
      <c r="L13" s="90">
        <v>0.57992934241626926</v>
      </c>
      <c r="M13" s="213">
        <f t="shared" si="3"/>
        <v>-2.9107451042561516E-3</v>
      </c>
      <c r="N13" s="562">
        <f>SUM(N11:N12)</f>
        <v>145843.73000000001</v>
      </c>
      <c r="O13" s="90">
        <v>0.14499999999999999</v>
      </c>
      <c r="P13" s="213">
        <f t="shared" si="4"/>
        <v>0.68221575243584343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/>
      <c r="M16" s="635" t="s">
        <v>129</v>
      </c>
      <c r="N16" s="562">
        <f>SUM(N14:N15)</f>
        <v>0</v>
      </c>
      <c r="O16" s="510"/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52203286.329999998</v>
      </c>
      <c r="E17" s="155">
        <f t="shared" si="8"/>
        <v>47790359.359999999</v>
      </c>
      <c r="F17" s="181">
        <f t="shared" si="0"/>
        <v>0.91546649109207534</v>
      </c>
      <c r="G17" s="155">
        <f t="shared" si="8"/>
        <v>46589788.439999998</v>
      </c>
      <c r="H17" s="181">
        <f t="shared" si="1"/>
        <v>0.89246849605378087</v>
      </c>
      <c r="I17" s="155">
        <f t="shared" si="8"/>
        <v>28833823.399999999</v>
      </c>
      <c r="J17" s="173">
        <f t="shared" si="2"/>
        <v>0.55233732255338641</v>
      </c>
      <c r="K17" s="570">
        <f>K10+K13+K16</f>
        <v>45832680.32</v>
      </c>
      <c r="L17" s="181">
        <v>0.93589150963277545</v>
      </c>
      <c r="M17" s="601">
        <f t="shared" si="3"/>
        <v>1.6518957973086668E-2</v>
      </c>
      <c r="N17" s="570">
        <f>N10+N13+N16</f>
        <v>30013595.750000004</v>
      </c>
      <c r="O17" s="181">
        <v>0.6128698832330336</v>
      </c>
      <c r="P17" s="601">
        <f t="shared" si="4"/>
        <v>-3.9307930973249139E-2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Agost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9" sqref="N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5198375.28</v>
      </c>
      <c r="E5" s="30">
        <v>4068228.59</v>
      </c>
      <c r="F5" s="48">
        <f>E5/D5</f>
        <v>0.78259617108674762</v>
      </c>
      <c r="G5" s="30">
        <v>4068228.59</v>
      </c>
      <c r="H5" s="48">
        <f>G5/D5</f>
        <v>0.78259617108674762</v>
      </c>
      <c r="I5" s="30">
        <v>4068228.59</v>
      </c>
      <c r="J5" s="153">
        <f>I5/D5</f>
        <v>0.78259617108674762</v>
      </c>
      <c r="K5" s="204">
        <v>3933656.44</v>
      </c>
      <c r="L5" s="48">
        <v>0.70850015347824657</v>
      </c>
      <c r="M5" s="210">
        <f>+G5/K5-1</f>
        <v>3.4210448231213553E-2</v>
      </c>
      <c r="N5" s="30">
        <v>3933656.44</v>
      </c>
      <c r="O5" s="48">
        <v>0.70850015347824657</v>
      </c>
      <c r="P5" s="210">
        <f>+I5/N5-1</f>
        <v>3.4210448231213553E-2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24409799.879999999</v>
      </c>
      <c r="E6" s="30">
        <v>22948964.129999999</v>
      </c>
      <c r="F6" s="48">
        <f t="shared" ref="F6:F17" si="0">E6/D6</f>
        <v>0.94015371870389952</v>
      </c>
      <c r="G6" s="30">
        <v>22411286.489999998</v>
      </c>
      <c r="H6" s="280">
        <f t="shared" ref="H6:H17" si="1">G6/D6</f>
        <v>0.91812659670194718</v>
      </c>
      <c r="I6" s="30">
        <v>11347337.58</v>
      </c>
      <c r="J6" s="178">
        <f t="shared" ref="J6:J17" si="2">I6/D6</f>
        <v>0.4648681118150978</v>
      </c>
      <c r="K6" s="204">
        <v>21531647.07</v>
      </c>
      <c r="L6" s="412">
        <v>0.91795807423289411</v>
      </c>
      <c r="M6" s="210">
        <f t="shared" ref="M6:M17" si="3">+G6/K6-1</f>
        <v>4.0853327065052847E-2</v>
      </c>
      <c r="N6" s="30">
        <v>10196786.449999999</v>
      </c>
      <c r="O6" s="412">
        <v>0.43471929586137636</v>
      </c>
      <c r="P6" s="210">
        <f>+I6/N6-1</f>
        <v>0.11283467940039094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30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13415073.300000001</v>
      </c>
      <c r="D8" s="204">
        <v>13425365.130000001</v>
      </c>
      <c r="E8" s="30">
        <v>13349285.689999999</v>
      </c>
      <c r="F8" s="48">
        <f t="shared" si="0"/>
        <v>0.99433315673254974</v>
      </c>
      <c r="G8" s="30">
        <v>13297274.08</v>
      </c>
      <c r="H8" s="48">
        <f t="shared" si="1"/>
        <v>0.99045902671847852</v>
      </c>
      <c r="I8" s="30">
        <v>9632398.4600000009</v>
      </c>
      <c r="J8" s="178">
        <f t="shared" si="2"/>
        <v>0.71747757820572589</v>
      </c>
      <c r="K8" s="204">
        <v>13143352.119999999</v>
      </c>
      <c r="L8" s="414">
        <v>0.98576820969403978</v>
      </c>
      <c r="M8" s="443">
        <f t="shared" si="3"/>
        <v>1.1711012426257827E-2</v>
      </c>
      <c r="N8" s="30">
        <v>9206457.0199999996</v>
      </c>
      <c r="O8" s="414">
        <v>0.69049604479671545</v>
      </c>
      <c r="P8" s="443">
        <f t="shared" ref="P8:P17" si="4">+I8/N8-1</f>
        <v>4.6265511159688355E-2</v>
      </c>
    </row>
    <row r="9" spans="1:16" ht="15" customHeight="1" x14ac:dyDescent="0.25">
      <c r="A9" s="55">
        <v>5</v>
      </c>
      <c r="B9" s="55" t="s">
        <v>453</v>
      </c>
      <c r="C9" s="176">
        <v>300000</v>
      </c>
      <c r="D9" s="512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43033540.289999999</v>
      </c>
      <c r="E10" s="84">
        <f t="shared" si="5"/>
        <v>40366478.409999996</v>
      </c>
      <c r="F10" s="90">
        <f t="shared" si="0"/>
        <v>0.93802364708952923</v>
      </c>
      <c r="G10" s="84">
        <f>SUM(G5:G9)</f>
        <v>39776789.159999996</v>
      </c>
      <c r="H10" s="90">
        <f t="shared" si="1"/>
        <v>0.92432063204530734</v>
      </c>
      <c r="I10" s="84">
        <f>SUM(I5:I9)</f>
        <v>25047964.630000003</v>
      </c>
      <c r="J10" s="170">
        <f t="shared" si="2"/>
        <v>0.58205679712158309</v>
      </c>
      <c r="K10" s="562">
        <f>SUM(K5:K9)</f>
        <v>38608655.630000003</v>
      </c>
      <c r="L10" s="90">
        <v>0.91184560409669246</v>
      </c>
      <c r="M10" s="213">
        <f t="shared" si="3"/>
        <v>3.0255742162965227E-2</v>
      </c>
      <c r="N10" s="562">
        <f>SUM(N5:N9)</f>
        <v>23336899.909999996</v>
      </c>
      <c r="O10" s="90">
        <v>0.55116266673743264</v>
      </c>
      <c r="P10" s="213">
        <f t="shared" si="4"/>
        <v>7.332013791886749E-2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996640</v>
      </c>
      <c r="E11" s="30">
        <v>694541.74</v>
      </c>
      <c r="F11" s="48">
        <f t="shared" si="0"/>
        <v>0.69688326777973997</v>
      </c>
      <c r="G11" s="30">
        <v>694541.74</v>
      </c>
      <c r="H11" s="48">
        <f t="shared" si="1"/>
        <v>0.69688326777973997</v>
      </c>
      <c r="I11" s="30">
        <v>249832.36</v>
      </c>
      <c r="J11" s="153">
        <f t="shared" si="2"/>
        <v>0.2506746267458661</v>
      </c>
      <c r="K11" s="559">
        <v>633148.69999999995</v>
      </c>
      <c r="L11" s="48">
        <v>0.37303682963092266</v>
      </c>
      <c r="M11" s="224">
        <f t="shared" si="3"/>
        <v>9.6964646693580958E-2</v>
      </c>
      <c r="N11" s="559">
        <v>33878.720000000001</v>
      </c>
      <c r="O11" s="48">
        <v>1.9960572138509852E-2</v>
      </c>
      <c r="P11" s="224">
        <f t="shared" si="4"/>
        <v>6.3743152043524658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996640</v>
      </c>
      <c r="E13" s="84">
        <f t="shared" si="6"/>
        <v>694541.74</v>
      </c>
      <c r="F13" s="90" t="s">
        <v>129</v>
      </c>
      <c r="G13" s="84">
        <f t="shared" si="6"/>
        <v>694541.74</v>
      </c>
      <c r="H13" s="90" t="s">
        <v>129</v>
      </c>
      <c r="I13" s="84">
        <f t="shared" si="6"/>
        <v>249832.36</v>
      </c>
      <c r="J13" s="170" t="s">
        <v>129</v>
      </c>
      <c r="K13" s="562">
        <f>SUM(K11:K12)</f>
        <v>633148.69999999995</v>
      </c>
      <c r="L13" s="90">
        <v>0.37303682963092266</v>
      </c>
      <c r="M13" s="623">
        <f t="shared" si="3"/>
        <v>9.6964646693580958E-2</v>
      </c>
      <c r="N13" s="562">
        <f>SUM(N11:N12)</f>
        <v>33878.720000000001</v>
      </c>
      <c r="O13" s="90">
        <v>0.02</v>
      </c>
      <c r="P13" s="213">
        <f t="shared" si="4"/>
        <v>6.3743152043524658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/>
      <c r="M16" s="635" t="s">
        <v>129</v>
      </c>
      <c r="N16" s="562">
        <f>SUM(N14:N15)</f>
        <v>0</v>
      </c>
      <c r="O16" s="510"/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44030180.289999999</v>
      </c>
      <c r="E17" s="155">
        <f t="shared" si="8"/>
        <v>41061020.149999999</v>
      </c>
      <c r="F17" s="181">
        <f t="shared" si="0"/>
        <v>0.93256534221654441</v>
      </c>
      <c r="G17" s="155">
        <f t="shared" si="8"/>
        <v>40471330.899999999</v>
      </c>
      <c r="H17" s="181">
        <f t="shared" si="1"/>
        <v>0.9191725001678388</v>
      </c>
      <c r="I17" s="155">
        <f t="shared" si="8"/>
        <v>25297796.990000002</v>
      </c>
      <c r="J17" s="173">
        <f t="shared" si="2"/>
        <v>0.57455583473378513</v>
      </c>
      <c r="K17" s="570">
        <f>K10+K13+K16</f>
        <v>39241804.330000006</v>
      </c>
      <c r="L17" s="181">
        <v>0.89107944741247092</v>
      </c>
      <c r="M17" s="601">
        <f t="shared" si="3"/>
        <v>3.1332060056678657E-2</v>
      </c>
      <c r="N17" s="570">
        <f>N10+N13+N16</f>
        <v>23370778.629999995</v>
      </c>
      <c r="O17" s="181">
        <v>0.53100000000000003</v>
      </c>
      <c r="P17" s="601">
        <f t="shared" si="4"/>
        <v>8.2454178806280032E-2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3" sqref="F3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Agost&amp;R&amp;"Arial,Negreta"&amp;8&amp;K03+000Direcció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O17" sqref="O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4761555.16</v>
      </c>
      <c r="E5" s="30">
        <v>3395634.38</v>
      </c>
      <c r="F5" s="48">
        <f>E5/D5</f>
        <v>0.71313557564667585</v>
      </c>
      <c r="G5" s="30">
        <v>3395634.38</v>
      </c>
      <c r="H5" s="48">
        <f>G5/D5</f>
        <v>0.71313557564667585</v>
      </c>
      <c r="I5" s="30">
        <v>3395634.38</v>
      </c>
      <c r="J5" s="153">
        <f>I5/D5</f>
        <v>0.71313557564667585</v>
      </c>
      <c r="K5" s="572">
        <v>3640591.49</v>
      </c>
      <c r="L5" s="48">
        <v>0.7024187256695712</v>
      </c>
      <c r="M5" s="210">
        <f>+G5/K5-1</f>
        <v>-6.7284975716954243E-2</v>
      </c>
      <c r="N5" s="572">
        <v>3640591.49</v>
      </c>
      <c r="O5" s="48">
        <v>0.7024187256695712</v>
      </c>
      <c r="P5" s="210">
        <f>+I5/N5-1</f>
        <v>-6.7284975716954243E-2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21660663.93</v>
      </c>
      <c r="E6" s="30">
        <v>20568760.52</v>
      </c>
      <c r="F6" s="48">
        <f t="shared" ref="F6:F17" si="0">E6/D6</f>
        <v>0.94959049207685109</v>
      </c>
      <c r="G6" s="30">
        <v>20006027.030000001</v>
      </c>
      <c r="H6" s="280">
        <f t="shared" ref="H6:H17" si="1">G6/D6</f>
        <v>0.92361097954581495</v>
      </c>
      <c r="I6" s="30">
        <v>9845848.6799999997</v>
      </c>
      <c r="J6" s="178">
        <f t="shared" ref="J6:J17" si="2">I6/D6</f>
        <v>0.4545497179504045</v>
      </c>
      <c r="K6" s="573">
        <v>18978238.43</v>
      </c>
      <c r="L6" s="412">
        <v>0.90623408468170752</v>
      </c>
      <c r="M6" s="210">
        <f t="shared" ref="M6:M17" si="3">+G6/K6-1</f>
        <v>5.415616437694859E-2</v>
      </c>
      <c r="N6" s="573">
        <v>9845175.3399999999</v>
      </c>
      <c r="O6" s="412">
        <v>0.47011915756481609</v>
      </c>
      <c r="P6" s="210">
        <f>+I6/N6-1</f>
        <v>6.8392890603341527E-5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10482732.210000001</v>
      </c>
      <c r="D8" s="204">
        <v>10633943.17</v>
      </c>
      <c r="E8" s="30">
        <v>10393495.310000001</v>
      </c>
      <c r="F8" s="48">
        <f t="shared" si="0"/>
        <v>0.97738864538242598</v>
      </c>
      <c r="G8" s="30">
        <v>10364977.24</v>
      </c>
      <c r="H8" s="48">
        <f t="shared" si="1"/>
        <v>0.97470684903048999</v>
      </c>
      <c r="I8" s="30">
        <v>7104469.3499999996</v>
      </c>
      <c r="J8" s="178">
        <f t="shared" si="2"/>
        <v>0.6680935976828245</v>
      </c>
      <c r="K8" s="629">
        <v>9997856.3699999992</v>
      </c>
      <c r="L8" s="414">
        <v>0.97412922696155335</v>
      </c>
      <c r="M8" s="443">
        <f t="shared" si="3"/>
        <v>3.6719958400442732E-2</v>
      </c>
      <c r="N8" s="629">
        <v>6295732.6500000004</v>
      </c>
      <c r="O8" s="414">
        <v>0.61341721190390663</v>
      </c>
      <c r="P8" s="443">
        <f t="shared" ref="P8:P17" si="4">+I8/N8-1</f>
        <v>0.12845791664930362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37056162.259999998</v>
      </c>
      <c r="E10" s="84">
        <f t="shared" si="5"/>
        <v>34357890.210000001</v>
      </c>
      <c r="F10" s="90">
        <f t="shared" si="0"/>
        <v>0.92718425531851079</v>
      </c>
      <c r="G10" s="84">
        <f>SUM(G5:G9)</f>
        <v>33766638.649999999</v>
      </c>
      <c r="H10" s="90">
        <f t="shared" si="1"/>
        <v>0.91122870234323072</v>
      </c>
      <c r="I10" s="84">
        <f>SUM(I5:I9)</f>
        <v>20345952.409999996</v>
      </c>
      <c r="J10" s="170">
        <f t="shared" si="2"/>
        <v>0.54905719235697226</v>
      </c>
      <c r="K10" s="562">
        <f>SUM(K5:K9)</f>
        <v>32616686.289999999</v>
      </c>
      <c r="L10" s="90">
        <v>0.89635372102624122</v>
      </c>
      <c r="M10" s="213">
        <f t="shared" si="3"/>
        <v>3.5256566218149654E-2</v>
      </c>
      <c r="N10" s="562">
        <f>SUM(N5:N9)</f>
        <v>19781499.48</v>
      </c>
      <c r="O10" s="90">
        <v>0.54362422070487582</v>
      </c>
      <c r="P10" s="213">
        <f t="shared" si="4"/>
        <v>2.8534385402415152E-2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1250852.68</v>
      </c>
      <c r="E11" s="30">
        <v>776271.87</v>
      </c>
      <c r="F11" s="48">
        <f t="shared" si="0"/>
        <v>0.62059416141635482</v>
      </c>
      <c r="G11" s="30">
        <v>776271.87</v>
      </c>
      <c r="H11" s="48">
        <f t="shared" si="1"/>
        <v>0.62059416141635482</v>
      </c>
      <c r="I11" s="30">
        <v>92196.08</v>
      </c>
      <c r="J11" s="153">
        <f t="shared" si="2"/>
        <v>7.3706585494944146E-2</v>
      </c>
      <c r="K11" s="559">
        <v>1078826.1599999999</v>
      </c>
      <c r="L11" s="48">
        <v>0.51079146027196765</v>
      </c>
      <c r="M11" s="224">
        <f t="shared" si="3"/>
        <v>-0.28044767657469483</v>
      </c>
      <c r="N11" s="559">
        <v>384375.85</v>
      </c>
      <c r="O11" s="48">
        <v>0.18199030482796116</v>
      </c>
      <c r="P11" s="224">
        <f t="shared" si="4"/>
        <v>-0.76014081009511913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1250852.68</v>
      </c>
      <c r="E13" s="84">
        <f t="shared" si="6"/>
        <v>776271.87</v>
      </c>
      <c r="F13" s="90">
        <f t="shared" si="0"/>
        <v>0.62059416141635482</v>
      </c>
      <c r="G13" s="84">
        <f t="shared" si="6"/>
        <v>776271.87</v>
      </c>
      <c r="H13" s="90">
        <f t="shared" si="1"/>
        <v>0.62059416141635482</v>
      </c>
      <c r="I13" s="84">
        <f t="shared" si="6"/>
        <v>92196.08</v>
      </c>
      <c r="J13" s="170">
        <f t="shared" si="2"/>
        <v>7.3706585494944146E-2</v>
      </c>
      <c r="K13" s="562">
        <f>SUM(K11:K12)</f>
        <v>1078826.1599999999</v>
      </c>
      <c r="L13" s="90">
        <v>0.51079146027196765</v>
      </c>
      <c r="M13" s="213">
        <f t="shared" si="3"/>
        <v>-0.28044767657469483</v>
      </c>
      <c r="N13" s="562">
        <f>SUM(N11:N12)</f>
        <v>384375.85</v>
      </c>
      <c r="O13" s="90">
        <v>0.18199030482796116</v>
      </c>
      <c r="P13" s="213">
        <v>-1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38307014.939999998</v>
      </c>
      <c r="E17" s="155">
        <f t="shared" si="8"/>
        <v>35134162.079999998</v>
      </c>
      <c r="F17" s="181">
        <f t="shared" si="0"/>
        <v>0.91717305916502201</v>
      </c>
      <c r="G17" s="155">
        <f t="shared" si="8"/>
        <v>34542910.519999996</v>
      </c>
      <c r="H17" s="181">
        <f t="shared" si="1"/>
        <v>0.90173850857615268</v>
      </c>
      <c r="I17" s="155">
        <f t="shared" si="8"/>
        <v>20438148.489999995</v>
      </c>
      <c r="J17" s="173">
        <f t="shared" si="2"/>
        <v>0.53353539872558908</v>
      </c>
      <c r="K17" s="570">
        <f>K10+K13+K16</f>
        <v>33695512.449999996</v>
      </c>
      <c r="L17" s="181">
        <v>0.87520233833968142</v>
      </c>
      <c r="M17" s="601">
        <f t="shared" si="3"/>
        <v>2.5148692166573561E-2</v>
      </c>
      <c r="N17" s="570">
        <f>N10+N13+N16</f>
        <v>20165875.330000002</v>
      </c>
      <c r="O17" s="181">
        <v>0.52378551208181723</v>
      </c>
      <c r="P17" s="601">
        <f t="shared" si="4"/>
        <v>1.3501678233373893E-2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I1" sqref="I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3" zoomScaleNormal="100" workbookViewId="0">
      <selection activeCell="N41" sqref="N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5" t="s">
        <v>17</v>
      </c>
      <c r="O4" s="89" t="s">
        <v>18</v>
      </c>
      <c r="P4" s="581" t="s">
        <v>508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3427940.35</v>
      </c>
      <c r="E5" s="30">
        <v>2396053.09</v>
      </c>
      <c r="F5" s="48">
        <f>E5/D5</f>
        <v>0.69897747491434614</v>
      </c>
      <c r="G5" s="30">
        <v>2396053.09</v>
      </c>
      <c r="H5" s="48">
        <f>G5/D5</f>
        <v>0.69897747491434614</v>
      </c>
      <c r="I5" s="30">
        <v>2394310.69</v>
      </c>
      <c r="J5" s="153">
        <f>I5/D5</f>
        <v>0.69846918135550395</v>
      </c>
      <c r="K5" s="572">
        <v>2668897.59</v>
      </c>
      <c r="L5" s="48">
        <v>0.70313114654124131</v>
      </c>
      <c r="M5" s="210">
        <f>+G5/K5-1</f>
        <v>-0.10223116129382848</v>
      </c>
      <c r="N5" s="572">
        <v>2668897.59</v>
      </c>
      <c r="O5" s="48">
        <v>0.70313114654124131</v>
      </c>
      <c r="P5" s="210">
        <f>+I5/N5-1</f>
        <v>-0.10288401511876666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8892228.3000000007</v>
      </c>
      <c r="E6" s="30">
        <v>8303166.0199999996</v>
      </c>
      <c r="F6" s="48">
        <f t="shared" ref="F6:F17" si="0">E6/D6</f>
        <v>0.93375538052706075</v>
      </c>
      <c r="G6" s="30">
        <v>7916971.2000000002</v>
      </c>
      <c r="H6" s="280">
        <f t="shared" ref="H6:H17" si="1">G6/D6</f>
        <v>0.89032477944813893</v>
      </c>
      <c r="I6" s="30">
        <v>3775539.52</v>
      </c>
      <c r="J6" s="178">
        <f t="shared" ref="J6:J17" si="2">I6/D6</f>
        <v>0.42458868493063767</v>
      </c>
      <c r="K6" s="573">
        <v>7522165.96</v>
      </c>
      <c r="L6" s="412">
        <v>0.88846681701149499</v>
      </c>
      <c r="M6" s="210">
        <f t="shared" ref="M6:M17" si="3">+G6/K6-1</f>
        <v>5.2485579565702656E-2</v>
      </c>
      <c r="N6" s="573">
        <v>3806140.17</v>
      </c>
      <c r="O6" s="412">
        <v>0.44955525574970034</v>
      </c>
      <c r="P6" s="210">
        <f>+I6/N6-1</f>
        <v>-8.039811628902771E-3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4060522.45</v>
      </c>
      <c r="D8" s="204">
        <v>3863988.3</v>
      </c>
      <c r="E8" s="30">
        <v>3826920.84</v>
      </c>
      <c r="F8" s="48">
        <f t="shared" si="0"/>
        <v>0.99040694300238952</v>
      </c>
      <c r="G8" s="30">
        <v>3812920.84</v>
      </c>
      <c r="H8" s="48">
        <f t="shared" si="1"/>
        <v>0.98678374362572474</v>
      </c>
      <c r="I8" s="30">
        <v>2476492.61</v>
      </c>
      <c r="J8" s="178">
        <f t="shared" si="2"/>
        <v>0.64091617720478089</v>
      </c>
      <c r="K8" s="629">
        <v>3790385.94</v>
      </c>
      <c r="L8" s="414">
        <v>0.98429635093808054</v>
      </c>
      <c r="M8" s="443">
        <f t="shared" si="3"/>
        <v>5.9452784905591471E-3</v>
      </c>
      <c r="N8" s="629">
        <v>2737271.19</v>
      </c>
      <c r="O8" s="414">
        <v>0.71082103155040122</v>
      </c>
      <c r="P8" s="443">
        <f t="shared" ref="P8:P17" si="4">+I8/N8-1</f>
        <v>-9.5269544703022291E-2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16184156.949999999</v>
      </c>
      <c r="E10" s="84">
        <f t="shared" si="5"/>
        <v>14526139.949999999</v>
      </c>
      <c r="F10" s="90">
        <f t="shared" si="0"/>
        <v>0.89755308199726769</v>
      </c>
      <c r="G10" s="84">
        <f>SUM(G5:G9)</f>
        <v>14125945.129999999</v>
      </c>
      <c r="H10" s="90">
        <f t="shared" si="1"/>
        <v>0.87282551532596198</v>
      </c>
      <c r="I10" s="84">
        <f>SUM(I5:I9)</f>
        <v>8646342.8200000003</v>
      </c>
      <c r="J10" s="170">
        <f t="shared" si="2"/>
        <v>0.53424734119375927</v>
      </c>
      <c r="K10" s="562">
        <f>SUM(K5:K9)</f>
        <v>13981449.49</v>
      </c>
      <c r="L10" s="90">
        <v>0.86770981168559935</v>
      </c>
      <c r="M10" s="213">
        <f t="shared" si="3"/>
        <v>1.0334811144105505E-2</v>
      </c>
      <c r="N10" s="562">
        <f>SUM(N5:N9)</f>
        <v>9212308.9499999993</v>
      </c>
      <c r="O10" s="90">
        <v>0.57172976735433323</v>
      </c>
      <c r="P10" s="213">
        <f t="shared" si="4"/>
        <v>-6.1435860767565686E-2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937373.89</v>
      </c>
      <c r="E11" s="30">
        <v>615286.63</v>
      </c>
      <c r="F11" s="48">
        <f t="shared" si="0"/>
        <v>0.65639403504187643</v>
      </c>
      <c r="G11" s="30">
        <v>419476.5</v>
      </c>
      <c r="H11" s="48">
        <f t="shared" si="1"/>
        <v>0.44750179674836044</v>
      </c>
      <c r="I11" s="30">
        <v>30830.43</v>
      </c>
      <c r="J11" s="153">
        <f t="shared" si="2"/>
        <v>3.2890216304189993E-2</v>
      </c>
      <c r="K11" s="559">
        <v>927893.63</v>
      </c>
      <c r="L11" s="48">
        <v>0.55595907952508483</v>
      </c>
      <c r="M11" s="224">
        <f t="shared" si="3"/>
        <v>-0.54792609148529237</v>
      </c>
      <c r="N11" s="559">
        <v>207767.85</v>
      </c>
      <c r="O11" s="48">
        <v>0.12448670721115512</v>
      </c>
      <c r="P11" s="224">
        <f t="shared" si="4"/>
        <v>-0.85161116120708757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224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937373.89</v>
      </c>
      <c r="E13" s="84">
        <f t="shared" si="6"/>
        <v>615286.63</v>
      </c>
      <c r="F13" s="90">
        <f t="shared" si="0"/>
        <v>0.65639403504187643</v>
      </c>
      <c r="G13" s="84">
        <f t="shared" si="6"/>
        <v>419476.5</v>
      </c>
      <c r="H13" s="90">
        <f>G13/D13</f>
        <v>0.44750179674836044</v>
      </c>
      <c r="I13" s="84">
        <f t="shared" si="6"/>
        <v>30830.43</v>
      </c>
      <c r="J13" s="170">
        <f t="shared" si="2"/>
        <v>3.2890216304189993E-2</v>
      </c>
      <c r="K13" s="562">
        <f>SUM(K11:K12)</f>
        <v>927893.63</v>
      </c>
      <c r="L13" s="90">
        <v>0.55595907952508483</v>
      </c>
      <c r="M13" s="213">
        <f t="shared" si="3"/>
        <v>-0.54792609148529237</v>
      </c>
      <c r="N13" s="562">
        <f>SUM(N11:N12)</f>
        <v>207767.85</v>
      </c>
      <c r="O13" s="90">
        <v>0.12448670721115512</v>
      </c>
      <c r="P13" s="213">
        <f t="shared" si="4"/>
        <v>-0.85161116120708757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17121530.84</v>
      </c>
      <c r="E17" s="155">
        <f t="shared" si="8"/>
        <v>15141426.58</v>
      </c>
      <c r="F17" s="181">
        <f t="shared" si="0"/>
        <v>0.88435004565281039</v>
      </c>
      <c r="G17" s="155">
        <f t="shared" si="8"/>
        <v>14545421.629999999</v>
      </c>
      <c r="H17" s="181">
        <f t="shared" si="1"/>
        <v>0.84953978507683481</v>
      </c>
      <c r="I17" s="155">
        <f t="shared" si="8"/>
        <v>8677173.25</v>
      </c>
      <c r="J17" s="173">
        <f t="shared" si="2"/>
        <v>0.50679891483348227</v>
      </c>
      <c r="K17" s="570">
        <f>K10+K13+K16</f>
        <v>14909343.120000001</v>
      </c>
      <c r="L17" s="181">
        <v>0.83844935021996969</v>
      </c>
      <c r="M17" s="601">
        <f t="shared" si="3"/>
        <v>-2.4408955315531222E-2</v>
      </c>
      <c r="N17" s="570">
        <f>N10+N13+N16</f>
        <v>9420076.7999999989</v>
      </c>
      <c r="O17" s="181">
        <v>0.53</v>
      </c>
      <c r="P17" s="601">
        <f t="shared" si="4"/>
        <v>-7.8863852787272259E-2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4117127.04</v>
      </c>
      <c r="E5" s="30">
        <v>2885479.68</v>
      </c>
      <c r="F5" s="48">
        <f>E5/D5</f>
        <v>0.70084786113376774</v>
      </c>
      <c r="G5" s="30">
        <v>2885479.68</v>
      </c>
      <c r="H5" s="48">
        <f>G5/D5</f>
        <v>0.70084786113376774</v>
      </c>
      <c r="I5" s="30">
        <v>2885479.68</v>
      </c>
      <c r="J5" s="153">
        <f>I5/D5</f>
        <v>0.70084786113376774</v>
      </c>
      <c r="K5" s="572">
        <v>3257432.66</v>
      </c>
      <c r="L5" s="48">
        <v>0.71829769325597514</v>
      </c>
      <c r="M5" s="210">
        <f>+G5/K5-1</f>
        <v>-0.11418593070777405</v>
      </c>
      <c r="N5" s="572">
        <v>3257432.66</v>
      </c>
      <c r="O5" s="48">
        <v>0.71829769325597514</v>
      </c>
      <c r="P5" s="210">
        <f>+I5/N5-1</f>
        <v>-0.11418593070777405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12403350.68</v>
      </c>
      <c r="E6" s="30">
        <v>11367025.67</v>
      </c>
      <c r="F6" s="48">
        <f t="shared" ref="F6:F17" si="0">E6/D6</f>
        <v>0.91644797952290102</v>
      </c>
      <c r="G6" s="30">
        <v>11065538.4</v>
      </c>
      <c r="H6" s="280">
        <f t="shared" ref="H6:H17" si="1">G6/D6</f>
        <v>0.89214105812897981</v>
      </c>
      <c r="I6" s="30">
        <v>5030002.88</v>
      </c>
      <c r="J6" s="178">
        <f t="shared" ref="J6:J17" si="2">I6/D6</f>
        <v>0.40553581123129223</v>
      </c>
      <c r="K6" s="573">
        <v>10924686.460000001</v>
      </c>
      <c r="L6" s="412">
        <v>0.92301634586016468</v>
      </c>
      <c r="M6" s="210">
        <f t="shared" ref="M6:M17" si="3">+G6/K6-1</f>
        <v>1.2892996107093824E-2</v>
      </c>
      <c r="N6" s="573">
        <v>5207336.8600000003</v>
      </c>
      <c r="O6" s="412">
        <v>0.43996292779464757</v>
      </c>
      <c r="P6" s="210">
        <f>+I6/N6-1</f>
        <v>-3.4054639591724167E-2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5903469.7199999997</v>
      </c>
      <c r="D8" s="204">
        <v>5688749.6699999999</v>
      </c>
      <c r="E8" s="30">
        <v>5460868.46</v>
      </c>
      <c r="F8" s="48">
        <f t="shared" si="0"/>
        <v>0.95994177574700701</v>
      </c>
      <c r="G8" s="30">
        <v>5447168.46</v>
      </c>
      <c r="H8" s="48">
        <f t="shared" si="1"/>
        <v>0.95753351368684858</v>
      </c>
      <c r="I8" s="30">
        <v>5012823.2</v>
      </c>
      <c r="J8" s="178">
        <f t="shared" si="2"/>
        <v>0.88118189247023071</v>
      </c>
      <c r="K8" s="629">
        <v>5469137.71</v>
      </c>
      <c r="L8" s="414">
        <v>0.9844782027622625</v>
      </c>
      <c r="M8" s="443">
        <f t="shared" si="3"/>
        <v>-4.0169495018986812E-3</v>
      </c>
      <c r="N8" s="629">
        <v>4977065.3899999997</v>
      </c>
      <c r="O8" s="414">
        <v>0.89590217873257005</v>
      </c>
      <c r="P8" s="443">
        <f t="shared" ref="P8:P17" si="4">+I8/N8-1</f>
        <v>7.1845168182531616E-3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22209227.390000001</v>
      </c>
      <c r="E10" s="84">
        <f t="shared" si="5"/>
        <v>19713373.809999999</v>
      </c>
      <c r="F10" s="90">
        <f t="shared" si="0"/>
        <v>0.88762087324461392</v>
      </c>
      <c r="G10" s="84">
        <f>SUM(G5:G9)</f>
        <v>19398186.539999999</v>
      </c>
      <c r="H10" s="90">
        <f t="shared" si="1"/>
        <v>0.87342914723518428</v>
      </c>
      <c r="I10" s="84">
        <f>SUM(I5:I9)</f>
        <v>12928305.760000002</v>
      </c>
      <c r="J10" s="170">
        <f t="shared" si="2"/>
        <v>0.58211416061331078</v>
      </c>
      <c r="K10" s="562">
        <f>SUM(K5:K9)</f>
        <v>19651256.830000002</v>
      </c>
      <c r="L10" s="90">
        <v>0.89624729210841358</v>
      </c>
      <c r="M10" s="213">
        <f t="shared" si="3"/>
        <v>-1.2878071473457098E-2</v>
      </c>
      <c r="N10" s="562">
        <f>SUM(N5:N9)</f>
        <v>13441834.91</v>
      </c>
      <c r="O10" s="90">
        <v>0.61305026153158471</v>
      </c>
      <c r="P10" s="213">
        <f t="shared" si="4"/>
        <v>-3.8203798323542926E-2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1286375.31</v>
      </c>
      <c r="E11" s="30">
        <v>738524.14</v>
      </c>
      <c r="F11" s="48">
        <f t="shared" si="0"/>
        <v>0.57411249598688274</v>
      </c>
      <c r="G11" s="30">
        <v>622948.63</v>
      </c>
      <c r="H11" s="48">
        <f t="shared" si="1"/>
        <v>0.48426662511114271</v>
      </c>
      <c r="I11" s="30">
        <v>68451.25</v>
      </c>
      <c r="J11" s="153">
        <f t="shared" si="2"/>
        <v>5.3212502966960708E-2</v>
      </c>
      <c r="K11" s="559">
        <v>523531.42</v>
      </c>
      <c r="L11" s="48">
        <v>0.4341844166872626</v>
      </c>
      <c r="M11" s="224">
        <f t="shared" si="3"/>
        <v>0.18989731313547531</v>
      </c>
      <c r="N11" s="559">
        <v>81679.11</v>
      </c>
      <c r="O11" s="48">
        <v>6.7739576606280397E-2</v>
      </c>
      <c r="P11" s="224">
        <f t="shared" si="4"/>
        <v>-0.16194912016058938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1286375.31</v>
      </c>
      <c r="E13" s="84">
        <f t="shared" si="6"/>
        <v>738524.14</v>
      </c>
      <c r="F13" s="90">
        <f t="shared" si="0"/>
        <v>0.57411249598688274</v>
      </c>
      <c r="G13" s="84">
        <f t="shared" si="6"/>
        <v>622948.63</v>
      </c>
      <c r="H13" s="90">
        <f t="shared" si="1"/>
        <v>0.48426662511114271</v>
      </c>
      <c r="I13" s="84">
        <f t="shared" si="6"/>
        <v>68451.25</v>
      </c>
      <c r="J13" s="170">
        <f t="shared" si="2"/>
        <v>5.3212502966960708E-2</v>
      </c>
      <c r="K13" s="562">
        <f>SUM(K11:K12)</f>
        <v>523531.42</v>
      </c>
      <c r="L13" s="90">
        <v>0.4341844166872626</v>
      </c>
      <c r="M13" s="213">
        <f t="shared" si="3"/>
        <v>0.18989731313547531</v>
      </c>
      <c r="N13" s="562">
        <f>SUM(N11:N12)</f>
        <v>81679.11</v>
      </c>
      <c r="O13" s="90">
        <v>6.7739576606280397E-2</v>
      </c>
      <c r="P13" s="213">
        <f t="shared" si="4"/>
        <v>-0.16194912016058938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23495602.699999999</v>
      </c>
      <c r="E17" s="155">
        <f t="shared" si="8"/>
        <v>20451897.949999999</v>
      </c>
      <c r="F17" s="181">
        <f t="shared" si="0"/>
        <v>0.87045640884964404</v>
      </c>
      <c r="G17" s="155">
        <f t="shared" si="8"/>
        <v>20021135.169999998</v>
      </c>
      <c r="H17" s="181">
        <f t="shared" si="1"/>
        <v>0.85212264718793529</v>
      </c>
      <c r="I17" s="155">
        <f t="shared" si="8"/>
        <v>12996757.010000002</v>
      </c>
      <c r="J17" s="173">
        <f t="shared" si="2"/>
        <v>0.55315699605356372</v>
      </c>
      <c r="K17" s="570">
        <f>K10+K13+K16</f>
        <v>20174788.250000004</v>
      </c>
      <c r="L17" s="181">
        <v>0.87216168412024064</v>
      </c>
      <c r="M17" s="601">
        <f t="shared" si="3"/>
        <v>-7.6160938145165558E-3</v>
      </c>
      <c r="N17" s="570">
        <f>N10+N13+N16</f>
        <v>13523514.02</v>
      </c>
      <c r="O17" s="181">
        <v>0.58499999999999996</v>
      </c>
      <c r="P17" s="601">
        <f t="shared" si="4"/>
        <v>-3.8951193396995376E-2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4138812.57</v>
      </c>
      <c r="E5" s="30">
        <v>2768789.57</v>
      </c>
      <c r="F5" s="48">
        <f>E5/D5</f>
        <v>0.66898162774256775</v>
      </c>
      <c r="G5" s="30">
        <v>2768789.57</v>
      </c>
      <c r="H5" s="48">
        <f>G5/D5</f>
        <v>0.66898162774256775</v>
      </c>
      <c r="I5" s="30">
        <v>2768789.57</v>
      </c>
      <c r="J5" s="153">
        <f>I5/D5</f>
        <v>0.66898162774256775</v>
      </c>
      <c r="K5" s="572">
        <v>3178467.26</v>
      </c>
      <c r="L5" s="48">
        <v>0.71406785932361971</v>
      </c>
      <c r="M5" s="210">
        <f>+G5/K5-1</f>
        <v>-0.12889158719854177</v>
      </c>
      <c r="N5" s="572">
        <v>3178467.26</v>
      </c>
      <c r="O5" s="48">
        <v>0.71406785932361971</v>
      </c>
      <c r="P5" s="210">
        <f>+I5/N5-1</f>
        <v>-0.12889158719854177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12655222.529999999</v>
      </c>
      <c r="E6" s="30">
        <v>12032995.67</v>
      </c>
      <c r="F6" s="48">
        <f t="shared" ref="F6:F17" si="0">E6/D6</f>
        <v>0.95083240468312813</v>
      </c>
      <c r="G6" s="30">
        <v>11668759.67</v>
      </c>
      <c r="H6" s="280">
        <f t="shared" ref="H6:H17" si="1">G6/D6</f>
        <v>0.92205092738104544</v>
      </c>
      <c r="I6" s="30">
        <v>5623132.2199999997</v>
      </c>
      <c r="J6" s="178">
        <f t="shared" ref="J6:J17" si="2">I6/D6</f>
        <v>0.44433293896413217</v>
      </c>
      <c r="K6" s="573">
        <v>10989370.800000001</v>
      </c>
      <c r="L6" s="412">
        <v>0.92301173392640445</v>
      </c>
      <c r="M6" s="210">
        <f t="shared" ref="M6:M17" si="3">+G6/K6-1</f>
        <v>6.1822362932734798E-2</v>
      </c>
      <c r="N6" s="573">
        <v>5347668.5599999996</v>
      </c>
      <c r="O6" s="412">
        <v>0.44915772885098365</v>
      </c>
      <c r="P6" s="210">
        <f>+I6/N6-1</f>
        <v>5.1510982198941679E-2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8849400</v>
      </c>
      <c r="D8" s="204">
        <v>8862426.2599999998</v>
      </c>
      <c r="E8" s="30">
        <v>8732830.1600000001</v>
      </c>
      <c r="F8" s="48">
        <f t="shared" si="0"/>
        <v>0.98537690512755816</v>
      </c>
      <c r="G8" s="30">
        <v>8710830.1600000001</v>
      </c>
      <c r="H8" s="48">
        <f t="shared" si="1"/>
        <v>0.98289451493839575</v>
      </c>
      <c r="I8" s="30">
        <v>7246907.4400000004</v>
      </c>
      <c r="J8" s="178">
        <f t="shared" si="2"/>
        <v>0.81771145140112012</v>
      </c>
      <c r="K8" s="629">
        <v>8762466.8800000008</v>
      </c>
      <c r="L8" s="414">
        <v>0.99649976329785828</v>
      </c>
      <c r="M8" s="443">
        <f t="shared" si="3"/>
        <v>-5.8929432438551421E-3</v>
      </c>
      <c r="N8" s="629">
        <v>5740113.5999999996</v>
      </c>
      <c r="O8" s="414">
        <v>0.65278670059895472</v>
      </c>
      <c r="P8" s="443">
        <f t="shared" ref="P8:P17" si="4">+I8/N8-1</f>
        <v>0.26250244246037235</v>
      </c>
    </row>
    <row r="9" spans="1:16" ht="15" customHeight="1" x14ac:dyDescent="0.25">
      <c r="A9" s="55">
        <v>5</v>
      </c>
      <c r="B9" s="55" t="s">
        <v>453</v>
      </c>
      <c r="C9" s="176">
        <v>150000</v>
      </c>
      <c r="D9" s="512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25656461.359999999</v>
      </c>
      <c r="E10" s="84">
        <f t="shared" si="5"/>
        <v>23534615.399999999</v>
      </c>
      <c r="F10" s="90">
        <f t="shared" si="0"/>
        <v>0.91729779371257758</v>
      </c>
      <c r="G10" s="84">
        <f>SUM(G5:G9)</f>
        <v>23148379.399999999</v>
      </c>
      <c r="H10" s="90">
        <f t="shared" si="1"/>
        <v>0.90224365220099079</v>
      </c>
      <c r="I10" s="84">
        <f>SUM(I5:I9)</f>
        <v>15638829.23</v>
      </c>
      <c r="J10" s="170">
        <f t="shared" si="2"/>
        <v>0.60954739667964875</v>
      </c>
      <c r="K10" s="562">
        <f>SUM(K5:K9)</f>
        <v>22930304.940000001</v>
      </c>
      <c r="L10" s="90">
        <v>0.91172544807639333</v>
      </c>
      <c r="M10" s="213">
        <f t="shared" si="3"/>
        <v>9.5103166124748117E-3</v>
      </c>
      <c r="N10" s="562">
        <f>SUM(N5:N9)</f>
        <v>14266249.42</v>
      </c>
      <c r="O10" s="90">
        <v>0.56699999999999995</v>
      </c>
      <c r="P10" s="213">
        <f t="shared" si="4"/>
        <v>9.621167901885741E-2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1245516.47</v>
      </c>
      <c r="E11" s="30">
        <v>970822.49</v>
      </c>
      <c r="F11" s="48">
        <f t="shared" si="0"/>
        <v>0.77945375543689122</v>
      </c>
      <c r="G11" s="30">
        <v>631572.88</v>
      </c>
      <c r="H11" s="48">
        <f t="shared" si="1"/>
        <v>0.50707710031325404</v>
      </c>
      <c r="I11" s="30">
        <v>55465.5</v>
      </c>
      <c r="J11" s="153">
        <f t="shared" si="2"/>
        <v>4.4532128908740969E-2</v>
      </c>
      <c r="K11" s="559">
        <v>1141409.1499999999</v>
      </c>
      <c r="L11" s="48">
        <v>0.43798120540018437</v>
      </c>
      <c r="M11" s="224">
        <f t="shared" si="3"/>
        <v>-0.44667266772830749</v>
      </c>
      <c r="N11" s="559">
        <v>96435.19</v>
      </c>
      <c r="O11" s="48">
        <v>3.7004084608219419E-2</v>
      </c>
      <c r="P11" s="224">
        <f t="shared" si="4"/>
        <v>-0.42484169938380378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224" t="s">
        <v>129</v>
      </c>
      <c r="N12" s="563"/>
      <c r="O12" s="517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1245516.47</v>
      </c>
      <c r="E13" s="84">
        <f t="shared" si="6"/>
        <v>970822.49</v>
      </c>
      <c r="F13" s="90">
        <f t="shared" si="0"/>
        <v>0.77945375543689122</v>
      </c>
      <c r="G13" s="84">
        <f t="shared" si="6"/>
        <v>631572.88</v>
      </c>
      <c r="H13" s="90">
        <f t="shared" si="1"/>
        <v>0.50707710031325404</v>
      </c>
      <c r="I13" s="84">
        <f t="shared" si="6"/>
        <v>55465.5</v>
      </c>
      <c r="J13" s="170">
        <f t="shared" si="2"/>
        <v>4.4532128908740969E-2</v>
      </c>
      <c r="K13" s="562">
        <f>SUM(K11:K12)</f>
        <v>1141409.1499999999</v>
      </c>
      <c r="L13" s="90">
        <v>0.43798120540018437</v>
      </c>
      <c r="M13" s="213">
        <f t="shared" si="3"/>
        <v>-0.44667266772830749</v>
      </c>
      <c r="N13" s="562">
        <f>SUM(N11:N12)</f>
        <v>96435.19</v>
      </c>
      <c r="O13" s="90">
        <v>3.7004084608219419E-2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26901977.829999998</v>
      </c>
      <c r="E17" s="155">
        <f t="shared" si="8"/>
        <v>24505437.889999997</v>
      </c>
      <c r="F17" s="181">
        <f t="shared" si="0"/>
        <v>0.91091584584805219</v>
      </c>
      <c r="G17" s="155">
        <f t="shared" si="8"/>
        <v>23779952.279999997</v>
      </c>
      <c r="H17" s="181">
        <f t="shared" si="1"/>
        <v>0.88394810338002572</v>
      </c>
      <c r="I17" s="155">
        <f t="shared" si="8"/>
        <v>15694294.73</v>
      </c>
      <c r="J17" s="173">
        <f t="shared" si="2"/>
        <v>0.58338813707958515</v>
      </c>
      <c r="K17" s="570">
        <f>K10+K13+K16</f>
        <v>24071714.09</v>
      </c>
      <c r="L17" s="181">
        <v>0.86724544278579263</v>
      </c>
      <c r="M17" s="601">
        <f t="shared" si="3"/>
        <v>-1.2120524899438156E-2</v>
      </c>
      <c r="N17" s="570">
        <f>N10+N13+N16</f>
        <v>14362684.609999999</v>
      </c>
      <c r="O17" s="181">
        <v>0.51700000000000002</v>
      </c>
      <c r="P17" s="601">
        <f t="shared" si="4"/>
        <v>9.2713176969218436E-2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9" sqref="N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2927737.56</v>
      </c>
      <c r="F5" s="48">
        <f>E5/D5</f>
        <v>0.68638435576329493</v>
      </c>
      <c r="G5" s="30">
        <v>2927737.56</v>
      </c>
      <c r="H5" s="48">
        <f>G5/D5</f>
        <v>0.68638435576329493</v>
      </c>
      <c r="I5" s="30">
        <v>2927737.56</v>
      </c>
      <c r="J5" s="153">
        <f>I5/D5</f>
        <v>0.68638435576329493</v>
      </c>
      <c r="K5" s="572">
        <v>3091125.76</v>
      </c>
      <c r="L5" s="48">
        <v>0.69378110581650398</v>
      </c>
      <c r="M5" s="210">
        <f>+G5/K5-1</f>
        <v>-5.2857183008950037E-2</v>
      </c>
      <c r="N5" s="572">
        <v>3091125.76</v>
      </c>
      <c r="O5" s="48">
        <v>0.69378110581650398</v>
      </c>
      <c r="P5" s="210">
        <f>+I5/N5-1</f>
        <v>-5.2857183008950037E-2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14280372.4</v>
      </c>
      <c r="E6" s="30">
        <v>13469397.01</v>
      </c>
      <c r="F6" s="48">
        <f t="shared" ref="F6:F17" si="0">E6/D6</f>
        <v>0.94321048728393098</v>
      </c>
      <c r="G6" s="30">
        <v>12869552.17</v>
      </c>
      <c r="H6" s="280">
        <f t="shared" ref="H6:H17" si="1">G6/D6</f>
        <v>0.9012056415279478</v>
      </c>
      <c r="I6" s="30">
        <v>6392344.0199999996</v>
      </c>
      <c r="J6" s="178">
        <f t="shared" ref="J6:J17" si="2">I6/D6</f>
        <v>0.44763146512901858</v>
      </c>
      <c r="K6" s="573">
        <v>12498357.300000001</v>
      </c>
      <c r="L6" s="412">
        <v>0.93734809871326175</v>
      </c>
      <c r="M6" s="210">
        <f t="shared" ref="M6:M17" si="3">+G6/K6-1</f>
        <v>2.9699492588517895E-2</v>
      </c>
      <c r="N6" s="573">
        <v>6055737.6699999999</v>
      </c>
      <c r="O6" s="412">
        <v>0.4541664200367177</v>
      </c>
      <c r="P6" s="210">
        <f>+I6/N6-1</f>
        <v>5.558469807362032E-2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13307434.48</v>
      </c>
      <c r="D8" s="204">
        <v>13103325.26</v>
      </c>
      <c r="E8" s="30">
        <v>12906957.439999999</v>
      </c>
      <c r="F8" s="48">
        <f t="shared" si="0"/>
        <v>0.98501389409912277</v>
      </c>
      <c r="G8" s="30">
        <v>12891407.439999999</v>
      </c>
      <c r="H8" s="48">
        <f t="shared" si="1"/>
        <v>0.98382717243180151</v>
      </c>
      <c r="I8" s="30">
        <v>8090931.4400000004</v>
      </c>
      <c r="J8" s="178">
        <f t="shared" si="2"/>
        <v>0.61747161727709421</v>
      </c>
      <c r="K8" s="629">
        <v>12862882.710000001</v>
      </c>
      <c r="L8" s="414">
        <v>0.95781323084373726</v>
      </c>
      <c r="M8" s="443">
        <f t="shared" si="3"/>
        <v>2.2176001012450541E-3</v>
      </c>
      <c r="N8" s="629">
        <v>8231889.8799999999</v>
      </c>
      <c r="O8" s="414">
        <v>0.61297402920287247</v>
      </c>
      <c r="P8" s="443">
        <f t="shared" ref="P8:P17" si="4">+I8/N8-1</f>
        <v>-1.7123460354161013E-2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31649146.799999997</v>
      </c>
      <c r="E10" s="84">
        <f t="shared" si="5"/>
        <v>29304092.009999998</v>
      </c>
      <c r="F10" s="90">
        <f t="shared" si="0"/>
        <v>0.92590464429202246</v>
      </c>
      <c r="G10" s="84">
        <f>SUM(G5:G9)</f>
        <v>28688697.170000002</v>
      </c>
      <c r="H10" s="90">
        <f t="shared" si="1"/>
        <v>0.90646036530754137</v>
      </c>
      <c r="I10" s="84">
        <f>SUM(I5:I9)</f>
        <v>17411013.02</v>
      </c>
      <c r="J10" s="170">
        <f t="shared" si="2"/>
        <v>0.55012582582478975</v>
      </c>
      <c r="K10" s="562">
        <f>SUM(K5:K9)</f>
        <v>28452365.770000003</v>
      </c>
      <c r="L10" s="90">
        <v>0.91139014539048513</v>
      </c>
      <c r="M10" s="213">
        <f t="shared" si="3"/>
        <v>8.3062126330875063E-3</v>
      </c>
      <c r="N10" s="562">
        <f>SUM(N5:N9)</f>
        <v>17378753.309999999</v>
      </c>
      <c r="O10" s="90">
        <v>0.55700000000000005</v>
      </c>
      <c r="P10" s="213">
        <f t="shared" si="4"/>
        <v>1.8562729687541246E-3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944632.09</v>
      </c>
      <c r="E11" s="30">
        <v>675031.21</v>
      </c>
      <c r="F11" s="48">
        <f t="shared" si="0"/>
        <v>0.71459694959124243</v>
      </c>
      <c r="G11" s="30">
        <v>642877.12</v>
      </c>
      <c r="H11" s="48">
        <f t="shared" si="1"/>
        <v>0.6805582054702376</v>
      </c>
      <c r="I11" s="30">
        <v>404147.3</v>
      </c>
      <c r="J11" s="153">
        <f t="shared" si="2"/>
        <v>0.42783566668796952</v>
      </c>
      <c r="K11" s="559">
        <v>765997.9</v>
      </c>
      <c r="L11" s="48">
        <v>0.52465615338697569</v>
      </c>
      <c r="M11" s="224">
        <f t="shared" si="3"/>
        <v>-0.16073252942338356</v>
      </c>
      <c r="N11" s="559">
        <v>162427.35999999999</v>
      </c>
      <c r="O11" s="48">
        <v>0.11125162863031544</v>
      </c>
      <c r="P11" s="224">
        <f t="shared" si="4"/>
        <v>1.4881725591058061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3"/>
      <c r="L12" s="390" t="s">
        <v>129</v>
      </c>
      <c r="M12" s="553" t="s">
        <v>129</v>
      </c>
      <c r="N12" s="563"/>
      <c r="O12" s="390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888223.21</v>
      </c>
      <c r="F13" s="90">
        <f t="shared" si="0"/>
        <v>0.7671486693630637</v>
      </c>
      <c r="G13" s="84">
        <f t="shared" si="6"/>
        <v>856069.12</v>
      </c>
      <c r="H13" s="90">
        <f t="shared" si="1"/>
        <v>0.73937753359407132</v>
      </c>
      <c r="I13" s="84">
        <f t="shared" si="6"/>
        <v>404147.3</v>
      </c>
      <c r="J13" s="170">
        <f t="shared" si="2"/>
        <v>0.3490576016603697</v>
      </c>
      <c r="K13" s="562">
        <f>SUM(K11:K12)</f>
        <v>765997.9</v>
      </c>
      <c r="L13" s="90">
        <v>0.52500000000000002</v>
      </c>
      <c r="M13" s="623">
        <f t="shared" si="3"/>
        <v>0.11758677145198426</v>
      </c>
      <c r="N13" s="562">
        <f>SUM(N11:N12)</f>
        <v>162427.35999999999</v>
      </c>
      <c r="O13" s="90">
        <v>0.111</v>
      </c>
      <c r="P13" s="213">
        <f t="shared" si="4"/>
        <v>1.4881725591058061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32806970.889999997</v>
      </c>
      <c r="E17" s="155">
        <f t="shared" si="8"/>
        <v>30192315.219999999</v>
      </c>
      <c r="F17" s="181">
        <f t="shared" si="0"/>
        <v>0.92030182613424449</v>
      </c>
      <c r="G17" s="155">
        <f t="shared" si="8"/>
        <v>29544766.290000003</v>
      </c>
      <c r="H17" s="181">
        <f t="shared" si="1"/>
        <v>0.90056367559998174</v>
      </c>
      <c r="I17" s="155">
        <f t="shared" si="8"/>
        <v>17815160.32</v>
      </c>
      <c r="J17" s="173">
        <f t="shared" si="2"/>
        <v>0.54302972315649845</v>
      </c>
      <c r="K17" s="570">
        <f>K10+K13+K16</f>
        <v>29218363.670000002</v>
      </c>
      <c r="L17" s="181">
        <v>0.8941118414001914</v>
      </c>
      <c r="M17" s="601">
        <f t="shared" si="3"/>
        <v>1.1171146464137305E-2</v>
      </c>
      <c r="N17" s="570">
        <f>N10+N13+N16</f>
        <v>17541180.669999998</v>
      </c>
      <c r="O17" s="181">
        <v>0.53700000000000003</v>
      </c>
      <c r="P17" s="601">
        <f t="shared" si="4"/>
        <v>1.5619225133948866E-2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3922460.54</v>
      </c>
      <c r="E5" s="30">
        <v>2907891.56</v>
      </c>
      <c r="F5" s="48">
        <f>E5/D5</f>
        <v>0.74134373828525502</v>
      </c>
      <c r="G5" s="30">
        <v>2907891.56</v>
      </c>
      <c r="H5" s="48">
        <f>G5/D5</f>
        <v>0.74134373828525502</v>
      </c>
      <c r="I5" s="30">
        <v>2907891.56</v>
      </c>
      <c r="J5" s="153">
        <f>I5/D5</f>
        <v>0.74134373828525502</v>
      </c>
      <c r="K5" s="572">
        <v>2984708.73</v>
      </c>
      <c r="L5" s="48">
        <v>0.69902231498379408</v>
      </c>
      <c r="M5" s="210">
        <f>+G5/K5-1</f>
        <v>-2.5736906662915837E-2</v>
      </c>
      <c r="N5" s="572">
        <v>2984708.73</v>
      </c>
      <c r="O5" s="48">
        <v>0.69902231498379408</v>
      </c>
      <c r="P5" s="210">
        <f>+I5/N5-1</f>
        <v>-2.5736906662915837E-2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16944128.48</v>
      </c>
      <c r="E6" s="30">
        <v>15171016.539999999</v>
      </c>
      <c r="F6" s="48">
        <f t="shared" ref="F6:F17" si="0">E6/D6</f>
        <v>0.89535537681428146</v>
      </c>
      <c r="G6" s="30">
        <v>14060116.83</v>
      </c>
      <c r="H6" s="280">
        <f t="shared" ref="H6:H17" si="1">G6/D6</f>
        <v>0.82979285990399898</v>
      </c>
      <c r="I6" s="30">
        <v>7158177.5300000003</v>
      </c>
      <c r="J6" s="178">
        <f t="shared" ref="J6:J17" si="2">I6/D6</f>
        <v>0.42245769904596475</v>
      </c>
      <c r="K6" s="573">
        <v>13712148.09</v>
      </c>
      <c r="L6" s="412">
        <v>0.917990217813897</v>
      </c>
      <c r="M6" s="210">
        <f t="shared" ref="M6:M17" si="3">+G6/K6-1</f>
        <v>2.5376676047844438E-2</v>
      </c>
      <c r="N6" s="573">
        <v>6190574.9900000002</v>
      </c>
      <c r="O6" s="412">
        <v>0.41444179614773718</v>
      </c>
      <c r="P6" s="210">
        <f>+I6/N6-1</f>
        <v>0.15630253111593428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14580370.869999999</v>
      </c>
      <c r="D8" s="204">
        <v>14383603.02</v>
      </c>
      <c r="E8" s="30">
        <v>13973093.890000001</v>
      </c>
      <c r="F8" s="48">
        <f t="shared" si="0"/>
        <v>0.97145992353729471</v>
      </c>
      <c r="G8" s="30">
        <v>13913193.890000001</v>
      </c>
      <c r="H8" s="48">
        <f t="shared" si="1"/>
        <v>0.96729545932643524</v>
      </c>
      <c r="I8" s="30">
        <v>9342383.5999999996</v>
      </c>
      <c r="J8" s="178">
        <f t="shared" si="2"/>
        <v>0.64951622948781851</v>
      </c>
      <c r="K8" s="629">
        <v>13532604.359999999</v>
      </c>
      <c r="L8" s="414">
        <v>0.94846908881354774</v>
      </c>
      <c r="M8" s="443">
        <f t="shared" si="3"/>
        <v>2.8123893958280188E-2</v>
      </c>
      <c r="N8" s="629">
        <v>6295709.21</v>
      </c>
      <c r="O8" s="414">
        <v>0.44125176640010488</v>
      </c>
      <c r="P8" s="443">
        <f t="shared" ref="P8:P17" si="4">+I8/N8-1</f>
        <v>0.48392870260918541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35250192.039999999</v>
      </c>
      <c r="E10" s="84">
        <f t="shared" si="5"/>
        <v>32052001.989999998</v>
      </c>
      <c r="F10" s="90">
        <f t="shared" si="0"/>
        <v>0.90927169853795775</v>
      </c>
      <c r="G10" s="84">
        <f>SUM(G5:G9)</f>
        <v>30881202.280000001</v>
      </c>
      <c r="H10" s="90">
        <f t="shared" si="1"/>
        <v>0.87605770331570654</v>
      </c>
      <c r="I10" s="84">
        <f>SUM(I5:I9)</f>
        <v>19408452.689999998</v>
      </c>
      <c r="J10" s="170">
        <f t="shared" si="2"/>
        <v>0.55059140296246734</v>
      </c>
      <c r="K10" s="562">
        <f>SUM(K5:K9)</f>
        <v>30229461.18</v>
      </c>
      <c r="L10" s="90">
        <v>0.90305096120953476</v>
      </c>
      <c r="M10" s="213">
        <f t="shared" si="3"/>
        <v>2.1559798771114025E-2</v>
      </c>
      <c r="N10" s="562">
        <f>SUM(N5:N9)</f>
        <v>15470992.93</v>
      </c>
      <c r="O10" s="90">
        <v>0.46200000000000002</v>
      </c>
      <c r="P10" s="213">
        <f t="shared" si="4"/>
        <v>0.25450595044645263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4294086.95</v>
      </c>
      <c r="E11" s="30">
        <v>3301581.28</v>
      </c>
      <c r="F11" s="48">
        <f t="shared" si="0"/>
        <v>0.76886689031762612</v>
      </c>
      <c r="G11" s="30">
        <v>2283196</v>
      </c>
      <c r="H11" s="48">
        <f t="shared" si="1"/>
        <v>0.53170697905872633</v>
      </c>
      <c r="I11" s="30">
        <v>476349.77</v>
      </c>
      <c r="J11" s="153">
        <f t="shared" si="2"/>
        <v>0.11093156136486709</v>
      </c>
      <c r="K11" s="559">
        <v>1386551.88</v>
      </c>
      <c r="L11" s="48">
        <v>0.28689747871183452</v>
      </c>
      <c r="M11" s="224">
        <f t="shared" si="3"/>
        <v>0.64667188652183727</v>
      </c>
      <c r="N11" s="559">
        <v>186235.86</v>
      </c>
      <c r="O11" s="48">
        <v>3.8534871612398804E-2</v>
      </c>
      <c r="P11" s="224">
        <f t="shared" si="4"/>
        <v>1.5577768427627205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4294086.95</v>
      </c>
      <c r="E13" s="84">
        <f t="shared" si="6"/>
        <v>3301581.28</v>
      </c>
      <c r="F13" s="90">
        <f t="shared" si="0"/>
        <v>0.76886689031762612</v>
      </c>
      <c r="G13" s="84">
        <f t="shared" si="6"/>
        <v>2283196</v>
      </c>
      <c r="H13" s="90">
        <f t="shared" si="1"/>
        <v>0.53170697905872633</v>
      </c>
      <c r="I13" s="84">
        <f t="shared" si="6"/>
        <v>476349.77</v>
      </c>
      <c r="J13" s="170">
        <f t="shared" si="2"/>
        <v>0.11093156136486709</v>
      </c>
      <c r="K13" s="562">
        <f>SUM(K11:K12)</f>
        <v>1386551.88</v>
      </c>
      <c r="L13" s="90">
        <v>0.28699999999999998</v>
      </c>
      <c r="M13" s="623">
        <f t="shared" si="3"/>
        <v>0.64667188652183727</v>
      </c>
      <c r="N13" s="562">
        <f>SUM(N11:N12)</f>
        <v>186235.86</v>
      </c>
      <c r="O13" s="90">
        <v>3.9E-2</v>
      </c>
      <c r="P13" s="213">
        <f t="shared" si="4"/>
        <v>1.5577768427627205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39544278.990000002</v>
      </c>
      <c r="E17" s="155">
        <f t="shared" si="8"/>
        <v>35353583.269999996</v>
      </c>
      <c r="F17" s="181">
        <f t="shared" si="0"/>
        <v>0.89402523381296817</v>
      </c>
      <c r="G17" s="155">
        <f t="shared" si="8"/>
        <v>33164398.280000001</v>
      </c>
      <c r="H17" s="181">
        <f t="shared" si="1"/>
        <v>0.83866488723657473</v>
      </c>
      <c r="I17" s="155">
        <f t="shared" si="8"/>
        <v>19884802.459999997</v>
      </c>
      <c r="J17" s="173">
        <f t="shared" si="2"/>
        <v>0.50284903323255647</v>
      </c>
      <c r="K17" s="570">
        <f>K10+K13+K16</f>
        <v>31616013.059999999</v>
      </c>
      <c r="L17" s="181">
        <v>0.82531680548184094</v>
      </c>
      <c r="M17" s="601">
        <f t="shared" si="3"/>
        <v>4.8974714713759804E-2</v>
      </c>
      <c r="N17" s="570">
        <f>N10+N13+N16</f>
        <v>15657228.789999999</v>
      </c>
      <c r="O17" s="181">
        <v>0.40899999999999997</v>
      </c>
      <c r="P17" s="601">
        <f t="shared" si="4"/>
        <v>0.27000778533044589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C11" zoomScaleNormal="100" workbookViewId="0">
      <selection activeCell="E31" sqref="E3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9.44140625" style="97" bestFit="1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765</v>
      </c>
      <c r="D2" s="754" t="s">
        <v>782</v>
      </c>
      <c r="E2" s="752"/>
      <c r="F2" s="752"/>
      <c r="G2" s="752"/>
      <c r="H2" s="753"/>
      <c r="I2" s="748" t="s">
        <v>784</v>
      </c>
      <c r="J2" s="749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1159934.6499999999</v>
      </c>
      <c r="F5" s="48">
        <f t="shared" ref="F5:F14" si="0">+E5/D5</f>
        <v>11.594708616553378</v>
      </c>
      <c r="G5" s="136">
        <v>660671.65</v>
      </c>
      <c r="H5" s="153">
        <f>+G5/E5</f>
        <v>0.56957661364801893</v>
      </c>
      <c r="I5" s="30">
        <v>647174.35</v>
      </c>
      <c r="J5" s="52">
        <v>6.4704494101179764</v>
      </c>
      <c r="K5" s="145">
        <f>+E5/I5-1</f>
        <v>0.7923062772806122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35">
        <v>3921373</v>
      </c>
      <c r="E7" s="137">
        <v>95859.06</v>
      </c>
      <c r="F7" s="390">
        <f>+E7/D7</f>
        <v>2.4445279752780467E-2</v>
      </c>
      <c r="G7" s="137">
        <v>95859.06</v>
      </c>
      <c r="H7" s="392">
        <f>+G7/E7</f>
        <v>1</v>
      </c>
      <c r="I7" s="206">
        <v>42404.61</v>
      </c>
      <c r="J7" s="329">
        <v>848.09220000000005</v>
      </c>
      <c r="K7" s="145">
        <f>+E7/I7-1</f>
        <v>1.2605811019132118</v>
      </c>
      <c r="L7" s="60" t="s">
        <v>225</v>
      </c>
    </row>
    <row r="8" spans="1:13" ht="15" customHeight="1" thickBot="1" x14ac:dyDescent="0.3">
      <c r="A8" s="9"/>
      <c r="B8" s="514" t="s">
        <v>218</v>
      </c>
      <c r="C8" s="162">
        <f>SUM(C5:C7)</f>
        <v>4021413</v>
      </c>
      <c r="D8" s="152">
        <f t="shared" ref="D8:G8" si="1">SUM(D5:D7)</f>
        <v>4021423</v>
      </c>
      <c r="E8" s="84">
        <f>SUM(E5:E7)</f>
        <v>1255793.71</v>
      </c>
      <c r="F8" s="90">
        <f>+E8/D8</f>
        <v>0.31227595555105742</v>
      </c>
      <c r="G8" s="84">
        <f t="shared" si="1"/>
        <v>756530.71</v>
      </c>
      <c r="H8" s="170">
        <f>+G8/E8</f>
        <v>0.60243231350473958</v>
      </c>
      <c r="I8" s="84">
        <f t="shared" ref="I8" si="2">SUM(I5:I7)</f>
        <v>689578.96</v>
      </c>
      <c r="J8" s="43">
        <v>6.8902773780975215</v>
      </c>
      <c r="K8" s="231">
        <f>+E8/I8-1</f>
        <v>0.82110212585372389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/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v>722035</v>
      </c>
      <c r="F12" s="48">
        <f t="shared" si="0"/>
        <v>0.15756879898819548</v>
      </c>
      <c r="G12" s="136">
        <v>722035</v>
      </c>
      <c r="H12" s="348">
        <f>+G12/E12</f>
        <v>1</v>
      </c>
      <c r="I12" s="136">
        <v>456004.74</v>
      </c>
      <c r="J12" s="52">
        <v>4.5600474000000002E-2</v>
      </c>
      <c r="K12" s="145">
        <f>+E12/I12-1</f>
        <v>0.58339362875920986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2900826.77</v>
      </c>
      <c r="F13" s="48">
        <f t="shared" si="0"/>
        <v>0.7189193580916321</v>
      </c>
      <c r="G13" s="136">
        <v>2900826.77</v>
      </c>
      <c r="H13" s="348">
        <f>+G13/E13</f>
        <v>1</v>
      </c>
      <c r="I13" s="136">
        <v>17526534.420000002</v>
      </c>
      <c r="J13" s="52">
        <v>1.99050152459352</v>
      </c>
      <c r="K13" s="145">
        <f>+E13/I13-1</f>
        <v>-0.83448942611896004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 t="shared" si="0"/>
        <v>-8.2046191441722954E-2</v>
      </c>
      <c r="G14" s="136">
        <v>-97802.26</v>
      </c>
      <c r="H14" s="348">
        <f>+G14/E14</f>
        <v>1</v>
      </c>
      <c r="I14" s="136">
        <v>327932.49</v>
      </c>
      <c r="J14" s="52" t="s">
        <v>129</v>
      </c>
      <c r="K14" s="145">
        <f>+E14/I14-1</f>
        <v>-1.2982390064491627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35">
        <v>10</v>
      </c>
      <c r="E15" s="137">
        <v>0</v>
      </c>
      <c r="F15" s="517" t="s">
        <v>129</v>
      </c>
      <c r="G15" s="137">
        <v>0</v>
      </c>
      <c r="H15" s="506" t="s">
        <v>129</v>
      </c>
      <c r="I15" s="535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37"/>
      <c r="B16" s="536" t="s">
        <v>6</v>
      </c>
      <c r="C16" s="515">
        <f>SUM(C9:C15)</f>
        <v>15057423.99</v>
      </c>
      <c r="D16" s="152">
        <f>SUM(D9:D15)</f>
        <v>16041795.24</v>
      </c>
      <c r="E16" s="84">
        <f>SUM(E9:E15)</f>
        <v>3525059.5100000002</v>
      </c>
      <c r="F16" s="90">
        <f>E16/D16</f>
        <v>0.2197422082293079</v>
      </c>
      <c r="G16" s="84">
        <f>SUM(G9:G15)</f>
        <v>3525059.5100000002</v>
      </c>
      <c r="H16" s="171">
        <f>+G16/E16</f>
        <v>1</v>
      </c>
      <c r="I16" s="84">
        <f>SUM(I9:I15)</f>
        <v>19717404.239999998</v>
      </c>
      <c r="J16" s="555">
        <v>1.037302852224282</v>
      </c>
      <c r="K16" s="231">
        <f>+E16/I16-1</f>
        <v>-0.82122091391478214</v>
      </c>
    </row>
    <row r="17" spans="1:17" s="6" customFormat="1" ht="19.5" customHeight="1" thickBot="1" x14ac:dyDescent="0.3">
      <c r="A17" s="5"/>
      <c r="B17" s="4" t="s">
        <v>352</v>
      </c>
      <c r="C17" s="163">
        <f>+C8+C16</f>
        <v>19078836.990000002</v>
      </c>
      <c r="D17" s="154">
        <f>+D8+D16</f>
        <v>20063218.240000002</v>
      </c>
      <c r="E17" s="155">
        <f t="shared" ref="E17:G17" si="3">+E8+E16</f>
        <v>4780853.2200000007</v>
      </c>
      <c r="F17" s="181">
        <f>E17/D17</f>
        <v>0.23828944902111576</v>
      </c>
      <c r="G17" s="155">
        <f t="shared" si="3"/>
        <v>4281590.2200000007</v>
      </c>
      <c r="H17" s="173">
        <f>+G17/E17</f>
        <v>0.89557031412062471</v>
      </c>
      <c r="I17" s="147">
        <f t="shared" ref="I17" si="4">+I8+I16</f>
        <v>20406983.199999999</v>
      </c>
      <c r="J17" s="724">
        <v>1.0679577008102634</v>
      </c>
      <c r="K17" s="146">
        <f>+E17/I17-1</f>
        <v>-0.76572464566933141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765</v>
      </c>
      <c r="D20" s="751" t="s">
        <v>782</v>
      </c>
      <c r="E20" s="752"/>
      <c r="F20" s="752"/>
      <c r="G20" s="752"/>
      <c r="H20" s="753"/>
      <c r="I20" s="755" t="s">
        <v>783</v>
      </c>
      <c r="J20" s="739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5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:F27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5">
      <c r="A24" s="21"/>
      <c r="B24" s="505" t="s">
        <v>531</v>
      </c>
      <c r="C24" s="159">
        <v>0</v>
      </c>
      <c r="D24" s="168">
        <v>0</v>
      </c>
      <c r="E24" s="136">
        <v>11770.36</v>
      </c>
      <c r="F24" s="48" t="s">
        <v>129</v>
      </c>
      <c r="G24" s="136">
        <v>11770.36</v>
      </c>
      <c r="H24" s="153" t="s">
        <v>129</v>
      </c>
      <c r="I24" s="136">
        <v>24492.98</v>
      </c>
      <c r="J24" s="52" t="s">
        <v>129</v>
      </c>
      <c r="K24" s="94">
        <f>+E24/I24-1</f>
        <v>-0.51943944754782789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5" t="s">
        <v>423</v>
      </c>
      <c r="C25" s="159">
        <v>0</v>
      </c>
      <c r="D25" s="168">
        <v>0</v>
      </c>
      <c r="E25" s="136">
        <v>72942.62</v>
      </c>
      <c r="F25" s="48" t="s">
        <v>129</v>
      </c>
      <c r="G25" s="136">
        <v>72942.62</v>
      </c>
      <c r="H25" s="348" t="s">
        <v>129</v>
      </c>
      <c r="I25" s="136"/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07" t="s">
        <v>503</v>
      </c>
      <c r="C26" s="159">
        <v>0</v>
      </c>
      <c r="D26" s="168">
        <v>1946205.88</v>
      </c>
      <c r="E26" s="136">
        <v>0</v>
      </c>
      <c r="F26" s="48">
        <f t="shared" si="5"/>
        <v>0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5">
      <c r="A27" s="21"/>
      <c r="B27" s="21" t="s">
        <v>410</v>
      </c>
      <c r="C27" s="159">
        <v>0</v>
      </c>
      <c r="D27" s="168">
        <v>12069785.25</v>
      </c>
      <c r="E27" s="136">
        <v>0</v>
      </c>
      <c r="F27" s="48">
        <f t="shared" si="5"/>
        <v>0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609667.53</v>
      </c>
      <c r="F28" s="48">
        <f>+E28/D28</f>
        <v>4.0644502000000005</v>
      </c>
      <c r="G28" s="136">
        <v>609667.53</v>
      </c>
      <c r="H28" s="348">
        <f>+G28/E28</f>
        <v>1</v>
      </c>
      <c r="I28" s="30">
        <v>-319.58</v>
      </c>
      <c r="J28" s="52">
        <v>-2.1305333333333332E-3</v>
      </c>
      <c r="K28" s="244">
        <f>+E28/I28-1</f>
        <v>-1908.7149070655237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9">
        <v>1450000</v>
      </c>
      <c r="E29" s="66">
        <v>1546529.09</v>
      </c>
      <c r="F29" s="383">
        <f>+E29/D29</f>
        <v>1.0665717862068966</v>
      </c>
      <c r="G29" s="66">
        <v>1546529.09</v>
      </c>
      <c r="H29" s="406">
        <f t="shared" ref="H29" si="6">+G29/E29</f>
        <v>1</v>
      </c>
      <c r="I29" s="179">
        <v>2403813.29</v>
      </c>
      <c r="J29" s="67">
        <v>1.7170094928571429</v>
      </c>
      <c r="K29" s="98">
        <f>+E29/I29-1</f>
        <v>-0.35663510288688016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204233195.30000001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-7.4521722126519295E-11</v>
      </c>
      <c r="J30" s="57">
        <v>-2.6761248131486542E-19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224849186.43000001</v>
      </c>
      <c r="E31" s="155">
        <f>SUM(E23:E30)</f>
        <v>2240909.6</v>
      </c>
      <c r="F31" s="181">
        <f>+E31/(D31-D27-D26)</f>
        <v>1.0628827195885125E-2</v>
      </c>
      <c r="G31" s="155">
        <f>SUM(G23:G30)</f>
        <v>2240909.6</v>
      </c>
      <c r="H31" s="173">
        <f>+G31/E31</f>
        <v>1</v>
      </c>
      <c r="I31" s="354">
        <f>SUM(I23:I30)</f>
        <v>2452986.69</v>
      </c>
      <c r="J31" s="181">
        <v>5.5884976726324554E-3</v>
      </c>
      <c r="K31" s="95">
        <f>+E31/I31-1</f>
        <v>-8.6456681915383693E-2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81"/>
      <c r="O136" s="682">
        <v>0.58699999999999997</v>
      </c>
    </row>
    <row r="137" spans="12:15" x14ac:dyDescent="0.25">
      <c r="L137" s="681"/>
      <c r="O137" s="682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754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4225151.3499999996</v>
      </c>
      <c r="E5" s="30">
        <v>2846272.96</v>
      </c>
      <c r="F5" s="48">
        <f>E5/D5</f>
        <v>0.67364994155771485</v>
      </c>
      <c r="G5" s="30">
        <v>2846272.96</v>
      </c>
      <c r="H5" s="48">
        <f>G5/D5</f>
        <v>0.67364994155771485</v>
      </c>
      <c r="I5" s="30">
        <v>2846272.96</v>
      </c>
      <c r="J5" s="153">
        <f>I5/D5</f>
        <v>0.67364994155771485</v>
      </c>
      <c r="K5" s="572">
        <v>3281685.78</v>
      </c>
      <c r="L5" s="48">
        <v>0.69794321048602648</v>
      </c>
      <c r="M5" s="210">
        <f>+G5/K5-1</f>
        <v>-0.13267961931443661</v>
      </c>
      <c r="N5" s="572">
        <v>3281685.78</v>
      </c>
      <c r="O5" s="48">
        <v>0.69794321048602648</v>
      </c>
      <c r="P5" s="210">
        <f>+I5/N5-1</f>
        <v>-0.13267961931443661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15917822.539999999</v>
      </c>
      <c r="E6" s="30">
        <v>14223566.380000001</v>
      </c>
      <c r="F6" s="48">
        <f t="shared" ref="F6:F17" si="0">E6/D6</f>
        <v>0.89356231634430583</v>
      </c>
      <c r="G6" s="30">
        <v>13443420.23</v>
      </c>
      <c r="H6" s="280">
        <f t="shared" ref="H6:H17" si="1">G6/D6</f>
        <v>0.84455145772720752</v>
      </c>
      <c r="I6" s="30">
        <v>6332531.5099999998</v>
      </c>
      <c r="J6" s="178">
        <f t="shared" ref="J6:J17" si="2">I6/D6</f>
        <v>0.39782649254236502</v>
      </c>
      <c r="K6" s="573">
        <v>12788005.9</v>
      </c>
      <c r="L6" s="412">
        <v>0.81698708848652302</v>
      </c>
      <c r="M6" s="210">
        <f t="shared" ref="M6:M17" si="3">+G6/K6-1</f>
        <v>5.1252269910197601E-2</v>
      </c>
      <c r="N6" s="573">
        <v>6489173.0199999996</v>
      </c>
      <c r="O6" s="412">
        <v>0.41457367268614548</v>
      </c>
      <c r="P6" s="210">
        <f>+I6/N6-1</f>
        <v>-2.4138901754849451E-2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9172408.4100000001</v>
      </c>
      <c r="D8" s="204">
        <v>9182778.1500000004</v>
      </c>
      <c r="E8" s="30">
        <v>8813795.4199999999</v>
      </c>
      <c r="F8" s="48">
        <f t="shared" si="0"/>
        <v>0.95981796315094459</v>
      </c>
      <c r="G8" s="30">
        <v>8737032.9399999995</v>
      </c>
      <c r="H8" s="48">
        <f t="shared" si="1"/>
        <v>0.95145856703507525</v>
      </c>
      <c r="I8" s="30">
        <v>8343584.6100000003</v>
      </c>
      <c r="J8" s="178">
        <f t="shared" si="2"/>
        <v>0.90861223844332994</v>
      </c>
      <c r="K8" s="629">
        <v>8511749.5600000005</v>
      </c>
      <c r="L8" s="414">
        <v>0.94971213324724746</v>
      </c>
      <c r="M8" s="443">
        <f t="shared" si="3"/>
        <v>2.6467341221914298E-2</v>
      </c>
      <c r="N8" s="629">
        <v>5741120.9299999997</v>
      </c>
      <c r="O8" s="414">
        <v>0.64057479220062019</v>
      </c>
      <c r="P8" s="443">
        <f t="shared" ref="P8:P17" si="4">+I8/N8-1</f>
        <v>0.45330236233153176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29325752.039999999</v>
      </c>
      <c r="E10" s="84">
        <f t="shared" si="5"/>
        <v>25883634.759999998</v>
      </c>
      <c r="F10" s="90">
        <f t="shared" si="0"/>
        <v>0.88262475672218088</v>
      </c>
      <c r="G10" s="84">
        <f>SUM(G5:G9)</f>
        <v>25026726.130000003</v>
      </c>
      <c r="H10" s="90">
        <f t="shared" si="1"/>
        <v>0.85340441042616155</v>
      </c>
      <c r="I10" s="84">
        <f>SUM(I5:I9)</f>
        <v>17522389.079999998</v>
      </c>
      <c r="J10" s="170">
        <f t="shared" si="2"/>
        <v>0.59750860118095706</v>
      </c>
      <c r="K10" s="562">
        <f>SUM(K5:K9)</f>
        <v>24581441.240000002</v>
      </c>
      <c r="L10" s="90">
        <v>0.83846964937818658</v>
      </c>
      <c r="M10" s="213">
        <f t="shared" si="3"/>
        <v>1.8114677884525809E-2</v>
      </c>
      <c r="N10" s="562">
        <f>SUM(N5:N9)</f>
        <v>15511979.729999999</v>
      </c>
      <c r="O10" s="90">
        <v>0.52900000000000003</v>
      </c>
      <c r="P10" s="213">
        <f t="shared" si="4"/>
        <v>0.12960366020282321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1307726.52</v>
      </c>
      <c r="E11" s="30">
        <v>1113591.3500000001</v>
      </c>
      <c r="F11" s="48">
        <f t="shared" si="0"/>
        <v>0.85154757739408704</v>
      </c>
      <c r="G11" s="30">
        <v>405981.94</v>
      </c>
      <c r="H11" s="48">
        <f t="shared" si="1"/>
        <v>0.31044865557976142</v>
      </c>
      <c r="I11" s="30">
        <v>341617.6</v>
      </c>
      <c r="J11" s="153">
        <f t="shared" si="2"/>
        <v>0.26123015383981046</v>
      </c>
      <c r="K11" s="559">
        <v>1436695.19</v>
      </c>
      <c r="L11" s="48">
        <v>0.7511004374480682</v>
      </c>
      <c r="M11" s="224">
        <f t="shared" si="3"/>
        <v>-0.71741957318030691</v>
      </c>
      <c r="N11" s="559">
        <v>810328.95</v>
      </c>
      <c r="O11" s="48">
        <v>0.42363782732636124</v>
      </c>
      <c r="P11" s="224">
        <f t="shared" si="4"/>
        <v>-0.57842108442503504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1307726.52</v>
      </c>
      <c r="E13" s="84">
        <f t="shared" si="6"/>
        <v>1113591.3500000001</v>
      </c>
      <c r="F13" s="90">
        <f t="shared" si="0"/>
        <v>0.85154757739408704</v>
      </c>
      <c r="G13" s="84">
        <f t="shared" si="6"/>
        <v>405981.94</v>
      </c>
      <c r="H13" s="90">
        <f t="shared" si="1"/>
        <v>0.31044865557976142</v>
      </c>
      <c r="I13" s="84">
        <f t="shared" si="6"/>
        <v>341617.6</v>
      </c>
      <c r="J13" s="170">
        <f t="shared" si="2"/>
        <v>0.26123015383981046</v>
      </c>
      <c r="K13" s="562">
        <f>SUM(K11:K12)</f>
        <v>1436695.19</v>
      </c>
      <c r="L13" s="90">
        <v>0.751</v>
      </c>
      <c r="M13" s="623">
        <f t="shared" si="3"/>
        <v>-0.71741957318030691</v>
      </c>
      <c r="N13" s="562">
        <f>SUM(N11:N12)</f>
        <v>810328.95</v>
      </c>
      <c r="O13" s="90">
        <v>0.42399999999999999</v>
      </c>
      <c r="P13" s="213">
        <f t="shared" si="4"/>
        <v>-0.57842108442503504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30633478.559999999</v>
      </c>
      <c r="E17" s="155">
        <f t="shared" si="8"/>
        <v>26997226.109999999</v>
      </c>
      <c r="F17" s="181">
        <f t="shared" si="0"/>
        <v>0.88129808885798311</v>
      </c>
      <c r="G17" s="155">
        <f t="shared" si="8"/>
        <v>25432708.070000004</v>
      </c>
      <c r="H17" s="181">
        <f t="shared" si="1"/>
        <v>0.83022592488758495</v>
      </c>
      <c r="I17" s="155">
        <f t="shared" si="8"/>
        <v>17864006.68</v>
      </c>
      <c r="J17" s="173">
        <f t="shared" si="2"/>
        <v>0.58315305736535328</v>
      </c>
      <c r="K17" s="570">
        <f>K10+K13+K16</f>
        <v>26018136.430000003</v>
      </c>
      <c r="L17" s="181">
        <v>0.83311839521921993</v>
      </c>
      <c r="M17" s="601">
        <f t="shared" si="3"/>
        <v>-2.250077985312493E-2</v>
      </c>
      <c r="N17" s="570">
        <f>N10+N13+N16</f>
        <v>16322308.679999998</v>
      </c>
      <c r="O17" s="181">
        <v>0.52300000000000002</v>
      </c>
      <c r="P17" s="601">
        <f t="shared" si="4"/>
        <v>9.4453427528243594E-2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32" sqref="E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755</v>
      </c>
    </row>
    <row r="2" spans="1:16" x14ac:dyDescent="0.25">
      <c r="A2" s="8" t="s">
        <v>20</v>
      </c>
      <c r="C2" s="164" t="s">
        <v>765</v>
      </c>
      <c r="D2" s="754" t="s">
        <v>782</v>
      </c>
      <c r="E2" s="752"/>
      <c r="F2" s="752"/>
      <c r="G2" s="752"/>
      <c r="H2" s="752"/>
      <c r="I2" s="752"/>
      <c r="J2" s="753"/>
      <c r="K2" s="763" t="s">
        <v>783</v>
      </c>
      <c r="L2" s="761"/>
      <c r="M2" s="761"/>
      <c r="N2" s="761"/>
      <c r="O2" s="761"/>
      <c r="P2" s="764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5" t="s">
        <v>17</v>
      </c>
      <c r="O4" s="89" t="s">
        <v>18</v>
      </c>
      <c r="P4" s="581" t="s">
        <v>508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3239792.1</v>
      </c>
      <c r="F5" s="48">
        <f>E5/D5</f>
        <v>0.68293966888496482</v>
      </c>
      <c r="G5" s="30">
        <v>3239792.1</v>
      </c>
      <c r="H5" s="48">
        <f>G5/D5</f>
        <v>0.68293966888496482</v>
      </c>
      <c r="I5" s="30">
        <v>3239792.1</v>
      </c>
      <c r="J5" s="153">
        <f>I5/D5</f>
        <v>0.68293966888496482</v>
      </c>
      <c r="K5" s="572">
        <v>3671062.13</v>
      </c>
      <c r="L5" s="48">
        <v>0.7018082867477653</v>
      </c>
      <c r="M5" s="210">
        <f>+G5/K5-1</f>
        <v>-0.11747827051894644</v>
      </c>
      <c r="N5" s="572">
        <v>3671062.13</v>
      </c>
      <c r="O5" s="48">
        <v>0.7018082867477653</v>
      </c>
      <c r="P5" s="210">
        <f>+I5/N5-1</f>
        <v>-0.11747827051894644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23795001.649999999</v>
      </c>
      <c r="E6" s="30">
        <v>22826086.949999999</v>
      </c>
      <c r="F6" s="48">
        <f>E6/D6</f>
        <v>0.95928074667731744</v>
      </c>
      <c r="G6" s="30">
        <v>22347293.649999999</v>
      </c>
      <c r="H6" s="280">
        <f>G6/D6</f>
        <v>0.93915915530100413</v>
      </c>
      <c r="I6" s="30">
        <v>10550448.59</v>
      </c>
      <c r="J6" s="178">
        <f>I6/D6</f>
        <v>0.44338927751240564</v>
      </c>
      <c r="K6" s="573">
        <v>21269154.68</v>
      </c>
      <c r="L6" s="412">
        <v>0.94748314250911858</v>
      </c>
      <c r="M6" s="210">
        <f t="shared" ref="M6:M17" si="0">+G6/K6-1</f>
        <v>5.0690259496481316E-2</v>
      </c>
      <c r="N6" s="573">
        <v>9815423.3800000008</v>
      </c>
      <c r="O6" s="412">
        <v>0.43725048451901499</v>
      </c>
      <c r="P6" s="210">
        <f>+I6/N6-1</f>
        <v>7.4884717810308032E-2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16012218.74</v>
      </c>
      <c r="D8" s="204">
        <v>16039702.550000001</v>
      </c>
      <c r="E8" s="30">
        <v>15997574.93</v>
      </c>
      <c r="F8" s="48">
        <f t="shared" ref="F8:F17" si="1">E8/D8</f>
        <v>0.99737354106981235</v>
      </c>
      <c r="G8" s="30">
        <v>15867844.93</v>
      </c>
      <c r="H8" s="48">
        <f t="shared" ref="H8:H17" si="2">G8/D8</f>
        <v>0.98928548584587062</v>
      </c>
      <c r="I8" s="30">
        <v>12233473.33</v>
      </c>
      <c r="J8" s="178">
        <f t="shared" ref="J8:J17" si="3">I8/D8</f>
        <v>0.76269951340213593</v>
      </c>
      <c r="K8" s="629">
        <v>15511824.9</v>
      </c>
      <c r="L8" s="414">
        <v>0.97195296369514383</v>
      </c>
      <c r="M8" s="443">
        <f t="shared" si="0"/>
        <v>2.2951524549506663E-2</v>
      </c>
      <c r="N8" s="629">
        <v>13626717.83</v>
      </c>
      <c r="O8" s="414">
        <v>0.85383434029776595</v>
      </c>
      <c r="P8" s="443">
        <f t="shared" ref="P8:P17" si="4">+I8/N8-1</f>
        <v>-0.10224358626790464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44578596.299999997</v>
      </c>
      <c r="E10" s="84">
        <f>SUM(E5:E9)</f>
        <v>42063453.980000004</v>
      </c>
      <c r="F10" s="90">
        <f t="shared" si="1"/>
        <v>0.94357959808617853</v>
      </c>
      <c r="G10" s="84">
        <f>SUM(G5:G9)</f>
        <v>41454930.68</v>
      </c>
      <c r="H10" s="90">
        <f t="shared" si="2"/>
        <v>0.9299290269487468</v>
      </c>
      <c r="I10" s="84">
        <f>SUM(I5:I9)</f>
        <v>26023714.02</v>
      </c>
      <c r="J10" s="170">
        <f t="shared" si="3"/>
        <v>0.58377149977690079</v>
      </c>
      <c r="K10" s="562">
        <f>SUM(K5:K9)</f>
        <v>40452041.710000001</v>
      </c>
      <c r="L10" s="90">
        <v>0.92700000000000005</v>
      </c>
      <c r="M10" s="213">
        <f t="shared" si="0"/>
        <v>2.4792048252834542E-2</v>
      </c>
      <c r="N10" s="562">
        <f>SUM(N5:N9)</f>
        <v>27113203.340000004</v>
      </c>
      <c r="O10" s="90">
        <v>0.62131585089906272</v>
      </c>
      <c r="P10" s="213">
        <f t="shared" si="4"/>
        <v>-4.0182980459291029E-2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959474.06</v>
      </c>
      <c r="E11" s="30">
        <v>609781.18999999994</v>
      </c>
      <c r="F11" s="48">
        <f t="shared" si="1"/>
        <v>0.63553692113364679</v>
      </c>
      <c r="G11" s="30">
        <v>609781.18999999994</v>
      </c>
      <c r="H11" s="48">
        <f t="shared" si="2"/>
        <v>0.63553692113364679</v>
      </c>
      <c r="I11" s="30">
        <v>282939.59999999998</v>
      </c>
      <c r="J11" s="153">
        <f t="shared" si="3"/>
        <v>0.29489030688333562</v>
      </c>
      <c r="K11" s="559">
        <v>639781.18999999994</v>
      </c>
      <c r="L11" s="48">
        <v>0.40601366563632962</v>
      </c>
      <c r="M11" s="224">
        <f t="shared" si="0"/>
        <v>-4.6891031604102018E-2</v>
      </c>
      <c r="N11" s="559">
        <v>346904.08</v>
      </c>
      <c r="O11" s="48">
        <v>0.2201499502431426</v>
      </c>
      <c r="P11" s="224">
        <f t="shared" si="4"/>
        <v>-0.18438664659118464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553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959474.06</v>
      </c>
      <c r="E13" s="84">
        <f t="shared" si="5"/>
        <v>609781.18999999994</v>
      </c>
      <c r="F13" s="90">
        <f t="shared" si="1"/>
        <v>0.63553692113364679</v>
      </c>
      <c r="G13" s="84">
        <f t="shared" si="5"/>
        <v>609781.18999999994</v>
      </c>
      <c r="H13" s="90">
        <f t="shared" si="2"/>
        <v>0.63553692113364679</v>
      </c>
      <c r="I13" s="84">
        <f t="shared" si="5"/>
        <v>282939.59999999998</v>
      </c>
      <c r="J13" s="170">
        <f t="shared" si="3"/>
        <v>0.29489030688333562</v>
      </c>
      <c r="K13" s="562">
        <f>SUM(K11:K12)</f>
        <v>639781.18999999994</v>
      </c>
      <c r="L13" s="90">
        <v>0.40601366563632962</v>
      </c>
      <c r="M13" s="623">
        <f t="shared" si="0"/>
        <v>-4.6891031604102018E-2</v>
      </c>
      <c r="N13" s="562">
        <f>SUM(N11:N12)</f>
        <v>346904.08</v>
      </c>
      <c r="O13" s="90">
        <v>0.22</v>
      </c>
      <c r="P13" s="90">
        <f t="shared" si="4"/>
        <v>-0.18438664659118464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45538070.359999999</v>
      </c>
      <c r="E17" s="155">
        <f t="shared" si="7"/>
        <v>42673235.170000002</v>
      </c>
      <c r="F17" s="181">
        <f t="shared" si="1"/>
        <v>0.93708922737937472</v>
      </c>
      <c r="G17" s="155">
        <f t="shared" si="7"/>
        <v>42064711.869999997</v>
      </c>
      <c r="H17" s="181">
        <f t="shared" si="2"/>
        <v>0.92372626985418005</v>
      </c>
      <c r="I17" s="155">
        <f t="shared" si="7"/>
        <v>26306653.620000001</v>
      </c>
      <c r="J17" s="173">
        <f t="shared" si="3"/>
        <v>0.57768485603437858</v>
      </c>
      <c r="K17" s="570">
        <f>K10+K13+K16</f>
        <v>41091822.899999999</v>
      </c>
      <c r="L17" s="181">
        <v>0.90882721029531011</v>
      </c>
      <c r="M17" s="601">
        <f t="shared" si="0"/>
        <v>2.3675974958998536E-2</v>
      </c>
      <c r="N17" s="570">
        <f>N10+N13+N16</f>
        <v>27460107.420000002</v>
      </c>
      <c r="O17" s="181">
        <v>0.60733477026954064</v>
      </c>
      <c r="P17" s="601">
        <f t="shared" si="4"/>
        <v>-4.2004708224845033E-2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F21" sqref="F21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7.9999923706054688E-2</v>
      </c>
      <c r="E5" s="54"/>
      <c r="F5" s="54">
        <f>+DTProg!G80-DCap!I17</f>
        <v>-2.9999971389770508E-2</v>
      </c>
      <c r="G5" s="54"/>
      <c r="H5" s="54">
        <f>+DTProg!I80-DCap!K17</f>
        <v>4.999995231628418E-2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-4.9999713897705078E-2</v>
      </c>
      <c r="D6" s="54">
        <f>+DOrg!E29-DCap!G17</f>
        <v>3.9999961853027344E-2</v>
      </c>
      <c r="E6" s="54"/>
      <c r="F6" s="54">
        <f>+DOrg!G29-DCap!I17</f>
        <v>-1.9999504089355469E-2</v>
      </c>
      <c r="G6" s="54"/>
      <c r="H6" s="54">
        <f>+DOrg!I29-DCap!K17</f>
        <v>9.9999904632568359E-3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-3.0000001192092896E-2</v>
      </c>
      <c r="D7" s="32">
        <f>+DOrg!E5-'DCap 01'!E16</f>
        <v>-3.9999991655349731E-2</v>
      </c>
      <c r="E7" s="32"/>
      <c r="F7" s="32">
        <f>+DOrg!G5-'DCap 01'!G16</f>
        <v>-1.000000536441803E-2</v>
      </c>
      <c r="G7" s="32"/>
      <c r="H7" s="32">
        <f>+DOrg!I5-'DCap 01'!I16</f>
        <v>0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3.9999961853027344E-2</v>
      </c>
      <c r="D8" s="32">
        <f>+DOrg!E6-'DCap 02'!E17</f>
        <v>-3.9999961853027344E-2</v>
      </c>
      <c r="E8" s="32"/>
      <c r="F8" s="32">
        <f>+DOrg!G6-'DCap 02'!G17</f>
        <v>-3.0000030994415283E-2</v>
      </c>
      <c r="G8" s="32"/>
      <c r="H8" s="32">
        <f>+DOrg!I6-'DCap 02'!I17</f>
        <v>-3.0000001192092896E-2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2.9999971389770508E-2</v>
      </c>
      <c r="D9" s="32">
        <f>+DOrg!E10-'DCap 0502'!E16</f>
        <v>0</v>
      </c>
      <c r="E9" s="32"/>
      <c r="F9" s="32">
        <f>+DOrg!G10-'DCap 0502'!G16</f>
        <v>5.0000011920928955E-2</v>
      </c>
      <c r="G9" s="32"/>
      <c r="H9" s="32">
        <f>+DOrg!I10-'DCap 0502'!I16</f>
        <v>-3.0000001192092896E-2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-1.9999980926513672E-2</v>
      </c>
      <c r="D10" s="32">
        <f>+DOrg!E8-'DCap 04'!E16</f>
        <v>3.0000030994415283E-2</v>
      </c>
      <c r="E10" s="32"/>
      <c r="F10" s="32">
        <f>+DOrg!G8-'DCap 04'!G16</f>
        <v>-3.0000030994415283E-2</v>
      </c>
      <c r="G10" s="32"/>
      <c r="H10" s="32">
        <f>+DOrg!I8-'DCap 04'!I16</f>
        <v>2.000001072883606E-2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-2.9999971389770508E-2</v>
      </c>
      <c r="D14" s="32">
        <f>+DOrg!E15-'DCap 0703'!E17</f>
        <v>4.0000021457672119E-2</v>
      </c>
      <c r="E14" s="32"/>
      <c r="F14" s="32">
        <f>+DOrg!G15-'DCap 0703'!G17</f>
        <v>4.0000021457672119E-2</v>
      </c>
      <c r="G14" s="32"/>
      <c r="H14" s="32">
        <f>+DOrg!I15-'DCap 0703'!I17</f>
        <v>3.0000030994415283E-2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C41" sqref="C4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abSelected="1" topLeftCell="F1" zoomScaleNormal="100" workbookViewId="0">
      <selection activeCell="K14" sqref="K1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765</v>
      </c>
      <c r="D2" s="267" t="s">
        <v>148</v>
      </c>
      <c r="E2" s="757" t="s">
        <v>782</v>
      </c>
      <c r="F2" s="758"/>
      <c r="G2" s="758"/>
      <c r="H2" s="758"/>
      <c r="I2" s="758"/>
      <c r="J2" s="758"/>
      <c r="K2" s="758"/>
      <c r="L2" s="758"/>
      <c r="M2" s="759"/>
      <c r="N2" s="757" t="s">
        <v>783</v>
      </c>
      <c r="O2" s="758"/>
      <c r="P2" s="758"/>
      <c r="Q2" s="758"/>
      <c r="R2" s="758"/>
      <c r="S2" s="759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64" t="s">
        <v>362</v>
      </c>
    </row>
    <row r="4" spans="1:19" ht="39.6" x14ac:dyDescent="0.25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58" t="s">
        <v>17</v>
      </c>
      <c r="R4" s="89" t="s">
        <v>18</v>
      </c>
      <c r="S4" s="565" t="s">
        <v>764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375078463.16000003</v>
      </c>
      <c r="F5" s="262">
        <f>E5/E17</f>
        <v>0.13615512652625084</v>
      </c>
      <c r="G5" s="136">
        <v>245846592.94999999</v>
      </c>
      <c r="H5" s="48">
        <f>+G5/E5</f>
        <v>0.65545377060246557</v>
      </c>
      <c r="I5" s="136">
        <v>245452124.86000001</v>
      </c>
      <c r="J5" s="48">
        <f t="shared" ref="J5:J17" si="0">+I5/E5</f>
        <v>0.65440207574727016</v>
      </c>
      <c r="K5" s="136">
        <v>244935044.68000001</v>
      </c>
      <c r="L5" s="262">
        <f>K5/K17</f>
        <v>0.17952839219863473</v>
      </c>
      <c r="M5" s="153">
        <f t="shared" ref="M5:M17" si="1">+K5/E5</f>
        <v>0.65302348371710228</v>
      </c>
      <c r="N5" s="559">
        <v>279033225.20999998</v>
      </c>
      <c r="O5" s="48">
        <v>0.63296160467015117</v>
      </c>
      <c r="P5" s="566">
        <f>+I5/N5-1</f>
        <v>-0.12034803498661095</v>
      </c>
      <c r="Q5" s="559">
        <v>277973409.93000001</v>
      </c>
      <c r="R5" s="48">
        <v>0.63055750967473312</v>
      </c>
      <c r="S5" s="566">
        <f>+K5/Q5-1</f>
        <v>-0.11885440862246432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659074571.80999994</v>
      </c>
      <c r="F6" s="262">
        <f>E6/E17</f>
        <v>0.2392469590469278</v>
      </c>
      <c r="G6" s="136">
        <v>604718575.60000002</v>
      </c>
      <c r="H6" s="280">
        <f t="shared" ref="H6:H10" si="2">+G6/E6</f>
        <v>0.91752678902370122</v>
      </c>
      <c r="I6" s="136">
        <v>571264208.99000001</v>
      </c>
      <c r="J6" s="280">
        <f t="shared" si="0"/>
        <v>0.86676718147561282</v>
      </c>
      <c r="K6" s="136">
        <v>280391453.69</v>
      </c>
      <c r="L6" s="410">
        <f>K6/K17</f>
        <v>0.2055166378211373</v>
      </c>
      <c r="M6" s="178">
        <f t="shared" si="1"/>
        <v>0.42543206138262624</v>
      </c>
      <c r="N6" s="560">
        <v>543513616.35000002</v>
      </c>
      <c r="O6" s="280">
        <v>0.86396035656807646</v>
      </c>
      <c r="P6" s="566">
        <f t="shared" ref="P6:P17" si="3">+I6/N6-1</f>
        <v>5.1057768941210391E-2</v>
      </c>
      <c r="Q6" s="560">
        <v>264598246.08000001</v>
      </c>
      <c r="R6" s="280">
        <v>0.42060104504052404</v>
      </c>
      <c r="S6" s="567">
        <f>+K6/Q6-1</f>
        <v>5.9687499233177066E-2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8.0223968896517527E-3</v>
      </c>
      <c r="G7" s="136">
        <v>10767853.82</v>
      </c>
      <c r="H7" s="280">
        <f t="shared" si="2"/>
        <v>0.48723320452488689</v>
      </c>
      <c r="I7" s="136">
        <v>10767853.82</v>
      </c>
      <c r="J7" s="280">
        <f t="shared" si="0"/>
        <v>0.48723320452488689</v>
      </c>
      <c r="K7" s="136">
        <v>10767853.82</v>
      </c>
      <c r="L7" s="410">
        <f>K7/K17</f>
        <v>7.8924413868995697E-3</v>
      </c>
      <c r="M7" s="178">
        <f>+K7/E7</f>
        <v>0.48723320452488689</v>
      </c>
      <c r="N7" s="560">
        <v>11907779.859999999</v>
      </c>
      <c r="O7" s="280">
        <v>0.47915982177345895</v>
      </c>
      <c r="P7" s="566">
        <f t="shared" si="3"/>
        <v>-9.5729519138087138E-2</v>
      </c>
      <c r="Q7" s="560">
        <v>11907779.859999999</v>
      </c>
      <c r="R7" s="280">
        <v>0.47915982177345895</v>
      </c>
      <c r="S7" s="567">
        <f>+K7/Q7-1</f>
        <v>-9.5729519138087138E-2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1106771100.0999999</v>
      </c>
      <c r="F8" s="410">
        <f>E8/E17</f>
        <v>0.40176276158365104</v>
      </c>
      <c r="G8" s="136">
        <v>949990668.49000001</v>
      </c>
      <c r="H8" s="280">
        <f t="shared" si="2"/>
        <v>0.85834430299468933</v>
      </c>
      <c r="I8" s="136">
        <v>929135051.02999997</v>
      </c>
      <c r="J8" s="280">
        <f t="shared" si="0"/>
        <v>0.83950064376098177</v>
      </c>
      <c r="K8" s="136">
        <v>630048202.45000005</v>
      </c>
      <c r="L8" s="410">
        <f>K8/K17</f>
        <v>0.46180219307231074</v>
      </c>
      <c r="M8" s="427">
        <f t="shared" si="1"/>
        <v>0.56926694453177662</v>
      </c>
      <c r="N8" s="560">
        <v>863086803.21000004</v>
      </c>
      <c r="O8" s="280">
        <v>0.81647771080706366</v>
      </c>
      <c r="P8" s="566">
        <f t="shared" si="3"/>
        <v>7.6525614311738543E-2</v>
      </c>
      <c r="Q8" s="560">
        <v>636216707.22000003</v>
      </c>
      <c r="R8" s="280">
        <v>0.60185923218409243</v>
      </c>
      <c r="S8" s="567">
        <f>+K8/Q8-1</f>
        <v>-9.6956032433567207E-3</v>
      </c>
    </row>
    <row r="9" spans="1:19" ht="15" customHeight="1" x14ac:dyDescent="0.25">
      <c r="A9" s="55">
        <v>5</v>
      </c>
      <c r="B9" s="55" t="s">
        <v>453</v>
      </c>
      <c r="C9" s="176">
        <v>13647818.9</v>
      </c>
      <c r="D9" s="532">
        <f>C9/C17</f>
        <v>4.9879030893436021E-3</v>
      </c>
      <c r="E9" s="534">
        <v>6908292.3700000001</v>
      </c>
      <c r="F9" s="679">
        <f>E9/E17</f>
        <v>2.5077404172802235E-3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1">
        <v>0</v>
      </c>
      <c r="O9" s="78">
        <v>0</v>
      </c>
      <c r="P9" s="566" t="s">
        <v>129</v>
      </c>
      <c r="Q9" s="561">
        <v>0</v>
      </c>
      <c r="R9" s="78">
        <v>0</v>
      </c>
      <c r="S9" s="678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3">
        <f>C10/C17</f>
        <v>0.78627759808472431</v>
      </c>
      <c r="E10" s="152">
        <f>SUM(E5:E9)</f>
        <v>2169932427.4399996</v>
      </c>
      <c r="F10" s="263">
        <f>E10/E17</f>
        <v>0.78769498446376152</v>
      </c>
      <c r="G10" s="84">
        <f>SUM(G5:G9)</f>
        <v>1811323690.8600001</v>
      </c>
      <c r="H10" s="90">
        <f t="shared" si="2"/>
        <v>0.83473737152125427</v>
      </c>
      <c r="I10" s="84">
        <f>SUM(I5:I9)</f>
        <v>1756619238.7</v>
      </c>
      <c r="J10" s="90">
        <f t="shared" si="0"/>
        <v>0.80952716153119564</v>
      </c>
      <c r="K10" s="84">
        <f>SUM(K5:K8)</f>
        <v>1166142554.6400001</v>
      </c>
      <c r="L10" s="263">
        <f>K10/K17</f>
        <v>0.85473966447898242</v>
      </c>
      <c r="M10" s="170">
        <f t="shared" si="1"/>
        <v>0.53740961695096146</v>
      </c>
      <c r="N10" s="562">
        <f>SUM(N5:N9)</f>
        <v>1697541424.6300001</v>
      </c>
      <c r="O10" s="90">
        <v>0.78315352421829898</v>
      </c>
      <c r="P10" s="568">
        <f t="shared" si="3"/>
        <v>3.480198669253487E-2</v>
      </c>
      <c r="Q10" s="562">
        <f>SUM(Q5:Q8)</f>
        <v>1190696143.0900002</v>
      </c>
      <c r="R10" s="90">
        <v>0.54932260692095858</v>
      </c>
      <c r="S10" s="568">
        <f>+K10/Q10-1</f>
        <v>-2.062120432025627E-2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397160691.5</v>
      </c>
      <c r="F11" s="262">
        <f>E11/E17</f>
        <v>0.14417107222540901</v>
      </c>
      <c r="G11" s="136">
        <v>246206284.31</v>
      </c>
      <c r="H11" s="48">
        <f t="shared" ref="H11:H17" si="4">+G11/E11</f>
        <v>0.61991604300044378</v>
      </c>
      <c r="I11" s="136">
        <v>239636771.03</v>
      </c>
      <c r="J11" s="48">
        <f t="shared" si="0"/>
        <v>0.60337484589660106</v>
      </c>
      <c r="K11" s="136">
        <v>138333382.72999999</v>
      </c>
      <c r="L11" s="262">
        <f>K11/K17</f>
        <v>0.10139328907123574</v>
      </c>
      <c r="M11" s="153">
        <f t="shared" si="1"/>
        <v>0.34830582605630295</v>
      </c>
      <c r="N11" s="559">
        <v>221102100.88999999</v>
      </c>
      <c r="O11" s="48">
        <v>0.62081859312789556</v>
      </c>
      <c r="P11" s="566">
        <f t="shared" si="3"/>
        <v>8.3828557328911035E-2</v>
      </c>
      <c r="Q11" s="559">
        <v>154117018.62</v>
      </c>
      <c r="R11" s="48">
        <v>0.4327354208377015</v>
      </c>
      <c r="S11" s="566">
        <f t="shared" ref="S11:S17" si="5">+K11/Q11-1</f>
        <v>-0.10241332223611899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2">
        <f>C12/C17</f>
        <v>6.2952441718691883E-3</v>
      </c>
      <c r="E12" s="535">
        <v>32014469.530000001</v>
      </c>
      <c r="F12" s="264">
        <f>E12/E17</f>
        <v>1.1621392795534969E-2</v>
      </c>
      <c r="G12" s="137">
        <v>27318126.640000001</v>
      </c>
      <c r="H12" s="390">
        <f t="shared" si="4"/>
        <v>0.85330561589973652</v>
      </c>
      <c r="I12" s="137">
        <v>27057052.539999999</v>
      </c>
      <c r="J12" s="390">
        <f t="shared" si="0"/>
        <v>0.84515073768895266</v>
      </c>
      <c r="K12" s="137">
        <v>4573283.4000000004</v>
      </c>
      <c r="L12" s="264">
        <f>K12/K17</f>
        <v>3.3520487725362509E-3</v>
      </c>
      <c r="M12" s="392">
        <f t="shared" si="1"/>
        <v>0.14285051313171018</v>
      </c>
      <c r="N12" s="563">
        <v>20252139.59</v>
      </c>
      <c r="O12" s="390">
        <v>0.49315444101203632</v>
      </c>
      <c r="P12" s="569">
        <f t="shared" si="3"/>
        <v>0.33600958159305283</v>
      </c>
      <c r="Q12" s="563">
        <v>16416355.720000001</v>
      </c>
      <c r="R12" s="390">
        <v>0.39975029268259876</v>
      </c>
      <c r="S12" s="566">
        <f t="shared" si="5"/>
        <v>-0.72141908484424577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3">
        <f>C13/C17</f>
        <v>0.15682560813043001</v>
      </c>
      <c r="E13" s="152">
        <f>SUM(E11:E12)</f>
        <v>429175161.02999997</v>
      </c>
      <c r="F13" s="263">
        <f>E13/E17</f>
        <v>0.15579246502094399</v>
      </c>
      <c r="G13" s="84">
        <f>SUM(G11:G12)</f>
        <v>273524410.94999999</v>
      </c>
      <c r="H13" s="90">
        <f t="shared" si="4"/>
        <v>0.6373258188883868</v>
      </c>
      <c r="I13" s="84">
        <f>SUM(I11:I12)</f>
        <v>266693823.56999999</v>
      </c>
      <c r="J13" s="90">
        <f t="shared" si="0"/>
        <v>0.621410202142052</v>
      </c>
      <c r="K13" s="84">
        <f>SUM(K11:K12)</f>
        <v>142906666.13</v>
      </c>
      <c r="L13" s="263">
        <f>K13/K17</f>
        <v>0.10474533784377199</v>
      </c>
      <c r="M13" s="170">
        <f t="shared" si="1"/>
        <v>0.33297981594981124</v>
      </c>
      <c r="N13" s="562">
        <f>SUM(N11:N12)</f>
        <v>241354240.47999999</v>
      </c>
      <c r="O13" s="90">
        <v>0.60799999999999998</v>
      </c>
      <c r="P13" s="568">
        <f t="shared" si="3"/>
        <v>0.1049891770685496</v>
      </c>
      <c r="Q13" s="562">
        <f>SUM(Q11:Q12)</f>
        <v>170533374.34</v>
      </c>
      <c r="R13" s="90">
        <v>0.42932519508354772</v>
      </c>
      <c r="S13" s="568">
        <f t="shared" si="5"/>
        <v>-0.16200176837478986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1.0147815550101308E-2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13783857.18</v>
      </c>
      <c r="L14" s="262">
        <f>K14/K17</f>
        <v>1.0103061083210803E-2</v>
      </c>
      <c r="M14" s="153">
        <f t="shared" si="1"/>
        <v>0.49307169233560377</v>
      </c>
      <c r="N14" s="559">
        <v>19326730.16</v>
      </c>
      <c r="O14" s="48">
        <v>0.72798328163937009</v>
      </c>
      <c r="P14" s="566">
        <f t="shared" si="3"/>
        <v>0.18773723852726465</v>
      </c>
      <c r="Q14" s="559">
        <v>12243436.67</v>
      </c>
      <c r="R14" s="48">
        <v>0.46117564284192408</v>
      </c>
      <c r="S14" s="566">
        <f t="shared" si="5"/>
        <v>0.12581602302680928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5">
        <v>127725000</v>
      </c>
      <c r="F15" s="264">
        <f>E15/E17</f>
        <v>4.6364734965193215E-2</v>
      </c>
      <c r="G15" s="137">
        <v>41491760.479999997</v>
      </c>
      <c r="H15" s="390">
        <f t="shared" si="4"/>
        <v>0.32485230362106082</v>
      </c>
      <c r="I15" s="137">
        <v>41491760.479999997</v>
      </c>
      <c r="J15" s="390">
        <f t="shared" si="0"/>
        <v>0.32485230362106082</v>
      </c>
      <c r="K15" s="137">
        <v>41491760.479999997</v>
      </c>
      <c r="L15" s="264">
        <f>K15/K17</f>
        <v>3.0411936594034846E-2</v>
      </c>
      <c r="M15" s="392">
        <f t="shared" si="1"/>
        <v>0.32485230362106082</v>
      </c>
      <c r="N15" s="563">
        <v>150999985.03</v>
      </c>
      <c r="O15" s="390">
        <v>0.95746112786600412</v>
      </c>
      <c r="P15" s="569">
        <f t="shared" si="3"/>
        <v>-0.7252201020300989</v>
      </c>
      <c r="Q15" s="563">
        <v>150999985.03</v>
      </c>
      <c r="R15" s="390">
        <v>0.95746112786600412</v>
      </c>
      <c r="S15" s="569">
        <f t="shared" si="5"/>
        <v>-0.7252201020300989</v>
      </c>
    </row>
    <row r="16" spans="1:19" ht="15" customHeight="1" thickBot="1" x14ac:dyDescent="0.3">
      <c r="A16" s="9"/>
      <c r="B16" s="2" t="s">
        <v>10</v>
      </c>
      <c r="C16" s="515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5.6512550515294531E-2</v>
      </c>
      <c r="G16" s="84">
        <f>SUM(G14:G15)</f>
        <v>64446837.589999996</v>
      </c>
      <c r="H16" s="90">
        <f t="shared" si="4"/>
        <v>0.41396971781086234</v>
      </c>
      <c r="I16" s="84">
        <f>SUM(I14:I15)</f>
        <v>64446837.589999996</v>
      </c>
      <c r="J16" s="90">
        <f t="shared" si="0"/>
        <v>0.41396971781086234</v>
      </c>
      <c r="K16" s="84">
        <f>SUM(K14:K15)</f>
        <v>55275617.659999996</v>
      </c>
      <c r="L16" s="263">
        <f>K16/K17</f>
        <v>4.0514997677245645E-2</v>
      </c>
      <c r="M16" s="170">
        <f t="shared" si="1"/>
        <v>0.35505903315389226</v>
      </c>
      <c r="N16" s="562">
        <f>SUM(N14:N15)</f>
        <v>170326715.19</v>
      </c>
      <c r="O16" s="90">
        <v>0.92439726262123245</v>
      </c>
      <c r="P16" s="568">
        <f t="shared" si="3"/>
        <v>-0.62162813086538216</v>
      </c>
      <c r="Q16" s="562">
        <f>SUM(Q14:Q15)</f>
        <v>163243421.69999999</v>
      </c>
      <c r="R16" s="90">
        <v>0.88595480745385169</v>
      </c>
      <c r="S16" s="568">
        <f t="shared" si="5"/>
        <v>-0.66139145403615363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2754787665.5799994</v>
      </c>
      <c r="F17" s="265"/>
      <c r="G17" s="155">
        <f>+G10+G13+G16</f>
        <v>2149294939.4000001</v>
      </c>
      <c r="H17" s="181">
        <f t="shared" si="4"/>
        <v>0.78020348582745758</v>
      </c>
      <c r="I17" s="155">
        <f>+I10+I13+I16</f>
        <v>2087759899.8599999</v>
      </c>
      <c r="J17" s="181">
        <f t="shared" si="0"/>
        <v>0.75786599669577004</v>
      </c>
      <c r="K17" s="155">
        <f>+K10+K13+K16</f>
        <v>1364324838.4300001</v>
      </c>
      <c r="L17" s="265"/>
      <c r="M17" s="173">
        <f t="shared" si="1"/>
        <v>0.49525589775092588</v>
      </c>
      <c r="N17" s="570">
        <f>N10+N13+N16</f>
        <v>2109222380.3000002</v>
      </c>
      <c r="O17" s="181">
        <v>0.76725742023040877</v>
      </c>
      <c r="P17" s="571">
        <f t="shared" si="3"/>
        <v>-1.0175541773337127E-2</v>
      </c>
      <c r="Q17" s="570">
        <f>+Q10+Q13+Q16</f>
        <v>1524472939.1300001</v>
      </c>
      <c r="R17" s="181">
        <v>0.55500000000000005</v>
      </c>
      <c r="S17" s="571">
        <f t="shared" si="5"/>
        <v>-0.10505145522057924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785</v>
      </c>
      <c r="F19" s="411"/>
      <c r="G19" s="254"/>
      <c r="H19" s="411"/>
      <c r="K19" s="756"/>
      <c r="L19" s="756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5">
      <c r="A22" s="21">
        <v>1</v>
      </c>
      <c r="B22" s="21" t="s">
        <v>0</v>
      </c>
      <c r="C22" s="136">
        <v>0</v>
      </c>
      <c r="D22" s="136">
        <v>0</v>
      </c>
      <c r="E22" s="136">
        <v>27870199.699999999</v>
      </c>
      <c r="F22" s="48"/>
      <c r="G22" s="136">
        <v>27275055</v>
      </c>
      <c r="H22" s="48"/>
      <c r="I22" s="735">
        <v>0</v>
      </c>
      <c r="J22" s="48"/>
      <c r="K22" s="30"/>
      <c r="L22" s="30"/>
      <c r="M22" s="30"/>
      <c r="N22" s="337"/>
      <c r="O22" s="136">
        <f>C22+D22+E22-G22+I22+K22+L22-M22</f>
        <v>595144.69999999925</v>
      </c>
      <c r="P22" s="48"/>
    </row>
    <row r="23" spans="1:19" x14ac:dyDescent="0.25">
      <c r="A23" s="23">
        <v>2</v>
      </c>
      <c r="B23" s="23" t="s">
        <v>1</v>
      </c>
      <c r="C23" s="133">
        <v>1852040.21</v>
      </c>
      <c r="D23" s="133">
        <v>0</v>
      </c>
      <c r="E23" s="133">
        <v>11851971.67</v>
      </c>
      <c r="F23" s="280"/>
      <c r="G23" s="133">
        <v>21390889.609999999</v>
      </c>
      <c r="H23" s="280"/>
      <c r="I23" s="136">
        <v>1698246.61</v>
      </c>
      <c r="J23" s="280"/>
      <c r="K23" s="32"/>
      <c r="L23" s="32"/>
      <c r="M23" s="32"/>
      <c r="N23" s="133"/>
      <c r="O23" s="136">
        <f t="shared" ref="O23:O29" si="6">C23+D23+E23-G23+I23+K23+L23-M23</f>
        <v>-5988631.1200000001</v>
      </c>
      <c r="P23" s="48"/>
    </row>
    <row r="24" spans="1:19" x14ac:dyDescent="0.25">
      <c r="A24" s="23">
        <v>3</v>
      </c>
      <c r="B24" s="23" t="s">
        <v>2</v>
      </c>
      <c r="C24" s="133"/>
      <c r="D24" s="133">
        <v>0</v>
      </c>
      <c r="E24" s="133">
        <v>0</v>
      </c>
      <c r="F24" s="280"/>
      <c r="G24" s="133">
        <v>0</v>
      </c>
      <c r="H24" s="280"/>
      <c r="I24" s="735">
        <v>0</v>
      </c>
      <c r="J24" s="280"/>
      <c r="K24" s="32"/>
      <c r="L24" s="32"/>
      <c r="M24" s="32"/>
      <c r="N24" s="133"/>
      <c r="O24" s="136">
        <f t="shared" si="6"/>
        <v>0</v>
      </c>
      <c r="P24" s="48"/>
    </row>
    <row r="25" spans="1:19" x14ac:dyDescent="0.25">
      <c r="A25" s="23">
        <v>4</v>
      </c>
      <c r="B25" s="23" t="s">
        <v>3</v>
      </c>
      <c r="C25" s="133">
        <v>4501193.18</v>
      </c>
      <c r="D25" s="133">
        <v>0</v>
      </c>
      <c r="E25" s="133">
        <v>31541427.239999998</v>
      </c>
      <c r="F25" s="280"/>
      <c r="G25" s="133">
        <v>12021914.470000001</v>
      </c>
      <c r="H25" s="280"/>
      <c r="I25" s="133">
        <v>6644823.1799999997</v>
      </c>
      <c r="J25" s="280"/>
      <c r="K25" s="32"/>
      <c r="L25" s="32"/>
      <c r="M25" s="465"/>
      <c r="N25" s="446"/>
      <c r="O25" s="136">
        <f t="shared" si="6"/>
        <v>30665529.130000003</v>
      </c>
      <c r="P25" s="280"/>
    </row>
    <row r="26" spans="1:19" x14ac:dyDescent="0.25">
      <c r="A26" s="55">
        <v>5</v>
      </c>
      <c r="B26" s="55" t="s">
        <v>453</v>
      </c>
      <c r="C26" s="56">
        <v>0</v>
      </c>
      <c r="D26" s="56">
        <v>0</v>
      </c>
      <c r="E26" s="133">
        <v>0</v>
      </c>
      <c r="F26" s="78"/>
      <c r="G26" s="137">
        <v>6739526.5300000003</v>
      </c>
      <c r="H26" s="78"/>
      <c r="I26" s="56">
        <v>0</v>
      </c>
      <c r="J26" s="78"/>
      <c r="K26" s="180"/>
      <c r="L26" s="180"/>
      <c r="M26" s="466"/>
      <c r="N26" s="338"/>
      <c r="O26" s="136">
        <f t="shared" si="6"/>
        <v>-6739526.5300000003</v>
      </c>
      <c r="P26" s="78"/>
    </row>
    <row r="27" spans="1:19" x14ac:dyDescent="0.25">
      <c r="A27" s="9"/>
      <c r="B27" s="2" t="s">
        <v>4</v>
      </c>
      <c r="C27" s="19">
        <f>SUM(C22:C26)</f>
        <v>6353233.3899999997</v>
      </c>
      <c r="D27" s="19">
        <f>SUM(D22:D26)</f>
        <v>0</v>
      </c>
      <c r="E27" s="84">
        <f>SUM(E22:E26)</f>
        <v>71263598.609999999</v>
      </c>
      <c r="F27" s="44"/>
      <c r="G27" s="19">
        <f>SUM(G22:G26)</f>
        <v>67427385.609999999</v>
      </c>
      <c r="H27" s="44"/>
      <c r="I27" s="19">
        <f>SUM(I23:I26)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734">
        <f>SUM(O22:O26)</f>
        <v>18532516.18</v>
      </c>
      <c r="P27" s="90"/>
      <c r="Q27" s="46"/>
    </row>
    <row r="28" spans="1:19" x14ac:dyDescent="0.25">
      <c r="A28" s="21">
        <v>6</v>
      </c>
      <c r="B28" s="21" t="s">
        <v>5</v>
      </c>
      <c r="C28" s="136">
        <v>190482.04</v>
      </c>
      <c r="D28" s="136">
        <v>0</v>
      </c>
      <c r="E28" s="136">
        <v>279487536.54000002</v>
      </c>
      <c r="F28" s="48"/>
      <c r="G28" s="136">
        <v>297900082.87</v>
      </c>
      <c r="H28" s="48"/>
      <c r="I28" s="136">
        <v>3504034.52</v>
      </c>
      <c r="J28" s="48"/>
      <c r="K28" s="180"/>
      <c r="L28" s="180"/>
      <c r="M28" s="30"/>
      <c r="N28" s="136"/>
      <c r="O28" s="136">
        <f t="shared" si="6"/>
        <v>-14718029.769999962</v>
      </c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>
        <v>0</v>
      </c>
      <c r="E29" s="56">
        <v>45688158.539999999</v>
      </c>
      <c r="F29" s="390"/>
      <c r="G29" s="56">
        <v>31111825.210000001</v>
      </c>
      <c r="H29" s="390"/>
      <c r="I29" s="137">
        <v>0</v>
      </c>
      <c r="J29" s="390"/>
      <c r="K29" s="34"/>
      <c r="L29" s="34"/>
      <c r="M29" s="466"/>
      <c r="N29" s="338"/>
      <c r="O29" s="136">
        <f t="shared" si="6"/>
        <v>14789525.329999998</v>
      </c>
      <c r="P29" s="264"/>
    </row>
    <row r="30" spans="1:19" x14ac:dyDescent="0.25">
      <c r="A30" s="9"/>
      <c r="B30" s="2" t="s">
        <v>7</v>
      </c>
      <c r="C30" s="19">
        <f>SUM(C28:C29)</f>
        <v>403674.04000000004</v>
      </c>
      <c r="D30" s="19">
        <f>SUM(D28:D29)</f>
        <v>0</v>
      </c>
      <c r="E30" s="19">
        <f>SUM(E28:E29)</f>
        <v>325175695.08000004</v>
      </c>
      <c r="F30" s="44"/>
      <c r="G30" s="19">
        <f>SUM(G28:G29)</f>
        <v>329011908.07999998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734">
        <f>SUM(O28:O29)</f>
        <v>71495.560000035912</v>
      </c>
      <c r="P30" s="90"/>
      <c r="Q30" s="46"/>
    </row>
    <row r="31" spans="1:19" x14ac:dyDescent="0.25">
      <c r="A31" s="21">
        <v>8</v>
      </c>
      <c r="B31" s="21" t="s">
        <v>8</v>
      </c>
      <c r="C31" s="22">
        <v>0</v>
      </c>
      <c r="D31" s="136">
        <v>0</v>
      </c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>
        <v>0</v>
      </c>
      <c r="D32" s="137">
        <v>0</v>
      </c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6756907.4299999997</v>
      </c>
      <c r="D34" s="20">
        <f>+D27+D30+D33</f>
        <v>0</v>
      </c>
      <c r="E34" s="20">
        <f>+E27+E30+E33</f>
        <v>396439293.69000006</v>
      </c>
      <c r="F34" s="45"/>
      <c r="G34" s="20">
        <f>+G27+G30+G33</f>
        <v>396439293.69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18604011.740000036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80"/>
      <c r="O136" s="680"/>
    </row>
    <row r="137" spans="12:15" x14ac:dyDescent="0.25">
      <c r="L137" s="680"/>
      <c r="N137" s="46"/>
      <c r="O137" s="680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A13" sqref="A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Agost&amp;R&amp;"Arial,Negreta"&amp;8&amp;K03+000Direcció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2017-09-15T11:46:19Z</cp:lastPrinted>
  <dcterms:created xsi:type="dcterms:W3CDTF">2011-01-04T08:57:13Z</dcterms:created>
  <dcterms:modified xsi:type="dcterms:W3CDTF">2017-09-15T12:14:55Z</dcterms:modified>
</cp:coreProperties>
</file>