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8475" windowHeight="10470" tabRatio="931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4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DDetallCorrent!$A$1:$P$142</definedName>
    <definedName name="_xlnm.Print_Area" localSheetId="14">DOrg!$A$1:$P$61</definedName>
    <definedName name="_xlnm.Print_Area" localSheetId="16">Dsectors!$A$1:$P$17</definedName>
    <definedName name="_xlnm.Print_Area" localSheetId="11">DTProg!$A$1:$P$216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DDetallCorrent!$A$1:$P$142</definedName>
    <definedName name="Print_Area" localSheetId="11">DTProg!$A$1:$P$298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N194" i="16" l="1"/>
  <c r="P193" i="16"/>
  <c r="K194" i="16"/>
  <c r="M193" i="16"/>
  <c r="N66" i="16"/>
  <c r="K66" i="16"/>
  <c r="P65" i="16"/>
  <c r="M65" i="16"/>
  <c r="I66" i="16"/>
  <c r="G66" i="16"/>
  <c r="E66" i="16"/>
  <c r="D66" i="16"/>
  <c r="C66" i="16"/>
  <c r="J11" i="25" l="1"/>
  <c r="J11" i="20"/>
  <c r="J90" i="45"/>
  <c r="H90" i="45"/>
  <c r="F90" i="45"/>
  <c r="H24" i="44" l="1"/>
  <c r="H25" i="44"/>
  <c r="F15" i="44"/>
  <c r="F10" i="44"/>
  <c r="F9" i="44"/>
  <c r="E14" i="15"/>
  <c r="K122" i="16" l="1"/>
  <c r="N65" i="78" l="1"/>
  <c r="P37" i="45" l="1"/>
  <c r="M10" i="20" l="1"/>
  <c r="O29" i="1" l="1"/>
  <c r="O28" i="1"/>
  <c r="O23" i="1"/>
  <c r="O24" i="1"/>
  <c r="O25" i="1"/>
  <c r="O26" i="1"/>
  <c r="O22" i="1"/>
  <c r="O30" i="1" l="1"/>
  <c r="O27" i="1"/>
  <c r="D211" i="78"/>
  <c r="E211" i="78"/>
  <c r="D215" i="16"/>
  <c r="E215" i="16"/>
  <c r="D80" i="16"/>
  <c r="E80" i="16"/>
  <c r="F117" i="45"/>
  <c r="H14" i="44"/>
  <c r="F14" i="44"/>
  <c r="J11" i="74" l="1"/>
  <c r="H11" i="74"/>
  <c r="J12" i="100" l="1"/>
  <c r="H12" i="100"/>
  <c r="F12" i="100"/>
  <c r="D17" i="13"/>
  <c r="E17" i="13"/>
  <c r="G17" i="13"/>
  <c r="I17" i="13"/>
  <c r="P8" i="47" l="1"/>
  <c r="P11" i="25"/>
  <c r="N6" i="78" l="1"/>
  <c r="N27" i="16"/>
  <c r="P105" i="45" l="1"/>
  <c r="F26" i="44" l="1"/>
  <c r="F27" i="44"/>
  <c r="F66" i="43"/>
  <c r="H9" i="43"/>
  <c r="J81" i="45"/>
  <c r="H81" i="45"/>
  <c r="F81" i="45"/>
  <c r="D59" i="13" l="1"/>
  <c r="E59" i="13"/>
  <c r="N211" i="78"/>
  <c r="P85" i="45" l="1"/>
  <c r="K12" i="44"/>
  <c r="K28" i="44"/>
  <c r="K35" i="43"/>
  <c r="K53" i="43"/>
  <c r="K52" i="43"/>
  <c r="K58" i="43"/>
  <c r="K57" i="43"/>
  <c r="K14" i="15" l="1"/>
  <c r="P8" i="20" l="1"/>
  <c r="F11" i="74" l="1"/>
  <c r="J12" i="24"/>
  <c r="H12" i="24"/>
  <c r="F12" i="24"/>
  <c r="H11" i="20"/>
  <c r="F11" i="20"/>
  <c r="H12" i="44" l="1"/>
  <c r="F44" i="43" l="1"/>
  <c r="P11" i="86" l="1"/>
  <c r="P11" i="81"/>
  <c r="M10" i="22" l="1"/>
  <c r="P10" i="74"/>
  <c r="M10" i="74"/>
  <c r="M11" i="27" l="1"/>
  <c r="P10" i="26"/>
  <c r="P11" i="24"/>
  <c r="M11" i="24"/>
  <c r="P161" i="78" l="1"/>
  <c r="P161" i="16"/>
  <c r="K87" i="16" l="1"/>
  <c r="P102" i="45" l="1"/>
  <c r="H11" i="86" l="1"/>
  <c r="P8" i="26"/>
  <c r="J11" i="24"/>
  <c r="D11" i="45" l="1"/>
  <c r="K14" i="44"/>
  <c r="H66" i="43" l="1"/>
  <c r="H58" i="43"/>
  <c r="M11" i="86" l="1"/>
  <c r="K10" i="83" l="1"/>
  <c r="M11" i="81"/>
  <c r="N12" i="74" l="1"/>
  <c r="K12" i="74"/>
  <c r="P158" i="78" l="1"/>
  <c r="P159" i="78"/>
  <c r="P41" i="78" l="1"/>
  <c r="P158" i="16"/>
  <c r="P159" i="16"/>
  <c r="N149" i="16" l="1"/>
  <c r="P146" i="16"/>
  <c r="K149" i="16"/>
  <c r="P138" i="16"/>
  <c r="M138" i="16"/>
  <c r="N122" i="16"/>
  <c r="P41" i="16" l="1"/>
  <c r="P129" i="45" l="1"/>
  <c r="P136" i="45"/>
  <c r="M104" i="45"/>
  <c r="P91" i="45"/>
  <c r="M91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31" i="45" l="1"/>
  <c r="P130" i="45"/>
  <c r="J117" i="45"/>
  <c r="H117" i="45"/>
  <c r="M113" i="45"/>
  <c r="M102" i="45"/>
  <c r="I107" i="45"/>
  <c r="P77" i="45"/>
  <c r="K13" i="44" l="1"/>
  <c r="H59" i="43" l="1"/>
  <c r="K21" i="43"/>
  <c r="K44" i="43"/>
  <c r="H44" i="43"/>
  <c r="H28" i="43"/>
  <c r="H21" i="43"/>
  <c r="P166" i="78" l="1"/>
  <c r="P166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5" i="16" l="1"/>
  <c r="P176" i="16"/>
  <c r="M176" i="16"/>
  <c r="P153" i="16"/>
  <c r="P154" i="16"/>
  <c r="P156" i="16"/>
  <c r="P157" i="16"/>
  <c r="P162" i="16"/>
  <c r="P163" i="16"/>
  <c r="P164" i="16"/>
  <c r="P165" i="16"/>
  <c r="P167" i="16"/>
  <c r="P169" i="16"/>
  <c r="P170" i="16"/>
  <c r="P171" i="16"/>
  <c r="P172" i="16"/>
  <c r="P102" i="16"/>
  <c r="P103" i="16"/>
  <c r="P104" i="16"/>
  <c r="P105" i="16"/>
  <c r="P106" i="16"/>
  <c r="P107" i="16"/>
  <c r="P109" i="16"/>
  <c r="P110" i="16"/>
  <c r="P111" i="16"/>
  <c r="P112" i="16"/>
  <c r="P113" i="16"/>
  <c r="P114" i="16"/>
  <c r="P116" i="16"/>
  <c r="P117" i="16"/>
  <c r="P118" i="16"/>
  <c r="P119" i="16"/>
  <c r="P120" i="16"/>
  <c r="P121" i="16"/>
  <c r="M109" i="16"/>
  <c r="M110" i="16"/>
  <c r="M111" i="16"/>
  <c r="M112" i="16"/>
  <c r="M113" i="16"/>
  <c r="M114" i="16"/>
  <c r="P38" i="16" l="1"/>
  <c r="P39" i="16"/>
  <c r="P40" i="16"/>
  <c r="P42" i="16"/>
  <c r="P43" i="16"/>
  <c r="P44" i="16"/>
  <c r="P45" i="16"/>
  <c r="P46" i="16"/>
  <c r="P48" i="16"/>
  <c r="P24" i="16" l="1"/>
  <c r="P18" i="16"/>
  <c r="M117" i="45"/>
  <c r="M112" i="45"/>
  <c r="P92" i="45"/>
  <c r="P93" i="45"/>
  <c r="P96" i="45"/>
  <c r="P84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50" i="16" l="1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I21" i="103" s="1"/>
  <c r="J10" i="103"/>
  <c r="J13" i="103"/>
  <c r="H5" i="44"/>
  <c r="H13" i="44"/>
  <c r="P22" i="103" l="1"/>
  <c r="O22" i="103"/>
  <c r="N21" i="103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P10" i="20"/>
  <c r="P21" i="103" l="1"/>
  <c r="O21" i="103"/>
  <c r="N190" i="78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7" i="16"/>
  <c r="M191" i="16" l="1"/>
  <c r="M189" i="16"/>
  <c r="M187" i="16"/>
  <c r="P189" i="16"/>
  <c r="P187" i="16"/>
  <c r="M180" i="16"/>
  <c r="P180" i="16"/>
  <c r="M116" i="16"/>
  <c r="M117" i="16"/>
  <c r="M118" i="16"/>
  <c r="M119" i="16"/>
  <c r="M120" i="16"/>
  <c r="M121" i="16"/>
  <c r="P144" i="16"/>
  <c r="P136" i="16"/>
  <c r="P128" i="16"/>
  <c r="J191" i="16" l="1"/>
  <c r="H191" i="16"/>
  <c r="F191" i="16"/>
  <c r="F166" i="16"/>
  <c r="P73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3" i="45" l="1"/>
  <c r="H83" i="45"/>
  <c r="F83" i="45"/>
  <c r="P138" i="45"/>
  <c r="M138" i="45"/>
  <c r="M136" i="45"/>
  <c r="P132" i="45"/>
  <c r="M131" i="45"/>
  <c r="M130" i="45"/>
  <c r="M129" i="45"/>
  <c r="P124" i="45"/>
  <c r="M125" i="45"/>
  <c r="P122" i="45"/>
  <c r="P117" i="45"/>
  <c r="P112" i="45"/>
  <c r="M105" i="45"/>
  <c r="M92" i="45"/>
  <c r="M93" i="45"/>
  <c r="P88" i="45"/>
  <c r="M88" i="45"/>
  <c r="M87" i="45"/>
  <c r="P87" i="45"/>
  <c r="P86" i="45"/>
  <c r="M86" i="45"/>
  <c r="M84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N21" i="28" s="1"/>
  <c r="O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F13" i="100" s="1"/>
  <c r="D13" i="100"/>
  <c r="C13" i="100"/>
  <c r="N10" i="100"/>
  <c r="K10" i="100"/>
  <c r="K17" i="100" s="1"/>
  <c r="I10" i="100"/>
  <c r="G10" i="100"/>
  <c r="E10" i="100"/>
  <c r="D10" i="100"/>
  <c r="C10" i="100"/>
  <c r="J8" i="100"/>
  <c r="H8" i="100"/>
  <c r="F8" i="100"/>
  <c r="J6" i="100"/>
  <c r="H6" i="100"/>
  <c r="F6" i="100"/>
  <c r="J5" i="100"/>
  <c r="H5" i="100"/>
  <c r="F5" i="100"/>
  <c r="H13" i="100" l="1"/>
  <c r="J13" i="100"/>
  <c r="C17" i="100"/>
  <c r="F10" i="100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8" i="16" l="1"/>
  <c r="H108" i="16"/>
  <c r="F108" i="16"/>
  <c r="K27" i="16" l="1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40" i="45"/>
  <c r="C140" i="45"/>
  <c r="C107" i="45"/>
  <c r="F89" i="45"/>
  <c r="J89" i="45"/>
  <c r="H89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4" i="16"/>
  <c r="C149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2" i="16"/>
  <c r="H152" i="16"/>
  <c r="D194" i="16"/>
  <c r="E194" i="16"/>
  <c r="D174" i="16"/>
  <c r="E174" i="16"/>
  <c r="F87" i="45" l="1"/>
  <c r="H87" i="45"/>
  <c r="J87" i="45"/>
  <c r="F88" i="45"/>
  <c r="H88" i="45"/>
  <c r="J88" i="45"/>
  <c r="F91" i="45"/>
  <c r="H91" i="45"/>
  <c r="J91" i="45"/>
  <c r="F92" i="45"/>
  <c r="H92" i="45"/>
  <c r="J92" i="45"/>
  <c r="F93" i="45"/>
  <c r="H93" i="45"/>
  <c r="J93" i="45"/>
  <c r="F96" i="45"/>
  <c r="H96" i="45"/>
  <c r="J96" i="45"/>
  <c r="F101" i="45"/>
  <c r="H101" i="45"/>
  <c r="J101" i="45"/>
  <c r="F102" i="45"/>
  <c r="H102" i="45"/>
  <c r="J102" i="45"/>
  <c r="F104" i="45"/>
  <c r="H104" i="45"/>
  <c r="J104" i="45"/>
  <c r="F105" i="45"/>
  <c r="H105" i="45"/>
  <c r="J105" i="45"/>
  <c r="D107" i="45"/>
  <c r="E107" i="45"/>
  <c r="G107" i="45"/>
  <c r="E8" i="44"/>
  <c r="D60" i="43"/>
  <c r="I11" i="15"/>
  <c r="H5" i="1"/>
  <c r="F107" i="45" l="1"/>
  <c r="J107" i="45"/>
  <c r="H107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20" i="28" s="1"/>
  <c r="O20" i="28" s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5" i="16"/>
  <c r="M206" i="16"/>
  <c r="M207" i="16"/>
  <c r="M209" i="16"/>
  <c r="M210" i="16"/>
  <c r="M211" i="16"/>
  <c r="M212" i="16"/>
  <c r="M213" i="16"/>
  <c r="M214" i="16"/>
  <c r="M196" i="16"/>
  <c r="P186" i="16"/>
  <c r="P188" i="16"/>
  <c r="P192" i="16"/>
  <c r="M188" i="16"/>
  <c r="M192" i="16"/>
  <c r="M186" i="16"/>
  <c r="M185" i="16"/>
  <c r="K57" i="78"/>
  <c r="K6" i="78"/>
  <c r="K6" i="16"/>
  <c r="N61" i="45"/>
  <c r="N65" i="45"/>
  <c r="K65" i="45"/>
  <c r="N141" i="45" l="1"/>
  <c r="N142" i="45" s="1"/>
  <c r="K141" i="45"/>
  <c r="K142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80" i="16"/>
  <c r="C33" i="16"/>
  <c r="C6" i="16"/>
  <c r="C81" i="16" l="1"/>
  <c r="C80" i="78"/>
  <c r="C216" i="16" l="1"/>
  <c r="J48" i="45"/>
  <c r="J49" i="45"/>
  <c r="J50" i="45"/>
  <c r="J52" i="45"/>
  <c r="H48" i="45"/>
  <c r="H49" i="45"/>
  <c r="H50" i="45"/>
  <c r="F52" i="45"/>
  <c r="J136" i="45" l="1"/>
  <c r="H136" i="45"/>
  <c r="F136" i="45"/>
  <c r="J131" i="45"/>
  <c r="J132" i="45"/>
  <c r="J133" i="45"/>
  <c r="J134" i="45"/>
  <c r="H131" i="45"/>
  <c r="H132" i="45"/>
  <c r="H133" i="45"/>
  <c r="H134" i="45"/>
  <c r="F131" i="45"/>
  <c r="F132" i="45"/>
  <c r="F133" i="45"/>
  <c r="F134" i="45"/>
  <c r="J128" i="45"/>
  <c r="H128" i="45"/>
  <c r="F128" i="45"/>
  <c r="J125" i="45"/>
  <c r="H125" i="45"/>
  <c r="F125" i="45"/>
  <c r="J113" i="45"/>
  <c r="H113" i="45"/>
  <c r="F113" i="45"/>
  <c r="J84" i="45"/>
  <c r="J86" i="45"/>
  <c r="H84" i="45"/>
  <c r="H85" i="45"/>
  <c r="H86" i="45"/>
  <c r="F84" i="45"/>
  <c r="F85" i="45"/>
  <c r="F86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6" i="16" l="1"/>
  <c r="G216" i="16"/>
  <c r="E216" i="16"/>
  <c r="D216" i="16"/>
  <c r="I194" i="16"/>
  <c r="G194" i="16"/>
  <c r="I149" i="16"/>
  <c r="G149" i="16"/>
  <c r="E149" i="16"/>
  <c r="D149" i="16"/>
  <c r="J139" i="45" l="1"/>
  <c r="H139" i="45"/>
  <c r="F139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6" i="16"/>
  <c r="H86" i="16"/>
  <c r="J86" i="16"/>
  <c r="M86" i="16"/>
  <c r="P86" i="16"/>
  <c r="C87" i="16"/>
  <c r="D87" i="16"/>
  <c r="E87" i="16"/>
  <c r="G87" i="16"/>
  <c r="I87" i="16"/>
  <c r="N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P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C122" i="16"/>
  <c r="D122" i="16"/>
  <c r="E122" i="16"/>
  <c r="G122" i="16"/>
  <c r="I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F129" i="16"/>
  <c r="H129" i="16"/>
  <c r="J129" i="16"/>
  <c r="M129" i="16"/>
  <c r="P129" i="16"/>
  <c r="F130" i="16"/>
  <c r="H130" i="16"/>
  <c r="J130" i="16"/>
  <c r="M130" i="16"/>
  <c r="P130" i="16"/>
  <c r="F131" i="16"/>
  <c r="H131" i="16"/>
  <c r="J131" i="16"/>
  <c r="M131" i="16"/>
  <c r="P131" i="16"/>
  <c r="F136" i="16"/>
  <c r="H136" i="16"/>
  <c r="J136" i="16"/>
  <c r="M136" i="16"/>
  <c r="F137" i="16"/>
  <c r="H137" i="16"/>
  <c r="J137" i="16"/>
  <c r="M137" i="16"/>
  <c r="P137" i="16"/>
  <c r="F138" i="16"/>
  <c r="H138" i="16"/>
  <c r="J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F145" i="16"/>
  <c r="H145" i="16"/>
  <c r="J145" i="16"/>
  <c r="M145" i="16"/>
  <c r="P145" i="16"/>
  <c r="F146" i="16"/>
  <c r="H146" i="16"/>
  <c r="J146" i="16"/>
  <c r="M146" i="16"/>
  <c r="F147" i="16"/>
  <c r="H147" i="16"/>
  <c r="J147" i="16"/>
  <c r="M147" i="16"/>
  <c r="P147" i="16"/>
  <c r="F148" i="16"/>
  <c r="H148" i="16"/>
  <c r="J148" i="16"/>
  <c r="M148" i="16"/>
  <c r="P148" i="16"/>
  <c r="H150" i="16"/>
  <c r="J150" i="16"/>
  <c r="M150" i="16"/>
  <c r="P150" i="16"/>
  <c r="H151" i="16"/>
  <c r="J151" i="16"/>
  <c r="M151" i="16"/>
  <c r="P151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C174" i="16"/>
  <c r="F174" i="16"/>
  <c r="G174" i="16"/>
  <c r="H174" i="16" s="1"/>
  <c r="I174" i="16"/>
  <c r="J174" i="16" s="1"/>
  <c r="K174" i="16"/>
  <c r="N174" i="16"/>
  <c r="F175" i="16"/>
  <c r="H175" i="16"/>
  <c r="J175" i="16"/>
  <c r="M175" i="16"/>
  <c r="P175" i="16"/>
  <c r="F176" i="16"/>
  <c r="H176" i="16"/>
  <c r="J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M179" i="16"/>
  <c r="P179" i="16"/>
  <c r="F180" i="16"/>
  <c r="H180" i="16"/>
  <c r="J180" i="16"/>
  <c r="F185" i="16"/>
  <c r="H185" i="16"/>
  <c r="J185" i="16"/>
  <c r="P185" i="16"/>
  <c r="F186" i="16"/>
  <c r="H186" i="16"/>
  <c r="J186" i="16"/>
  <c r="F187" i="16"/>
  <c r="H187" i="16"/>
  <c r="J187" i="16"/>
  <c r="F188" i="16"/>
  <c r="H188" i="16"/>
  <c r="J188" i="16"/>
  <c r="F189" i="16"/>
  <c r="H189" i="16"/>
  <c r="J189" i="16"/>
  <c r="F192" i="16"/>
  <c r="H192" i="16"/>
  <c r="J192" i="16"/>
  <c r="F195" i="16"/>
  <c r="H195" i="16"/>
  <c r="J195" i="16"/>
  <c r="M195" i="16"/>
  <c r="P195" i="16"/>
  <c r="F196" i="16"/>
  <c r="H196" i="16"/>
  <c r="J196" i="16"/>
  <c r="P196" i="16"/>
  <c r="F197" i="16"/>
  <c r="H197" i="16"/>
  <c r="J197" i="16"/>
  <c r="M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2" i="16"/>
  <c r="H202" i="16"/>
  <c r="J202" i="16"/>
  <c r="M202" i="16"/>
  <c r="P202" i="16"/>
  <c r="F203" i="16"/>
  <c r="H203" i="16"/>
  <c r="J203" i="16"/>
  <c r="M203" i="16"/>
  <c r="P203" i="16"/>
  <c r="F204" i="16"/>
  <c r="H204" i="16"/>
  <c r="J204" i="16"/>
  <c r="F205" i="16"/>
  <c r="H205" i="16"/>
  <c r="J205" i="16"/>
  <c r="P205" i="16"/>
  <c r="F206" i="16"/>
  <c r="H206" i="16"/>
  <c r="J206" i="16"/>
  <c r="P206" i="16"/>
  <c r="F207" i="16"/>
  <c r="H207" i="16"/>
  <c r="J207" i="16"/>
  <c r="F208" i="16"/>
  <c r="H208" i="16"/>
  <c r="J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C215" i="16"/>
  <c r="F215" i="16"/>
  <c r="G215" i="16"/>
  <c r="H215" i="16" s="1"/>
  <c r="I215" i="16"/>
  <c r="J215" i="16" s="1"/>
  <c r="K215" i="16"/>
  <c r="H6" i="78" l="1"/>
  <c r="H27" i="78"/>
  <c r="M33" i="78"/>
  <c r="H33" i="78"/>
  <c r="P79" i="78"/>
  <c r="H122" i="16"/>
  <c r="J87" i="16"/>
  <c r="H87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2" i="16"/>
  <c r="K216" i="16"/>
  <c r="M216" i="16" s="1"/>
  <c r="N216" i="16"/>
  <c r="P216" i="16" s="1"/>
  <c r="F122" i="16"/>
  <c r="H194" i="16"/>
  <c r="H149" i="16"/>
  <c r="J216" i="16"/>
  <c r="F216" i="16"/>
  <c r="J149" i="16"/>
  <c r="F149" i="16"/>
  <c r="H216" i="16"/>
  <c r="F6" i="78"/>
  <c r="F79" i="78"/>
  <c r="F33" i="78"/>
  <c r="J194" i="16"/>
  <c r="F194" i="16"/>
  <c r="P174" i="16"/>
  <c r="M174" i="16"/>
  <c r="F27" i="78"/>
  <c r="F87" i="16"/>
  <c r="J33" i="78"/>
  <c r="J57" i="78"/>
  <c r="J65" i="78"/>
  <c r="J79" i="78"/>
  <c r="P215" i="16"/>
  <c r="M215" i="16"/>
  <c r="P194" i="16"/>
  <c r="M194" i="16"/>
  <c r="P149" i="16"/>
  <c r="M149" i="16"/>
  <c r="P122" i="16"/>
  <c r="M122" i="16"/>
  <c r="P87" i="16"/>
  <c r="M87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P13" i="87"/>
  <c r="M13" i="87"/>
  <c r="M13" i="86"/>
  <c r="J13" i="84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M13" i="81"/>
  <c r="F17" i="82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80" i="16"/>
  <c r="G80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0" i="16"/>
  <c r="M80" i="16" s="1"/>
  <c r="N80" i="16"/>
  <c r="M137" i="45"/>
  <c r="M135" i="45"/>
  <c r="M134" i="45"/>
  <c r="M133" i="45"/>
  <c r="M132" i="45"/>
  <c r="M128" i="45"/>
  <c r="M126" i="45"/>
  <c r="M124" i="45"/>
  <c r="M122" i="45"/>
  <c r="M121" i="45"/>
  <c r="M119" i="45"/>
  <c r="M118" i="45"/>
  <c r="M96" i="45"/>
  <c r="M85" i="45"/>
  <c r="M82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1" i="16" l="1"/>
  <c r="P15" i="1"/>
  <c r="P11" i="1"/>
  <c r="P6" i="1"/>
  <c r="P7" i="1"/>
  <c r="P8" i="1"/>
  <c r="P5" i="1"/>
  <c r="G211" i="78" l="1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J73" i="16"/>
  <c r="H73" i="16"/>
  <c r="F73" i="16"/>
  <c r="P72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6" i="16"/>
  <c r="N81" i="16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2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P12" i="76" l="1"/>
  <c r="E16" i="76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4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8" i="45" l="1"/>
  <c r="P82" i="45"/>
  <c r="P63" i="45"/>
  <c r="K43" i="43"/>
  <c r="J8" i="24" l="1"/>
  <c r="H8" i="24"/>
  <c r="F135" i="45" l="1"/>
  <c r="H124" i="45"/>
  <c r="H126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1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4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6" i="45" l="1"/>
  <c r="J118" i="45"/>
  <c r="J119" i="45"/>
  <c r="J121" i="45"/>
  <c r="J122" i="45"/>
  <c r="I27" i="1" l="1"/>
  <c r="E27" i="1"/>
  <c r="G27" i="1"/>
  <c r="J5" i="20" l="1"/>
  <c r="J6" i="20"/>
  <c r="J10" i="20"/>
  <c r="H10" i="20" l="1"/>
  <c r="J39" i="45"/>
  <c r="J40" i="45"/>
  <c r="H39" i="45"/>
  <c r="H40" i="45"/>
  <c r="P134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40" i="45"/>
  <c r="I140" i="45"/>
  <c r="G140" i="45"/>
  <c r="M140" i="45" s="1"/>
  <c r="G6" i="14"/>
  <c r="G7" i="14" s="1"/>
  <c r="D141" i="45" l="1"/>
  <c r="F140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2" i="45"/>
  <c r="F112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1" i="16" s="1"/>
  <c r="M81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9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M17" i="13"/>
  <c r="E29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1" i="16" s="1"/>
  <c r="D6" i="16"/>
  <c r="D81" i="16" s="1"/>
  <c r="P5" i="16"/>
  <c r="H5" i="16"/>
  <c r="F5" i="16"/>
  <c r="P81" i="16" l="1"/>
  <c r="N60" i="13"/>
  <c r="P60" i="13" s="1"/>
  <c r="J6" i="16"/>
  <c r="F80" i="16"/>
  <c r="P28" i="13"/>
  <c r="P48" i="13"/>
  <c r="F27" i="16"/>
  <c r="F6" i="16"/>
  <c r="P6" i="16"/>
  <c r="P27" i="16"/>
  <c r="J80" i="16"/>
  <c r="J66" i="16"/>
  <c r="P66" i="16"/>
  <c r="P33" i="16"/>
  <c r="J27" i="16"/>
  <c r="H80" i="16"/>
  <c r="F66" i="16"/>
  <c r="H66" i="16"/>
  <c r="H27" i="16"/>
  <c r="H6" i="16"/>
  <c r="J138" i="45"/>
  <c r="H138" i="45"/>
  <c r="F138" i="45"/>
  <c r="P137" i="45"/>
  <c r="J137" i="45"/>
  <c r="H137" i="45"/>
  <c r="F137" i="45"/>
  <c r="P135" i="45"/>
  <c r="J135" i="45"/>
  <c r="H135" i="45"/>
  <c r="J129" i="45"/>
  <c r="H129" i="45"/>
  <c r="F129" i="45"/>
  <c r="J130" i="45"/>
  <c r="H130" i="45"/>
  <c r="F130" i="45"/>
  <c r="J126" i="45"/>
  <c r="F126" i="45"/>
  <c r="P133" i="45"/>
  <c r="H122" i="45"/>
  <c r="F122" i="45"/>
  <c r="P121" i="45"/>
  <c r="H121" i="45"/>
  <c r="F121" i="45"/>
  <c r="H119" i="45"/>
  <c r="F119" i="45"/>
  <c r="H118" i="45"/>
  <c r="F118" i="45"/>
  <c r="F81" i="16" l="1"/>
  <c r="J81" i="16"/>
  <c r="H81" i="16"/>
  <c r="P80" i="16"/>
  <c r="P140" i="45"/>
  <c r="J140" i="45"/>
  <c r="H140" i="45"/>
  <c r="E141" i="45" l="1"/>
  <c r="F141" i="45" s="1"/>
  <c r="C141" i="45"/>
  <c r="G141" i="45" l="1"/>
  <c r="M141" i="45" s="1"/>
  <c r="M107" i="45"/>
  <c r="I141" i="45"/>
  <c r="P107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1" i="45" l="1"/>
  <c r="P141" i="45"/>
  <c r="J141" i="45"/>
  <c r="I65" i="45"/>
  <c r="P65" i="45" s="1"/>
  <c r="G65" i="45"/>
  <c r="M65" i="45" s="1"/>
  <c r="E65" i="45"/>
  <c r="D65" i="45"/>
  <c r="C65" i="45"/>
  <c r="C142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2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2" i="45"/>
  <c r="S16" i="1"/>
  <c r="E17" i="1"/>
  <c r="H16" i="1"/>
  <c r="H13" i="1"/>
  <c r="G142" i="45"/>
  <c r="M142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2" i="45"/>
  <c r="F142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K14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2" i="45" l="1"/>
  <c r="J142" i="45" l="1"/>
  <c r="P142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<sst xmlns="http://schemas.openxmlformats.org/spreadsheetml/2006/main" count="3961" uniqueCount="791">
  <si>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</si>
  <si>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</si>
  <si>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</si>
  <si>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</si>
  <si>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</si>
  <si>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</si>
  <si>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</si>
  <si>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</si>
  <si>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</si>
  <si>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</si>
  <si>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</si>
  <si>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</si>
  <si>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</si>
  <si>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</si>
  <si>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</si>
  <si>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</si>
  <si>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</si>
  <si>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</si>
  <si>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</si>
  <si>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</si>
  <si>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</si>
  <si>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</si>
  <si>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</si>
  <si>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</si>
  <si>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</si>
  <si>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</si>
  <si>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</si>
  <si>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</si>
  <si>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</si>
  <si>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</si>
  <si>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</si>
  <si>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</si>
  <si>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</si>
  <si>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</si>
  <si>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</si>
  <si>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</si>
  <si>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</si>
  <si>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</si>
  <si>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</si>
  <si>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</si>
  <si>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</si>
  <si>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</si>
  <si>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</si>
  <si>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</si>
  <si>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</si>
  <si>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</si>
  <si>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</si>
  <si>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</si>
  <si>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</si>
  <si>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</si>
  <si>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</si>
  <si>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</si>
  <si>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</si>
  <si>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</si>
  <si>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</si>
  <si>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</si>
  <si>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</si>
  <si>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</si>
  <si>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</si>
  <si>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</si>
  <si>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</si>
  <si>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</si>
  <si>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</si>
  <si>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</si>
  <si>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</si>
  <si>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</si>
  <si>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</si>
  <si>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</si>
  <si>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</si>
  <si>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</si>
  <si>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</si>
  <si>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</si>
  <si>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</si>
  <si>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</si>
  <si>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</si>
  <si>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</si>
  <si>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</si>
  <si>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</si>
  <si>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</si>
  <si>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</si>
  <si>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</si>
  <si>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</si>
  <si>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</si>
  <si>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</si>
  <si>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</si>
  <si>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</si>
  <si>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</si>
  <si>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</si>
  <si>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</si>
  <si>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</si>
  <si>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</si>
  <si>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</si>
  <si>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</si>
  <si>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</si>
  <si>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</si>
  <si>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</si>
  <si>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</si>
  <si>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</si>
  <si>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</si>
  <si>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</si>
  <si>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</si>
  <si>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</si>
  <si>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</si>
  <si>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</si>
  <si>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</si>
  <si>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</si>
  <si>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</si>
  <si>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</si>
  <si>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</si>
  <si>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</si>
  <si>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</si>
  <si>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</si>
  <si>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</si>
  <si>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</si>
  <si>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</si>
  <si>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</si>
  <si>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</si>
  <si>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</si>
  <si>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</si>
  <si>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</si>
  <si>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</si>
  <si>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</si>
  <si>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</si>
  <si>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</si>
  <si>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</si>
  <si>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</si>
  <si>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</si>
  <si>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</si>
  <si>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</si>
  <si>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</si>
  <si>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</si>
  <si>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</si>
  <si>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</si>
  <si>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</si>
  <si>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</si>
  <si>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</si>
  <si>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</si>
  <si>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</si>
  <si>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</si>
  <si>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</si>
  <si>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</si>
  <si>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</si>
  <si>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</si>
  <si>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</si>
  <si>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</si>
  <si>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</si>
  <si>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</si>
  <si>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</si>
  <si>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</si>
  <si>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</si>
  <si>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</si>
  <si>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</si>
  <si>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</si>
  <si>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</si>
  <si>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</si>
  <si>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</si>
  <si>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</si>
  <si>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</si>
  <si>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</si>
  <si>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</si>
  <si>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</si>
  <si>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</si>
  <si>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</si>
  <si>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</si>
  <si>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</si>
  <si>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</si>
  <si>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</si>
  <si>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</si>
  <si>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</si>
  <si>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</si>
  <si>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</si>
  <si>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</si>
  <si>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</si>
  <si>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</si>
  <si>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</si>
  <si>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</si>
  <si>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</si>
  <si>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</si>
  <si>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</si>
  <si>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</si>
  <si>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</si>
  <si>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</si>
  <si>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</si>
  <si>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</si>
  <si>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</si>
  <si>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</si>
  <si>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</si>
  <si>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</si>
  <si>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</si>
  <si>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</si>
  <si>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</si>
  <si>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</si>
  <si>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</si>
  <si>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</si>
  <si>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</si>
  <si>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</si>
  <si>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</si>
  <si>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</si>
  <si>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</si>
  <si>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</si>
  <si>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</si>
  <si>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</si>
  <si>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</si>
  <si>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</si>
  <si>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</si>
  <si>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</si>
  <si>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</si>
  <si>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</si>
  <si>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</si>
  <si>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</si>
  <si>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</si>
  <si>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</si>
  <si>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</si>
  <si>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</si>
  <si>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</si>
  <si>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</si>
  <si>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</si>
  <si>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</si>
  <si>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</si>
  <si>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</si>
  <si>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</si>
  <si>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</si>
  <si>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</si>
  <si>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</si>
  <si>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</si>
  <si>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</si>
  <si>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</si>
  <si>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</si>
  <si>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</si>
  <si>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</si>
  <si>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</si>
  <si>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</si>
  <si>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</si>
  <si>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</si>
  <si>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</si>
  <si>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</si>
  <si>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</si>
  <si>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</si>
  <si>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</si>
  <si>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</si>
  <si>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</si>
  <si>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</si>
  <si>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</si>
  <si>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</si>
  <si>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</si>
  <si>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</si>
  <si>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</si>
  <si>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</si>
  <si>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</si>
  <si>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</si>
  <si>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</si>
  <si>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</si>
  <si>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</si>
  <si>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</si>
  <si>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</si>
  <si>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</si>
  <si>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</si>
  <si>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</si>
  <si>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</si>
  <si>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</si>
  <si>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</si>
  <si>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</si>
  <si>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</si>
  <si>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</si>
  <si>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</si>
  <si>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</si>
  <si>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</si>
  <si>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</si>
  <si>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</si>
  <si>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</si>
  <si>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</si>
  <si>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</si>
  <si>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</si>
  <si>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</si>
  <si>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</si>
  <si>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</si>
  <si>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</si>
  <si>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</si>
  <si>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</si>
  <si>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</si>
  <si>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</si>
  <si>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</si>
  <si>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</si>
  <si>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</si>
  <si>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</si>
  <si>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</si>
  <si>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</si>
  <si>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</si>
  <si>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</si>
  <si>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</si>
  <si>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</si>
  <si>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</si>
  <si>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</si>
  <si>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</si>
  <si>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</si>
  <si>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</si>
  <si>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</si>
  <si>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</si>
  <si>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</si>
  <si>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</si>
  <si>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</si>
  <si>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</si>
  <si>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</si>
  <si>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</si>
  <si>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</si>
  <si>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</si>
  <si>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</si>
  <si>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</si>
  <si>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</si>
  <si>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</si>
  <si>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</si>
  <si>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</si>
  <si>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</si>
  <si>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</si>
  <si>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</si>
  <si>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</si>
  <si>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</si>
  <si>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</si>
  <si>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</si>
  <si>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</si>
  <si>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</si>
  <si>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</si>
  <si>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</si>
  <si>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</si>
  <si>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</si>
  <si>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</si>
  <si>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</si>
  <si>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</si>
  <si>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</si>
  <si>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</si>
  <si>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</si>
  <si>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</si>
  <si>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</si>
  <si>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</si>
  <si>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</si>
  <si>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</si>
  <si>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</si>
  <si>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</si>
  <si>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</si>
  <si>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</si>
  <si>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</si>
  <si>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</si>
  <si>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</si>
  <si>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</si>
  <si>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</si>
  <si>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</si>
  <si>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</si>
  <si>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</si>
  <si>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</si>
  <si>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</si>
  <si>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</si>
  <si>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</si>
  <si>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</si>
  <si>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</si>
  <si>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</si>
  <si>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</si>
  <si>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</si>
  <si>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</si>
  <si>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</si>
  <si>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</si>
  <si>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</si>
  <si>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</si>
  <si>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</si>
  <si>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</si>
  <si>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</si>
  <si>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</si>
  <si>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</si>
  <si>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</si>
  <si>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</si>
  <si>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</si>
  <si>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</si>
  <si>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</si>
  <si>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</si>
  <si>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</si>
  <si>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</si>
  <si>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</si>
  <si>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</si>
  <si>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</si>
  <si>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</si>
  <si>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</si>
  <si>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</si>
  <si>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</si>
  <si>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</si>
  <si>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</si>
  <si>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</si>
  <si>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</si>
  <si>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</si>
  <si>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</si>
  <si>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</si>
  <si>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</si>
  <si>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</si>
  <si>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</si>
  <si>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</si>
  <si>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</si>
  <si>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</si>
  <si>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</si>
  <si>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</si>
  <si>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</si>
  <si>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</si>
  <si>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</si>
  <si>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</si>
  <si>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</si>
  <si>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</si>
  <si>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</si>
  <si>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</si>
  <si>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</si>
  <si>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</si>
  <si>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</si>
  <si>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</si>
  <si>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</si>
  <si>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</si>
  <si>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</si>
  <si>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</si>
  <si>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</si>
  <si>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</si>
  <si>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</si>
  <si>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</si>
  <si>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</si>
  <si>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</si>
  <si>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</si>
  <si>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</si>
  <si>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</si>
  <si>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</si>
  <si>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</si>
  <si>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</si>
  <si>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</si>
  <si>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</si>
  <si>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</si>
  <si>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</si>
  <si>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</si>
  <si>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</si>
  <si>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</si>
  <si>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</si>
  <si>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</si>
  <si>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</si>
  <si>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</si>
  <si>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</si>
  <si>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</si>
  <si>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</si>
  <si>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</si>
  <si>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</si>
  <si>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</si>
  <si>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</si>
  <si>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</si>
  <si>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</si>
  <si>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</si>
  <si>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</si>
  <si>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</si>
  <si>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</si>
  <si>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</si>
  <si>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</si>
  <si>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</si>
  <si>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</si>
  <si>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</si>
  <si>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</si>
  <si>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</si>
  <si>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</si>
  <si>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</si>
  <si>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</si>
  <si>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</si>
  <si>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</si>
  <si>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</si>
  <si>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</si>
  <si>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</si>
  <si>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</si>
  <si>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</si>
  <si>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</si>
  <si>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</si>
  <si>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</si>
  <si>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</si>
  <si>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</si>
  <si>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</si>
  <si>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</si>
  <si>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</si>
  <si>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</si>
  <si>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</si>
  <si>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</si>
  <si>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</si>
  <si>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</si>
  <si>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</si>
  <si>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</si>
  <si>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</si>
  <si>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</si>
  <si>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</si>
  <si>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</si>
  <si>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</si>
  <si>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</si>
  <si>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</si>
  <si>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</si>
  <si>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</si>
  <si>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</si>
  <si>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</si>
  <si>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</si>
  <si>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</si>
  <si>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</si>
  <si>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</si>
  <si>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</si>
  <si>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</si>
  <si>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</si>
  <si>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</si>
  <si>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</si>
  <si>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</si>
  <si>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</si>
  <si>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</si>
  <si>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</si>
  <si>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</si>
  <si>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</si>
  <si>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</si>
  <si>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</si>
  <si>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</si>
  <si>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</si>
  <si>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</si>
  <si>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</si>
  <si>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</si>
  <si>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</si>
  <si>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</si>
  <si>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</si>
  <si>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</si>
  <si>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</si>
  <si>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</si>
  <si>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</si>
  <si>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</si>
  <si>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</si>
  <si>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</si>
  <si>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</si>
  <si>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</si>
  <si>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</si>
  <si>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</si>
  <si>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</si>
  <si>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</si>
  <si>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</si>
  <si>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</si>
  <si>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</si>
  <si>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</si>
  <si>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</si>
  <si>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</si>
  <si>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</si>
  <si>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</si>
  <si>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</si>
  <si>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</si>
  <si>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</si>
  <si>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</si>
  <si>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</si>
  <si>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</si>
  <si>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</si>
  <si>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</si>
  <si>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</si>
  <si>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</si>
  <si>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</si>
  <si>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</si>
  <si>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</si>
  <si>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</si>
  <si>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</si>
  <si>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</si>
  <si>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</si>
  <si>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</si>
  <si>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</si>
  <si>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</si>
  <si>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</si>
  <si>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</si>
  <si>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</si>
  <si>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</si>
  <si>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</si>
  <si>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</si>
  <si>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</si>
  <si>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</si>
  <si>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</si>
  <si>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</si>
  <si>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</si>
  <si>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</si>
  <si>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</si>
  <si>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</si>
  <si>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</si>
  <si>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</si>
  <si>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</si>
  <si>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</si>
  <si>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</si>
  <si>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</si>
  <si>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</si>
  <si>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</si>
  <si>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</si>
  <si>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</si>
  <si>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</si>
  <si>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</si>
  <si>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</si>
  <si>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</si>
  <si>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</si>
  <si>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</si>
  <si>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</si>
  <si>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</si>
  <si>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</si>
  <si>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</si>
  <si>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</si>
  <si>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</si>
  <si>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</si>
  <si>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</si>
  <si>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</si>
  <si>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</si>
  <si>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</si>
  <si>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</si>
  <si>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</si>
  <si>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</si>
  <si>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</si>
  <si>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</si>
  <si>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</si>
  <si>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</si>
  <si>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</si>
  <si>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</si>
  <si>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</si>
  <si>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</si>
  <si>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</si>
  <si>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</si>
  <si>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</si>
  <si>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</si>
  <si>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</si>
  <si>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</si>
  <si>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</si>
  <si>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</si>
  <si>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</si>
  <si>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</si>
  <si>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</si>
  <si>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</si>
  <si>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</si>
  <si>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</si>
  <si>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</si>
  <si>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</si>
  <si>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</si>
  <si>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</si>
  <si>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</si>
  <si>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</si>
  <si>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</si>
  <si>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</si>
  <si>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</si>
  <si>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</si>
  <si>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</si>
  <si>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</si>
  <si>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</si>
  <si>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</si>
  <si>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</si>
  <si>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</si>
  <si>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</si>
  <si>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</si>
  <si>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</si>
  <si>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</si>
  <si>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</si>
  <si>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</si>
  <si>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</si>
  <si>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</si>
  <si>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</si>
  <si>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</si>
  <si>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</si>
  <si>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</si>
  <si>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</si>
  <si>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</si>
  <si>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</si>
  <si>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</si>
  <si>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</si>
  <si>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</si>
  <si>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</si>
  <si>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</si>
  <si>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</si>
  <si>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</si>
  <si>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</si>
  <si>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</si>
  <si>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</si>
  <si>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</si>
  <si>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</si>
  <si>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</si>
  <si>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</si>
  <si>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</si>
  <si>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</si>
  <si>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</si>
  <si>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</si>
  <si>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</si>
  <si>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</si>
  <si>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</si>
  <si>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</si>
  <si>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</si>
  <si>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</si>
  <si>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</si>
  <si>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</si>
  <si>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</si>
  <si>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</si>
  <si>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</si>
  <si>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</si>
  <si>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</si>
  <si>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</si>
  <si>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</si>
  <si>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</si>
  <si>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</si>
  <si>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</si>
  <si>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</si>
  <si>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</si>
  <si>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</si>
  <si>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</si>
  <si>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</si>
  <si>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</si>
  <si>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</si>
  <si>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</si>
  <si>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</si>
  <si>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</si>
  <si>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</si>
  <si>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</si>
  <si>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</si>
  <si>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</si>
  <si>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</si>
  <si>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</si>
  <si>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</si>
  <si>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</si>
  <si>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</si>
  <si>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</si>
  <si>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</si>
  <si>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</si>
  <si>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</si>
  <si>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</si>
  <si>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</si>
  <si>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</si>
  <si>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</si>
  <si>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</si>
  <si>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</si>
  <si>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</si>
  <si>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</si>
  <si>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</si>
  <si>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</si>
  <si>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</si>
  <si>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</si>
  <si>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</si>
  <si>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</si>
  <si>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</si>
  <si>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</si>
  <si>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</si>
  <si>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</si>
  <si>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</si>
  <si>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</si>
  <si>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</si>
  <si>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</si>
  <si>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</si>
  <si>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</si>
  <si>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</si>
  <si>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</si>
  <si>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</si>
  <si>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</si>
  <si>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</si>
  <si>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</si>
  <si>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</si>
  <si>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</si>
  <si>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</si>
  <si>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</si>
  <si>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</si>
  <si>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</si>
  <si>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</si>
  <si>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</si>
  <si>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</si>
  <si>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</si>
  <si>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</si>
  <si>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</si>
  <si>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</si>
  <si>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</si>
  <si>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</si>
  <si>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</si>
  <si>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</si>
  <si>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</si>
  <si>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</si>
  <si>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</si>
  <si>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</si>
  <si>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</si>
  <si>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</si>
  <si>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</si>
  <si>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</si>
  <si>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</si>
  <si>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</si>
  <si>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</si>
  <si>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</si>
  <si>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</si>
  <si>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</si>
  <si>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</si>
  <si>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</si>
  <si>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</si>
  <si>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Gerència de Política Econòmica i Desenvolupament Local</t>
  </si>
  <si>
    <t>Execució de despeses. Gerència de Política Econòmica i Desenvolupament Local</t>
  </si>
  <si>
    <t>44400-01-02-03-04-05-06-07-08-09</t>
  </si>
  <si>
    <t>A l' Administració General de l' Estat</t>
  </si>
  <si>
    <t>A Octubre</t>
  </si>
  <si>
    <t>Octubre</t>
  </si>
  <si>
    <t>Octubre 2017</t>
  </si>
  <si>
    <t>Octubre 2016</t>
  </si>
  <si>
    <t xml:space="preserve">Octubre 2016 </t>
  </si>
  <si>
    <t>Anàlisi modificacions de crèdit per capítols Octubre 2017</t>
  </si>
  <si>
    <t>Barcelona Activa (Aportacions Gener.)</t>
  </si>
  <si>
    <t>Ajust pròrroga pressupostària àrea de despesa 4</t>
  </si>
  <si>
    <t>4999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</si>
</sst>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7" applyNumberFormat="0" applyFill="0" applyAlignment="0" applyProtection="0"/>
    <xf numFmtId="0" fontId="72" fillId="0" borderId="108" applyNumberFormat="0" applyFill="0" applyAlignment="0" applyProtection="0"/>
    <xf numFmtId="0" fontId="31" fillId="0" borderId="109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10" applyNumberFormat="0" applyAlignment="0" applyProtection="0"/>
    <xf numFmtId="0" fontId="77" fillId="8" borderId="111" applyNumberFormat="0" applyAlignment="0" applyProtection="0"/>
    <xf numFmtId="0" fontId="78" fillId="8" borderId="110" applyNumberFormat="0" applyAlignment="0" applyProtection="0"/>
    <xf numFmtId="0" fontId="79" fillId="0" borderId="112" applyNumberFormat="0" applyFill="0" applyAlignment="0" applyProtection="0"/>
    <xf numFmtId="0" fontId="32" fillId="9" borderId="1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5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4" applyNumberFormat="0" applyFont="0" applyAlignment="0" applyProtection="0"/>
    <xf numFmtId="0" fontId="46" fillId="0" borderId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0" fillId="17" borderId="0" applyNumberFormat="0" applyBorder="0" applyAlignment="0" applyProtection="0"/>
    <xf numFmtId="0" fontId="40" fillId="10" borderId="114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4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4" applyNumberFormat="0" applyFont="0" applyAlignment="0" applyProtection="0"/>
    <xf numFmtId="0" fontId="56" fillId="0" borderId="107" applyNumberFormat="0" applyFill="0" applyAlignment="0" applyProtection="0"/>
    <xf numFmtId="0" fontId="57" fillId="0" borderId="108" applyNumberFormat="0" applyFill="0" applyAlignment="0" applyProtection="0"/>
    <xf numFmtId="0" fontId="58" fillId="0" borderId="109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10" applyNumberFormat="0" applyAlignment="0" applyProtection="0"/>
    <xf numFmtId="0" fontId="63" fillId="8" borderId="111" applyNumberFormat="0" applyAlignment="0" applyProtection="0"/>
    <xf numFmtId="0" fontId="64" fillId="8" borderId="110" applyNumberFormat="0" applyAlignment="0" applyProtection="0"/>
    <xf numFmtId="0" fontId="65" fillId="0" borderId="112" applyNumberFormat="0" applyFill="0" applyAlignment="0" applyProtection="0"/>
    <xf numFmtId="0" fontId="66" fillId="9" borderId="11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5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4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7" applyNumberFormat="0" applyFill="0" applyAlignment="0" applyProtection="0"/>
    <xf numFmtId="0" fontId="57" fillId="0" borderId="108" applyNumberFormat="0" applyFill="0" applyAlignment="0" applyProtection="0"/>
    <xf numFmtId="0" fontId="58" fillId="0" borderId="109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10" applyNumberFormat="0" applyAlignment="0" applyProtection="0"/>
    <xf numFmtId="0" fontId="63" fillId="8" borderId="111" applyNumberFormat="0" applyAlignment="0" applyProtection="0"/>
    <xf numFmtId="0" fontId="64" fillId="8" borderId="110" applyNumberFormat="0" applyAlignment="0" applyProtection="0"/>
    <xf numFmtId="0" fontId="65" fillId="0" borderId="112" applyNumberFormat="0" applyFill="0" applyAlignment="0" applyProtection="0"/>
    <xf numFmtId="0" fontId="66" fillId="9" borderId="11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5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4" applyNumberFormat="0" applyFont="0" applyAlignment="0" applyProtection="0"/>
    <xf numFmtId="0" fontId="85" fillId="0" borderId="0"/>
    <xf numFmtId="0" fontId="46" fillId="0" borderId="0"/>
    <xf numFmtId="43" fontId="40" fillId="0" borderId="0" applyFont="0" applyFill="0" applyBorder="0" applyAlignment="0" applyProtection="0"/>
    <xf numFmtId="0" fontId="87" fillId="0" borderId="0"/>
    <xf numFmtId="0" fontId="27" fillId="10" borderId="114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8" fillId="0" borderId="0"/>
    <xf numFmtId="0" fontId="26" fillId="10" borderId="114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1" fillId="0" borderId="0"/>
    <xf numFmtId="9" fontId="24" fillId="0" borderId="0" applyFont="0" applyFill="0" applyBorder="0" applyAlignment="0" applyProtection="0"/>
    <xf numFmtId="0" fontId="24" fillId="10" borderId="114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2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4" fillId="0" borderId="0"/>
    <xf numFmtId="0" fontId="20" fillId="0" borderId="0"/>
    <xf numFmtId="0" fontId="19" fillId="0" borderId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5" fillId="0" borderId="0"/>
    <xf numFmtId="0" fontId="16" fillId="0" borderId="0"/>
    <xf numFmtId="0" fontId="15" fillId="0" borderId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6" fillId="0" borderId="0"/>
    <xf numFmtId="0" fontId="13" fillId="10" borderId="114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7" fillId="0" borderId="0"/>
    <xf numFmtId="0" fontId="8" fillId="10" borderId="114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7" fillId="0" borderId="0"/>
    <xf numFmtId="0" fontId="7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0" fillId="0" borderId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01" fillId="0" borderId="0"/>
    <xf numFmtId="0" fontId="102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3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86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164" fontId="36" fillId="0" borderId="0" xfId="0" quotePrefix="1" applyNumberFormat="1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6" fillId="0" borderId="9" xfId="0" applyNumberFormat="1" applyFont="1" applyBorder="1" applyAlignment="1">
      <alignment horizontal="right"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164" fontId="36" fillId="0" borderId="6" xfId="0" quotePrefix="1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164" fontId="36" fillId="0" borderId="8" xfId="0" quotePrefix="1" applyNumberFormat="1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164" fontId="36" fillId="0" borderId="9" xfId="0" quotePrefix="1" applyNumberFormat="1" applyFont="1" applyBorder="1" applyAlignment="1">
      <alignment horizontal="center"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165" fontId="36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0" fontId="38" fillId="2" borderId="67" xfId="0" quotePrefix="1" applyFont="1" applyFill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6" xfId="0" applyBorder="1" applyAlignment="1">
      <alignment vertical="center"/>
    </xf>
    <xf numFmtId="3" fontId="36" fillId="0" borderId="105" xfId="0" applyNumberFormat="1" applyFont="1" applyBorder="1" applyAlignment="1">
      <alignment horizontal="right" vertical="center"/>
    </xf>
    <xf numFmtId="3" fontId="36" fillId="0" borderId="106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42" fillId="0" borderId="22" xfId="2" applyNumberFormat="1" applyFont="1" applyFill="1" applyBorder="1" applyAlignment="1">
      <alignment horizontal="center" vertical="center" wrapText="1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164" fontId="36" fillId="0" borderId="0" xfId="0" quotePrefix="1" applyNumberFormat="1" applyFont="1" applyBorder="1" applyAlignment="1">
      <alignment horizontal="center" vertical="center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164" fontId="36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6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3" fillId="0" borderId="0" xfId="0" quotePrefix="1" applyFont="1" applyAlignment="1">
      <alignment horizontal="center"/>
    </xf>
    <xf numFmtId="0" fontId="84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3" fontId="38" fillId="2" borderId="116" xfId="0" applyNumberFormat="1" applyFont="1" applyFill="1" applyBorder="1" applyAlignment="1">
      <alignment horizontal="center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2" xfId="0" applyFont="1" applyBorder="1" applyAlignment="1">
      <alignment vertical="center"/>
    </xf>
    <xf numFmtId="0" fontId="46" fillId="0" borderId="123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6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9" fontId="36" fillId="0" borderId="22" xfId="2" applyNumberFormat="1" applyFont="1" applyBorder="1" applyAlignment="1">
      <alignment horizontal="center" vertical="center"/>
    </xf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4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7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82" fillId="0" borderId="0" xfId="2" applyNumberFormat="1" applyFont="1" applyFill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120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27" xfId="0" applyNumberFormat="1" applyFont="1" applyBorder="1" applyAlignment="1">
      <alignment horizontal="right" vertical="center"/>
    </xf>
    <xf numFmtId="3" fontId="36" fillId="0" borderId="72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vertical="center"/>
    </xf>
    <xf numFmtId="3" fontId="36" fillId="0" borderId="106" xfId="0" applyNumberFormat="1" applyFont="1" applyBorder="1" applyAlignment="1">
      <alignment vertical="center"/>
    </xf>
    <xf numFmtId="3" fontId="42" fillId="0" borderId="9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6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8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0" fillId="0" borderId="53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6" fillId="0" borderId="0" xfId="2" applyNumberFormat="1" applyFont="1" applyBorder="1" applyAlignment="1">
      <alignment vertical="center"/>
    </xf>
    <xf numFmtId="165" fontId="86" fillId="0" borderId="0" xfId="2" applyNumberFormat="1" applyFont="1" applyBorder="1" applyAlignment="1">
      <alignment horizontal="center" vertical="center"/>
    </xf>
    <xf numFmtId="0" fontId="46" fillId="0" borderId="121" xfId="0" applyFont="1" applyFill="1" applyBorder="1" applyAlignment="1">
      <alignment vertical="center"/>
    </xf>
    <xf numFmtId="0" fontId="89" fillId="0" borderId="0" xfId="1" applyFont="1"/>
    <xf numFmtId="0" fontId="31" fillId="0" borderId="0" xfId="1" applyFont="1"/>
    <xf numFmtId="0" fontId="90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3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2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4" xfId="0" applyNumberFormat="1" applyFont="1" applyBorder="1" applyAlignment="1">
      <alignment horizontal="right" vertical="center"/>
    </xf>
    <xf numFmtId="3" fontId="42" fillId="0" borderId="130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36" fillId="0" borderId="92" xfId="0" applyNumberFormat="1" applyFont="1" applyFill="1" applyBorder="1" applyAlignment="1">
      <alignment horizontal="right" vertical="center"/>
    </xf>
    <xf numFmtId="3" fontId="36" fillId="0" borderId="72" xfId="0" applyNumberFormat="1" applyFont="1" applyFill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3" fontId="36" fillId="0" borderId="35" xfId="0" applyNumberFormat="1" applyFont="1" applyFill="1" applyBorder="1" applyAlignment="1">
      <alignment horizontal="right" vertical="center"/>
    </xf>
    <xf numFmtId="3" fontId="36" fillId="0" borderId="88" xfId="0" applyNumberFormat="1" applyFont="1" applyFill="1" applyBorder="1" applyAlignment="1">
      <alignment horizontal="right" vertical="center"/>
    </xf>
    <xf numFmtId="9" fontId="42" fillId="0" borderId="0" xfId="2" applyFont="1" applyAlignment="1">
      <alignment horizontal="center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2" xfId="2" applyNumberFormat="1" applyFont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2" fontId="92" fillId="0" borderId="0" xfId="304" applyNumberFormat="1" applyFont="1" applyAlignment="1">
      <alignment horizontal="left" vertical="center"/>
    </xf>
    <xf numFmtId="3" fontId="42" fillId="0" borderId="94" xfId="304" applyNumberFormat="1" applyFont="1" applyBorder="1" applyAlignment="1">
      <alignment vertical="center"/>
    </xf>
    <xf numFmtId="3" fontId="42" fillId="0" borderId="22" xfId="304" applyNumberFormat="1" applyFont="1" applyBorder="1" applyAlignment="1">
      <alignment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8" fillId="2" borderId="36" xfId="0" applyNumberFormat="1" applyFont="1" applyFill="1" applyBorder="1" applyAlignment="1">
      <alignment horizontal="right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2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3" fontId="36" fillId="0" borderId="96" xfId="0" applyNumberFormat="1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8" fillId="2" borderId="132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164" fontId="36" fillId="0" borderId="9" xfId="0" quotePrefix="1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3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3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4" xfId="4" applyBorder="1"/>
    <xf numFmtId="0" fontId="47" fillId="3" borderId="36" xfId="0" applyFont="1" applyFill="1" applyBorder="1" applyAlignment="1">
      <alignment vertical="center"/>
    </xf>
    <xf numFmtId="3" fontId="36" fillId="0" borderId="130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6" fillId="0" borderId="134" xfId="0" applyNumberFormat="1" applyFont="1" applyBorder="1" applyAlignment="1">
      <alignment horizontal="right" vertical="center"/>
    </xf>
    <xf numFmtId="165" fontId="36" fillId="0" borderId="134" xfId="2" quotePrefix="1" applyNumberFormat="1" applyFont="1" applyBorder="1" applyAlignment="1">
      <alignment horizontal="center" vertical="center"/>
    </xf>
    <xf numFmtId="165" fontId="36" fillId="0" borderId="135" xfId="2" quotePrefix="1" applyNumberFormat="1" applyFont="1" applyBorder="1" applyAlignment="1">
      <alignment horizontal="center" vertical="center"/>
    </xf>
    <xf numFmtId="3" fontId="38" fillId="2" borderId="136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6" xfId="2" applyNumberFormat="1" applyFont="1" applyFill="1" applyBorder="1" applyAlignment="1">
      <alignment horizontal="center" vertical="center" wrapText="1"/>
    </xf>
    <xf numFmtId="3" fontId="36" fillId="0" borderId="125" xfId="0" applyNumberFormat="1" applyFont="1" applyBorder="1" applyAlignment="1">
      <alignment horizontal="right" vertical="center"/>
    </xf>
    <xf numFmtId="3" fontId="36" fillId="0" borderId="90" xfId="0" applyNumberFormat="1" applyFont="1" applyBorder="1" applyAlignment="1">
      <alignment vertical="center"/>
    </xf>
    <xf numFmtId="0" fontId="32" fillId="2" borderId="137" xfId="0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horizontal="right" vertical="center"/>
    </xf>
    <xf numFmtId="3" fontId="36" fillId="0" borderId="139" xfId="0" applyNumberFormat="1" applyFont="1" applyBorder="1" applyAlignment="1">
      <alignment horizontal="right" vertical="center"/>
    </xf>
    <xf numFmtId="3" fontId="36" fillId="0" borderId="137" xfId="0" applyNumberFormat="1" applyFont="1" applyBorder="1" applyAlignment="1">
      <alignment horizontal="right" vertical="center"/>
    </xf>
    <xf numFmtId="3" fontId="38" fillId="2" borderId="137" xfId="0" applyNumberFormat="1" applyFont="1" applyFill="1" applyBorder="1" applyAlignment="1">
      <alignment horizontal="right" vertical="center" wrapText="1"/>
    </xf>
    <xf numFmtId="3" fontId="36" fillId="0" borderId="140" xfId="0" applyNumberFormat="1" applyFont="1" applyBorder="1" applyAlignment="1">
      <alignment horizontal="right" vertical="center"/>
    </xf>
    <xf numFmtId="0" fontId="36" fillId="0" borderId="141" xfId="0" quotePrefix="1" applyFont="1" applyBorder="1" applyAlignment="1">
      <alignment horizontal="center" vertical="center"/>
    </xf>
    <xf numFmtId="0" fontId="32" fillId="2" borderId="141" xfId="0" applyFont="1" applyFill="1" applyBorder="1" applyAlignment="1">
      <alignment horizontal="center" vertical="center" wrapText="1"/>
    </xf>
    <xf numFmtId="165" fontId="36" fillId="0" borderId="142" xfId="2" applyNumberFormat="1" applyFont="1" applyBorder="1" applyAlignment="1">
      <alignment horizontal="center" vertical="center"/>
    </xf>
    <xf numFmtId="165" fontId="36" fillId="0" borderId="143" xfId="2" applyNumberFormat="1" applyFont="1" applyBorder="1" applyAlignment="1">
      <alignment horizontal="center" vertical="center"/>
    </xf>
    <xf numFmtId="165" fontId="38" fillId="2" borderId="141" xfId="2" applyNumberFormat="1" applyFont="1" applyFill="1" applyBorder="1" applyAlignment="1">
      <alignment horizontal="center" vertical="center" wrapText="1"/>
    </xf>
    <xf numFmtId="165" fontId="36" fillId="0" borderId="144" xfId="2" applyNumberFormat="1" applyFont="1" applyBorder="1" applyAlignment="1">
      <alignment horizontal="center" vertical="center"/>
    </xf>
    <xf numFmtId="3" fontId="38" fillId="2" borderId="145" xfId="0" applyNumberFormat="1" applyFont="1" applyFill="1" applyBorder="1" applyAlignment="1">
      <alignment horizontal="right" vertical="center" wrapText="1"/>
    </xf>
    <xf numFmtId="165" fontId="38" fillId="2" borderId="146" xfId="2" applyNumberFormat="1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vertical="center"/>
    </xf>
    <xf numFmtId="3" fontId="36" fillId="0" borderId="139" xfId="0" applyNumberFormat="1" applyFont="1" applyBorder="1" applyAlignment="1">
      <alignment vertical="center"/>
    </xf>
    <xf numFmtId="3" fontId="36" fillId="0" borderId="140" xfId="0" applyNumberFormat="1" applyFont="1" applyBorder="1" applyAlignment="1">
      <alignment vertical="center"/>
    </xf>
    <xf numFmtId="3" fontId="36" fillId="0" borderId="147" xfId="0" applyNumberFormat="1" applyFont="1" applyBorder="1" applyAlignment="1">
      <alignment horizontal="right" vertical="center"/>
    </xf>
    <xf numFmtId="3" fontId="36" fillId="0" borderId="148" xfId="0" applyNumberFormat="1" applyFont="1" applyBorder="1" applyAlignment="1">
      <alignment horizontal="right" vertical="center"/>
    </xf>
    <xf numFmtId="3" fontId="36" fillId="0" borderId="149" xfId="0" applyNumberFormat="1" applyFont="1" applyBorder="1" applyAlignment="1">
      <alignment horizontal="right" vertical="center"/>
    </xf>
    <xf numFmtId="3" fontId="36" fillId="0" borderId="150" xfId="0" applyNumberFormat="1" applyFont="1" applyBorder="1" applyAlignment="1">
      <alignment horizontal="right" vertical="center"/>
    </xf>
    <xf numFmtId="3" fontId="36" fillId="0" borderId="151" xfId="0" applyNumberFormat="1" applyFont="1" applyBorder="1" applyAlignment="1">
      <alignment horizontal="right" vertical="center"/>
    </xf>
    <xf numFmtId="165" fontId="36" fillId="0" borderId="134" xfId="2" applyNumberFormat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52" xfId="2" applyNumberFormat="1" applyFont="1" applyBorder="1" applyAlignment="1">
      <alignment horizontal="center" vertical="center"/>
    </xf>
    <xf numFmtId="165" fontId="36" fillId="0" borderId="153" xfId="2" quotePrefix="1" applyNumberFormat="1" applyFont="1" applyBorder="1" applyAlignment="1">
      <alignment horizontal="center" vertical="center"/>
    </xf>
    <xf numFmtId="165" fontId="36" fillId="0" borderId="153" xfId="2" applyNumberFormat="1" applyFont="1" applyBorder="1" applyAlignment="1">
      <alignment horizontal="center" vertical="center"/>
    </xf>
    <xf numFmtId="165" fontId="36" fillId="0" borderId="154" xfId="2" applyNumberFormat="1" applyFont="1" applyBorder="1" applyAlignment="1">
      <alignment horizontal="center" vertical="center"/>
    </xf>
    <xf numFmtId="165" fontId="36" fillId="0" borderId="155" xfId="2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7" xfId="2" quotePrefix="1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0" borderId="160" xfId="2" applyNumberFormat="1" applyFont="1" applyFill="1" applyBorder="1" applyAlignment="1">
      <alignment horizontal="center" vertical="center" wrapText="1"/>
    </xf>
    <xf numFmtId="165" fontId="36" fillId="0" borderId="156" xfId="2" applyNumberFormat="1" applyFont="1" applyFill="1" applyBorder="1" applyAlignment="1">
      <alignment horizontal="center" vertical="center"/>
    </xf>
    <xf numFmtId="165" fontId="48" fillId="3" borderId="158" xfId="2" applyNumberFormat="1" applyFont="1" applyFill="1" applyBorder="1" applyAlignment="1">
      <alignment horizontal="center" vertical="center" wrapText="1"/>
    </xf>
    <xf numFmtId="3" fontId="36" fillId="0" borderId="162" xfId="0" applyNumberFormat="1" applyFont="1" applyBorder="1" applyAlignment="1">
      <alignment horizontal="right" vertical="center"/>
    </xf>
    <xf numFmtId="3" fontId="36" fillId="0" borderId="163" xfId="0" applyNumberFormat="1" applyFont="1" applyBorder="1" applyAlignment="1">
      <alignment horizontal="right" vertical="center"/>
    </xf>
    <xf numFmtId="3" fontId="48" fillId="3" borderId="137" xfId="0" applyNumberFormat="1" applyFont="1" applyFill="1" applyBorder="1" applyAlignment="1">
      <alignment horizontal="right" vertical="center" wrapText="1"/>
    </xf>
    <xf numFmtId="3" fontId="36" fillId="0" borderId="150" xfId="2" applyNumberFormat="1" applyFont="1" applyBorder="1" applyAlignment="1">
      <alignment horizontal="right" vertical="center"/>
    </xf>
    <xf numFmtId="3" fontId="48" fillId="3" borderId="163" xfId="0" applyNumberFormat="1" applyFont="1" applyFill="1" applyBorder="1" applyAlignment="1">
      <alignment horizontal="right" vertical="center" wrapText="1"/>
    </xf>
    <xf numFmtId="165" fontId="38" fillId="2" borderId="164" xfId="2" applyNumberFormat="1" applyFont="1" applyFill="1" applyBorder="1" applyAlignment="1">
      <alignment horizontal="center" vertical="center" wrapText="1"/>
    </xf>
    <xf numFmtId="3" fontId="38" fillId="2" borderId="161" xfId="0" applyNumberFormat="1" applyFont="1" applyFill="1" applyBorder="1" applyAlignment="1">
      <alignment horizontal="right" vertical="center" wrapText="1"/>
    </xf>
    <xf numFmtId="165" fontId="38" fillId="2" borderId="165" xfId="2" applyNumberFormat="1" applyFont="1" applyFill="1" applyBorder="1" applyAlignment="1">
      <alignment horizontal="center" vertical="center" wrapText="1"/>
    </xf>
    <xf numFmtId="165" fontId="36" fillId="0" borderId="8" xfId="2" applyNumberFormat="1" applyFont="1" applyFill="1" applyBorder="1" applyAlignment="1">
      <alignment horizontal="center" vertical="center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6" fillId="0" borderId="137" xfId="0" applyNumberFormat="1" applyFont="1" applyFill="1" applyBorder="1" applyAlignment="1">
      <alignment vertical="center"/>
    </xf>
    <xf numFmtId="3" fontId="36" fillId="0" borderId="138" xfId="0" applyNumberFormat="1" applyFont="1" applyFill="1" applyBorder="1" applyAlignment="1">
      <alignment vertical="center"/>
    </xf>
    <xf numFmtId="3" fontId="36" fillId="0" borderId="139" xfId="0" applyNumberFormat="1" applyFont="1" applyFill="1" applyBorder="1" applyAlignment="1">
      <alignment vertical="center"/>
    </xf>
    <xf numFmtId="4" fontId="36" fillId="0" borderId="137" xfId="0" applyNumberFormat="1" applyFont="1" applyBorder="1" applyAlignment="1">
      <alignment vertical="center"/>
    </xf>
    <xf numFmtId="3" fontId="36" fillId="0" borderId="140" xfId="0" applyNumberFormat="1" applyFont="1" applyFill="1" applyBorder="1" applyAlignment="1">
      <alignment vertical="center"/>
    </xf>
    <xf numFmtId="3" fontId="38" fillId="2" borderId="137" xfId="0" applyNumberFormat="1" applyFont="1" applyFill="1" applyBorder="1" applyAlignment="1">
      <alignment horizontal="center" vertical="center" wrapText="1"/>
    </xf>
    <xf numFmtId="3" fontId="38" fillId="2" borderId="145" xfId="0" applyNumberFormat="1" applyFont="1" applyFill="1" applyBorder="1" applyAlignment="1">
      <alignment horizontal="center" vertical="center" wrapText="1"/>
    </xf>
    <xf numFmtId="165" fontId="38" fillId="2" borderId="167" xfId="2" applyNumberFormat="1" applyFont="1" applyFill="1" applyBorder="1" applyAlignment="1">
      <alignment horizontal="center" vertical="center" wrapText="1"/>
    </xf>
    <xf numFmtId="3" fontId="42" fillId="0" borderId="137" xfId="304" applyNumberFormat="1" applyFont="1" applyBorder="1" applyAlignment="1">
      <alignment horizontal="right" vertical="center"/>
    </xf>
    <xf numFmtId="0" fontId="36" fillId="0" borderId="169" xfId="0" quotePrefix="1" applyFont="1" applyBorder="1" applyAlignment="1">
      <alignment horizontal="center" vertical="center"/>
    </xf>
    <xf numFmtId="0" fontId="32" fillId="2" borderId="169" xfId="0" applyFont="1" applyFill="1" applyBorder="1" applyAlignment="1">
      <alignment horizontal="center" vertical="center" wrapText="1"/>
    </xf>
    <xf numFmtId="165" fontId="36" fillId="0" borderId="122" xfId="2" applyNumberFormat="1" applyFont="1" applyBorder="1" applyAlignment="1">
      <alignment horizontal="center" vertical="center"/>
    </xf>
    <xf numFmtId="165" fontId="36" fillId="0" borderId="170" xfId="2" applyNumberFormat="1" applyFont="1" applyBorder="1" applyAlignment="1">
      <alignment horizontal="center" vertical="center"/>
    </xf>
    <xf numFmtId="165" fontId="36" fillId="0" borderId="171" xfId="2" applyNumberFormat="1" applyFont="1" applyBorder="1" applyAlignment="1">
      <alignment horizontal="center" vertical="center"/>
    </xf>
    <xf numFmtId="165" fontId="36" fillId="0" borderId="172" xfId="2" applyNumberFormat="1" applyFont="1" applyBorder="1" applyAlignment="1">
      <alignment horizontal="center" vertical="center"/>
    </xf>
    <xf numFmtId="165" fontId="38" fillId="2" borderId="169" xfId="2" applyNumberFormat="1" applyFont="1" applyFill="1" applyBorder="1" applyAlignment="1">
      <alignment horizontal="center" vertical="center" wrapText="1"/>
    </xf>
    <xf numFmtId="165" fontId="38" fillId="2" borderId="173" xfId="2" applyNumberFormat="1" applyFont="1" applyFill="1" applyBorder="1" applyAlignment="1">
      <alignment horizontal="center" vertical="center" wrapText="1"/>
    </xf>
    <xf numFmtId="3" fontId="32" fillId="2" borderId="137" xfId="0" applyNumberFormat="1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horizontal="center" vertical="center"/>
    </xf>
    <xf numFmtId="3" fontId="36" fillId="0" borderId="140" xfId="0" applyNumberFormat="1" applyFont="1" applyBorder="1" applyAlignment="1">
      <alignment horizontal="center" vertical="center"/>
    </xf>
    <xf numFmtId="3" fontId="36" fillId="0" borderId="137" xfId="0" applyNumberFormat="1" applyFont="1" applyBorder="1" applyAlignment="1">
      <alignment horizontal="center" vertical="center"/>
    </xf>
    <xf numFmtId="3" fontId="36" fillId="0" borderId="174" xfId="0" applyNumberFormat="1" applyFont="1" applyBorder="1" applyAlignment="1">
      <alignment vertical="center"/>
    </xf>
    <xf numFmtId="165" fontId="38" fillId="2" borderId="6" xfId="2" applyNumberFormat="1" applyFont="1" applyFill="1" applyBorder="1" applyAlignment="1">
      <alignment horizontal="center" vertical="center" wrapText="1"/>
    </xf>
    <xf numFmtId="165" fontId="36" fillId="0" borderId="160" xfId="2" applyNumberFormat="1" applyFont="1" applyBorder="1" applyAlignment="1">
      <alignment horizontal="center" vertical="center"/>
    </xf>
    <xf numFmtId="0" fontId="36" fillId="0" borderId="35" xfId="0" quotePrefix="1" applyFont="1" applyBorder="1" applyAlignment="1">
      <alignment horizontal="center" vertical="center"/>
    </xf>
    <xf numFmtId="0" fontId="38" fillId="2" borderId="116" xfId="0" applyFont="1" applyFill="1" applyBorder="1" applyAlignment="1">
      <alignment horizontal="center" vertical="center" wrapText="1"/>
    </xf>
    <xf numFmtId="165" fontId="38" fillId="2" borderId="164" xfId="2" quotePrefix="1" applyNumberFormat="1" applyFont="1" applyFill="1" applyBorder="1" applyAlignment="1">
      <alignment horizontal="center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0" fontId="38" fillId="2" borderId="175" xfId="0" quotePrefix="1" applyFont="1" applyFill="1" applyBorder="1" applyAlignment="1">
      <alignment horizontal="center" vertical="center" wrapText="1"/>
    </xf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5" fontId="36" fillId="0" borderId="176" xfId="2" applyNumberFormat="1" applyFont="1" applyBorder="1" applyAlignment="1">
      <alignment horizontal="center" vertical="center"/>
    </xf>
    <xf numFmtId="165" fontId="36" fillId="0" borderId="177" xfId="2" applyNumberFormat="1" applyFont="1" applyBorder="1" applyAlignment="1">
      <alignment horizontal="center" vertical="center"/>
    </xf>
    <xf numFmtId="165" fontId="38" fillId="2" borderId="178" xfId="2" applyNumberFormat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3" fontId="36" fillId="0" borderId="35" xfId="0" applyNumberFormat="1" applyFont="1" applyFill="1" applyBorder="1" applyAlignment="1">
      <alignment vertical="center"/>
    </xf>
    <xf numFmtId="3" fontId="36" fillId="0" borderId="50" xfId="0" applyNumberFormat="1" applyFont="1" applyFill="1" applyBorder="1" applyAlignment="1">
      <alignment vertical="center"/>
    </xf>
    <xf numFmtId="3" fontId="36" fillId="0" borderId="52" xfId="0" applyNumberFormat="1" applyFont="1" applyFill="1" applyBorder="1" applyAlignment="1">
      <alignment vertical="center"/>
    </xf>
    <xf numFmtId="4" fontId="36" fillId="0" borderId="35" xfId="0" applyNumberFormat="1" applyFont="1" applyBorder="1" applyAlignment="1">
      <alignment vertical="center"/>
    </xf>
    <xf numFmtId="3" fontId="36" fillId="0" borderId="54" xfId="0" applyNumberFormat="1" applyFont="1" applyFill="1" applyBorder="1" applyAlignment="1">
      <alignment vertical="center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right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3" fontId="36" fillId="0" borderId="105" xfId="0" applyNumberFormat="1" applyFont="1" applyBorder="1" applyAlignment="1">
      <alignment vertical="center"/>
    </xf>
    <xf numFmtId="0" fontId="35" fillId="0" borderId="106" xfId="0" applyFont="1" applyBorder="1" applyAlignment="1">
      <alignment vertical="center"/>
    </xf>
    <xf numFmtId="3" fontId="36" fillId="0" borderId="104" xfId="0" applyNumberFormat="1" applyFont="1" applyFill="1" applyBorder="1" applyAlignment="1">
      <alignment vertical="center"/>
    </xf>
    <xf numFmtId="3" fontId="36" fillId="0" borderId="174" xfId="0" applyNumberFormat="1" applyFont="1" applyFill="1" applyBorder="1" applyAlignment="1">
      <alignment vertical="center"/>
    </xf>
    <xf numFmtId="165" fontId="36" fillId="0" borderId="128" xfId="2" quotePrefix="1" applyNumberFormat="1" applyFont="1" applyBorder="1" applyAlignment="1">
      <alignment horizontal="center" vertical="center"/>
    </xf>
    <xf numFmtId="164" fontId="36" fillId="0" borderId="106" xfId="0" quotePrefix="1" applyNumberFormat="1" applyFont="1" applyBorder="1" applyAlignment="1">
      <alignment horizontal="center" vertical="center"/>
    </xf>
    <xf numFmtId="165" fontId="36" fillId="0" borderId="103" xfId="2" quotePrefix="1" applyNumberFormat="1" applyFont="1" applyBorder="1" applyAlignment="1">
      <alignment horizontal="center" vertical="center"/>
    </xf>
    <xf numFmtId="0" fontId="35" fillId="0" borderId="103" xfId="0" applyFont="1" applyBorder="1" applyAlignment="1">
      <alignment vertical="center"/>
    </xf>
    <xf numFmtId="164" fontId="36" fillId="0" borderId="106" xfId="0" quotePrefix="1" applyNumberFormat="1" applyFont="1" applyFill="1" applyBorder="1" applyAlignment="1">
      <alignment horizontal="center" vertical="center"/>
    </xf>
    <xf numFmtId="165" fontId="36" fillId="0" borderId="179" xfId="2" applyNumberFormat="1" applyFont="1" applyBorder="1" applyAlignment="1">
      <alignment horizontal="center" vertical="center"/>
    </xf>
    <xf numFmtId="0" fontId="31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6" fillId="0" borderId="181" xfId="2" quotePrefix="1" applyNumberFormat="1" applyFont="1" applyBorder="1" applyAlignment="1">
      <alignment horizontal="center" vertical="center"/>
    </xf>
    <xf numFmtId="3" fontId="36" fillId="0" borderId="181" xfId="0" quotePrefix="1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vertical="center"/>
    </xf>
    <xf numFmtId="0" fontId="35" fillId="0" borderId="181" xfId="0" applyFont="1" applyBorder="1" applyAlignment="1">
      <alignment vertical="center"/>
    </xf>
    <xf numFmtId="3" fontId="36" fillId="0" borderId="180" xfId="0" applyNumberFormat="1" applyFont="1" applyBorder="1" applyAlignment="1">
      <alignment vertical="center"/>
    </xf>
    <xf numFmtId="165" fontId="36" fillId="0" borderId="182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81" xfId="0" quotePrefix="1" applyNumberFormat="1" applyFont="1" applyBorder="1" applyAlignment="1">
      <alignment horizontal="right" vertical="center"/>
    </xf>
    <xf numFmtId="165" fontId="38" fillId="2" borderId="28" xfId="2" quotePrefix="1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right" vertical="center"/>
    </xf>
    <xf numFmtId="165" fontId="36" fillId="0" borderId="143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36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6" fillId="0" borderId="139" xfId="0" quotePrefix="1" applyNumberFormat="1" applyFont="1" applyFill="1" applyBorder="1" applyAlignment="1">
      <alignment horizontal="right" vertical="center"/>
    </xf>
    <xf numFmtId="165" fontId="36" fillId="0" borderId="187" xfId="2" applyNumberFormat="1" applyFont="1" applyBorder="1" applyAlignment="1">
      <alignment horizontal="center" vertical="center"/>
    </xf>
    <xf numFmtId="0" fontId="36" fillId="0" borderId="186" xfId="0" applyFont="1" applyBorder="1" applyAlignment="1">
      <alignment horizontal="center" vertical="center"/>
    </xf>
    <xf numFmtId="3" fontId="36" fillId="0" borderId="193" xfId="0" applyNumberFormat="1" applyFont="1" applyBorder="1" applyAlignment="1">
      <alignment vertical="center"/>
    </xf>
    <xf numFmtId="3" fontId="36" fillId="0" borderId="94" xfId="0" applyNumberFormat="1" applyFont="1" applyBorder="1" applyAlignment="1">
      <alignment vertical="center"/>
    </xf>
    <xf numFmtId="3" fontId="36" fillId="0" borderId="192" xfId="0" applyNumberFormat="1" applyFont="1" applyBorder="1" applyAlignment="1">
      <alignment vertical="center"/>
    </xf>
    <xf numFmtId="3" fontId="36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6" fillId="0" borderId="6" xfId="0" quotePrefix="1" applyNumberFormat="1" applyFont="1" applyFill="1" applyBorder="1" applyAlignment="1">
      <alignment horizontal="center" vertical="center"/>
    </xf>
    <xf numFmtId="3" fontId="38" fillId="2" borderId="194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Alignment="1">
      <alignment horizontal="center"/>
    </xf>
    <xf numFmtId="3" fontId="98" fillId="0" borderId="196" xfId="0" applyNumberFormat="1" applyFont="1" applyFill="1" applyBorder="1" applyAlignment="1">
      <alignment vertical="center"/>
    </xf>
    <xf numFmtId="3" fontId="98" fillId="0" borderId="197" xfId="0" applyNumberFormat="1" applyFont="1" applyFill="1" applyBorder="1" applyAlignment="1">
      <alignment horizontal="right" vertical="center"/>
    </xf>
    <xf numFmtId="3" fontId="98" fillId="0" borderId="196" xfId="0" applyNumberFormat="1" applyFont="1" applyFill="1" applyBorder="1" applyAlignment="1">
      <alignment horizontal="right" vertical="center"/>
    </xf>
    <xf numFmtId="3" fontId="99" fillId="35" borderId="0" xfId="0" applyNumberFormat="1" applyFont="1" applyFill="1" applyBorder="1" applyAlignment="1">
      <alignment horizontal="right" vertical="center" wrapText="1"/>
    </xf>
    <xf numFmtId="3" fontId="98" fillId="0" borderId="195" xfId="0" applyNumberFormat="1" applyFont="1" applyFill="1" applyBorder="1" applyAlignment="1">
      <alignment vertical="center"/>
    </xf>
    <xf numFmtId="3" fontId="98" fillId="0" borderId="197" xfId="0" applyNumberFormat="1" applyFont="1" applyFill="1" applyBorder="1" applyAlignment="1">
      <alignment vertical="center"/>
    </xf>
    <xf numFmtId="3" fontId="99" fillId="35" borderId="198" xfId="0" applyNumberFormat="1" applyFont="1" applyFill="1" applyBorder="1" applyAlignment="1">
      <alignment horizontal="right" vertical="center" wrapText="1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3" fontId="36" fillId="0" borderId="139" xfId="0" applyNumberFormat="1" applyFont="1" applyFill="1" applyBorder="1" applyAlignment="1">
      <alignment horizontal="right" vertical="center"/>
    </xf>
    <xf numFmtId="2" fontId="42" fillId="0" borderId="0" xfId="304" applyNumberFormat="1" applyFont="1" applyAlignment="1">
      <alignment horizontal="right" vertical="center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9" fillId="0" borderId="0" xfId="11" applyFont="1"/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165" fontId="38" fillId="2" borderId="6" xfId="2" applyNumberFormat="1" applyFont="1" applyFill="1" applyBorder="1" applyAlignment="1">
      <alignment horizontal="center" vertical="center"/>
    </xf>
    <xf numFmtId="165" fontId="36" fillId="0" borderId="199" xfId="2" applyNumberFormat="1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shrinkToFit="1"/>
    </xf>
    <xf numFmtId="0" fontId="36" fillId="0" borderId="13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 applyAlignment="1">
      <alignment shrinkToFi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9" fontId="36" fillId="0" borderId="9" xfId="0" quotePrefix="1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9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41" fillId="0" borderId="188" xfId="0" quotePrefix="1" applyNumberFormat="1" applyFont="1" applyBorder="1" applyAlignment="1">
      <alignment horizontal="center"/>
    </xf>
    <xf numFmtId="17" fontId="41" fillId="0" borderId="189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90" xfId="0" quotePrefix="1" applyNumberFormat="1" applyFont="1" applyBorder="1" applyAlignment="1">
      <alignment horizontal="center"/>
    </xf>
    <xf numFmtId="17" fontId="37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31" fillId="0" borderId="0" xfId="1" applyFont="1" applyAlignment="1">
      <alignment wrapText="1"/>
    </xf>
    <xf numFmtId="0" fontId="90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37" fillId="0" borderId="49" xfId="0" quotePrefix="1" applyFont="1" applyBorder="1" applyAlignment="1">
      <alignment horizontal="center"/>
    </xf>
    <xf numFmtId="0" fontId="37" fillId="0" borderId="166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OCTUBRE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0.70934990267440068</c:v>
                </c:pt>
                <c:pt idx="1">
                  <c:v>0.69061061853030381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0.60993931468518459</c:v>
                </c:pt>
                <c:pt idx="1">
                  <c:v>0.43922758094031444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0.93076747793955106</c:v>
                </c:pt>
                <c:pt idx="1">
                  <c:v>0.9263378674209084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0.70939143153154649</c:v>
                </c:pt>
                <c:pt idx="1">
                  <c:v>0.66487852012190851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70963584"/>
        <c:axId val="370965120"/>
      </c:barChart>
      <c:catAx>
        <c:axId val="37096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70965120"/>
        <c:crosses val="autoZero"/>
        <c:auto val="1"/>
        <c:lblAlgn val="ctr"/>
        <c:lblOffset val="100"/>
        <c:noMultiLvlLbl val="0"/>
      </c:catAx>
      <c:valAx>
        <c:axId val="37096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963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0.69061061853030381</c:v>
                </c:pt>
                <c:pt idx="1">
                  <c:v>0.43922758094031444</c:v>
                </c:pt>
                <c:pt idx="2">
                  <c:v>0.9263378674209084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501888"/>
        <c:axId val="377696256"/>
      </c:barChart>
      <c:catAx>
        <c:axId val="372501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7696256"/>
        <c:crosses val="autoZero"/>
        <c:auto val="1"/>
        <c:lblAlgn val="ctr"/>
        <c:lblOffset val="100"/>
        <c:noMultiLvlLbl val="0"/>
      </c:catAx>
      <c:valAx>
        <c:axId val="377696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5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0.64926457539594506</c:v>
                </c:pt>
                <c:pt idx="1">
                  <c:v>0.94255913642307509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2157696"/>
        <c:axId val="442175872"/>
      </c:barChart>
      <c:catAx>
        <c:axId val="44215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2175872"/>
        <c:crosses val="autoZero"/>
        <c:auto val="1"/>
        <c:lblAlgn val="ctr"/>
        <c:lblOffset val="100"/>
        <c:noMultiLvlLbl val="0"/>
      </c:catAx>
      <c:valAx>
        <c:axId val="442175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215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6219739292365E-2"/>
                  <c:y val="0.223901483347327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9.7481283198138202E-2</c:v>
                </c:pt>
                <c:pt idx="1">
                  <c:v>-2.1745412347602966E-2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2186752"/>
        <c:axId val="442206080"/>
      </c:barChart>
      <c:catAx>
        <c:axId val="44218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2206080"/>
        <c:crosses val="autoZero"/>
        <c:auto val="1"/>
        <c:lblAlgn val="ctr"/>
        <c:lblOffset val="100"/>
        <c:noMultiLvlLbl val="0"/>
      </c:catAx>
      <c:valAx>
        <c:axId val="44220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218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0.29451192243166402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230464"/>
        <c:axId val="443236352"/>
      </c:barChart>
      <c:catAx>
        <c:axId val="443230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3236352"/>
        <c:crosses val="autoZero"/>
        <c:auto val="1"/>
        <c:lblAlgn val="ctr"/>
        <c:lblOffset val="100"/>
        <c:noMultiLvlLbl val="0"/>
      </c:catAx>
      <c:valAx>
        <c:axId val="443236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323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2920668435998572E-3"/>
                  <c:y val="0.29541185102473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-7.164116569749801E-3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243136"/>
        <c:axId val="443262464"/>
      </c:barChart>
      <c:catAx>
        <c:axId val="443243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3262464"/>
        <c:crosses val="autoZero"/>
        <c:auto val="1"/>
        <c:lblAlgn val="ctr"/>
        <c:lblOffset val="100"/>
        <c:noMultiLvlLbl val="0"/>
      </c:catAx>
      <c:valAx>
        <c:axId val="443262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324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0.60945715769913811</c:v>
                </c:pt>
                <c:pt idx="1">
                  <c:v>0.94815630623454794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336960"/>
        <c:axId val="443338752"/>
      </c:barChart>
      <c:catAx>
        <c:axId val="44333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3338752"/>
        <c:crosses val="autoZero"/>
        <c:auto val="1"/>
        <c:lblAlgn val="ctr"/>
        <c:lblOffset val="100"/>
        <c:noMultiLvlLbl val="0"/>
      </c:catAx>
      <c:valAx>
        <c:axId val="44333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333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6392085604684E-3"/>
                  <c:y val="0.19043644860848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8.6179652368266746E-2</c:v>
                </c:pt>
                <c:pt idx="1">
                  <c:v>-1.424383858654743E-2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767424"/>
        <c:axId val="443774464"/>
      </c:barChart>
      <c:catAx>
        <c:axId val="443767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3774464"/>
        <c:crosses val="autoZero"/>
        <c:auto val="1"/>
        <c:lblAlgn val="ctr"/>
        <c:lblOffset val="100"/>
        <c:noMultiLvlLbl val="0"/>
      </c:catAx>
      <c:valAx>
        <c:axId val="44377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376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0.42822962995818792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799424"/>
        <c:axId val="443800960"/>
      </c:barChart>
      <c:catAx>
        <c:axId val="443799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3800960"/>
        <c:crosses val="autoZero"/>
        <c:auto val="1"/>
        <c:lblAlgn val="ctr"/>
        <c:lblOffset val="100"/>
        <c:noMultiLvlLbl val="0"/>
      </c:catAx>
      <c:valAx>
        <c:axId val="44380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379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9153038562487379E-3"/>
                  <c:y val="-1.039325780479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0.62007694110688938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020992"/>
        <c:axId val="444023936"/>
      </c:barChart>
      <c:catAx>
        <c:axId val="44402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4023936"/>
        <c:crosses val="autoZero"/>
        <c:auto val="1"/>
        <c:lblAlgn val="ctr"/>
        <c:lblOffset val="100"/>
        <c:noMultiLvlLbl val="0"/>
      </c:catAx>
      <c:valAx>
        <c:axId val="444023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402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0.58233260795560204</c:v>
                </c:pt>
                <c:pt idx="1">
                  <c:v>0.80249471985976673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098432"/>
        <c:axId val="444099968"/>
      </c:barChart>
      <c:catAx>
        <c:axId val="444098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4099968"/>
        <c:crosses val="autoZero"/>
        <c:auto val="1"/>
        <c:lblAlgn val="ctr"/>
        <c:lblOffset val="100"/>
        <c:noMultiLvlLbl val="0"/>
      </c:catAx>
      <c:valAx>
        <c:axId val="44409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409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073246430788334E-3"/>
                  <c:y val="0.414643509611676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0.11040523485662179</c:v>
                </c:pt>
                <c:pt idx="1">
                  <c:v>-0.12527865908294222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156160"/>
        <c:axId val="444187776"/>
      </c:barChart>
      <c:catAx>
        <c:axId val="44415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4187776"/>
        <c:crosses val="autoZero"/>
        <c:auto val="1"/>
        <c:lblAlgn val="ctr"/>
        <c:lblOffset val="100"/>
        <c:noMultiLvlLbl val="0"/>
      </c:catAx>
      <c:valAx>
        <c:axId val="44418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415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49518810148728E-3"/>
                  <c:y val="-3.9290974044911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4759405074364E-3"/>
                  <c:y val="-5.6164333624963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-2.1723029511610314E-2</c:v>
                </c:pt>
                <c:pt idx="1">
                  <c:v>-0.24620740069133684</c:v>
                </c:pt>
                <c:pt idx="2">
                  <c:v>-0.15911397383126125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718656"/>
        <c:axId val="383002112"/>
      </c:barChart>
      <c:catAx>
        <c:axId val="377718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3002112"/>
        <c:crosses val="autoZero"/>
        <c:auto val="1"/>
        <c:lblAlgn val="ctr"/>
        <c:lblOffset val="100"/>
        <c:noMultiLvlLbl val="0"/>
      </c:catAx>
      <c:valAx>
        <c:axId val="38300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71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0.32431532274225378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225024"/>
        <c:axId val="444226560"/>
      </c:barChart>
      <c:catAx>
        <c:axId val="444225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4226560"/>
        <c:crosses val="autoZero"/>
        <c:auto val="1"/>
        <c:lblAlgn val="ctr"/>
        <c:lblOffset val="100"/>
        <c:noMultiLvlLbl val="0"/>
      </c:catAx>
      <c:valAx>
        <c:axId val="44422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422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0.44039122433776656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245888"/>
        <c:axId val="444289792"/>
      </c:barChart>
      <c:catAx>
        <c:axId val="44424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4289792"/>
        <c:crosses val="autoZero"/>
        <c:auto val="1"/>
        <c:lblAlgn val="ctr"/>
        <c:lblOffset val="100"/>
        <c:noMultiLvlLbl val="0"/>
      </c:catAx>
      <c:valAx>
        <c:axId val="44428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424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0.55324420017830223</c:v>
                </c:pt>
                <c:pt idx="1">
                  <c:v>0.92435278210458149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5810176"/>
        <c:axId val="445811712"/>
      </c:barChart>
      <c:catAx>
        <c:axId val="44581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5811712"/>
        <c:crosses val="autoZero"/>
        <c:auto val="1"/>
        <c:lblAlgn val="ctr"/>
        <c:lblOffset val="100"/>
        <c:noMultiLvlLbl val="0"/>
      </c:catAx>
      <c:valAx>
        <c:axId val="44581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581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8.8807618356183671E-3</c:v>
                </c:pt>
                <c:pt idx="1">
                  <c:v>2.6199662475899999E-2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5835136"/>
        <c:axId val="445846272"/>
      </c:barChart>
      <c:catAx>
        <c:axId val="445835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5846272"/>
        <c:crosses val="autoZero"/>
        <c:auto val="1"/>
        <c:lblAlgn val="ctr"/>
        <c:lblOffset val="100"/>
        <c:noMultiLvlLbl val="0"/>
      </c:catAx>
      <c:valAx>
        <c:axId val="445846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583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0.2402788766459488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5887616"/>
        <c:axId val="445889152"/>
      </c:barChart>
      <c:catAx>
        <c:axId val="445887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5889152"/>
        <c:crosses val="autoZero"/>
        <c:auto val="1"/>
        <c:lblAlgn val="ctr"/>
        <c:lblOffset val="100"/>
        <c:noMultiLvlLbl val="0"/>
      </c:catAx>
      <c:valAx>
        <c:axId val="44588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588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837270341207349E-2"/>
                  <c:y val="0.230936575965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-0.71267353954443313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6113280"/>
        <c:axId val="446124416"/>
      </c:barChart>
      <c:catAx>
        <c:axId val="446113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6124416"/>
        <c:crosses val="autoZero"/>
        <c:auto val="1"/>
        <c:lblAlgn val="ctr"/>
        <c:lblOffset val="100"/>
        <c:noMultiLvlLbl val="0"/>
      </c:catAx>
      <c:valAx>
        <c:axId val="44612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611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0.6075136354951387</c:v>
                </c:pt>
                <c:pt idx="1">
                  <c:v>0.96163737101983604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6264448"/>
        <c:axId val="446265984"/>
      </c:barChart>
      <c:catAx>
        <c:axId val="44626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6265984"/>
        <c:crosses val="autoZero"/>
        <c:auto val="1"/>
        <c:lblAlgn val="ctr"/>
        <c:lblOffset val="100"/>
        <c:noMultiLvlLbl val="0"/>
      </c:catAx>
      <c:valAx>
        <c:axId val="446265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626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3.1754007099290549E-2</c:v>
                </c:pt>
                <c:pt idx="1">
                  <c:v>1.2757756389649932E-2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6277120"/>
        <c:axId val="446296448"/>
      </c:barChart>
      <c:catAx>
        <c:axId val="44627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6296448"/>
        <c:crosses val="autoZero"/>
        <c:auto val="1"/>
        <c:lblAlgn val="ctr"/>
        <c:lblOffset val="100"/>
        <c:noMultiLvlLbl val="0"/>
      </c:catAx>
      <c:valAx>
        <c:axId val="44629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627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0.39848897009263595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6325504"/>
        <c:axId val="446327040"/>
      </c:barChart>
      <c:catAx>
        <c:axId val="44632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6327040"/>
        <c:crosses val="autoZero"/>
        <c:auto val="1"/>
        <c:lblAlgn val="ctr"/>
        <c:lblOffset val="100"/>
        <c:noMultiLvlLbl val="0"/>
      </c:catAx>
      <c:valAx>
        <c:axId val="446327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632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624217363890967E-2"/>
                  <c:y val="0.29367918252272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-0.29483426864262674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6342272"/>
        <c:axId val="447164416"/>
      </c:barChart>
      <c:catAx>
        <c:axId val="44634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7164416"/>
        <c:crosses val="autoZero"/>
        <c:auto val="1"/>
        <c:lblAlgn val="ctr"/>
        <c:lblOffset val="100"/>
        <c:noMultiLvlLbl val="0"/>
      </c:catAx>
      <c:valAx>
        <c:axId val="44716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634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0.80357750687588869</c:v>
                </c:pt>
                <c:pt idx="1">
                  <c:v>0.58339171596075579</c:v>
                </c:pt>
                <c:pt idx="2">
                  <c:v>0.78725675882352941</c:v>
                </c:pt>
                <c:pt idx="3">
                  <c:v>0.71786933871506986</c:v>
                </c:pt>
                <c:pt idx="4">
                  <c:v>0</c:v>
                </c:pt>
                <c:pt idx="5">
                  <c:v>0.42947441314011425</c:v>
                </c:pt>
                <c:pt idx="6">
                  <c:v>0.54041591618865392</c:v>
                </c:pt>
                <c:pt idx="7">
                  <c:v>0.59548739016159347</c:v>
                </c:pt>
                <c:pt idx="8">
                  <c:v>0.99875086881972985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3099648"/>
        <c:axId val="383101568"/>
      </c:barChart>
      <c:catAx>
        <c:axId val="38309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83101568"/>
        <c:crosses val="autoZero"/>
        <c:auto val="1"/>
        <c:lblAlgn val="ctr"/>
        <c:lblOffset val="100"/>
        <c:noMultiLvlLbl val="0"/>
      </c:catAx>
      <c:valAx>
        <c:axId val="383101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309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722659667544E-3"/>
                  <c:y val="0.22286052785068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6.537984835228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1706036745408E-3"/>
                  <c:y val="0.18054972295129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1216097987753E-3"/>
                  <c:y val="0.1359919072615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77777777777779E-3"/>
                  <c:y val="1.3470034995625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687664041998E-3"/>
                  <c:y val="-3.4346748323126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3429571303587E-4"/>
                  <c:y val="1.632946923301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-8.6837235373672272E-2</c:v>
                </c:pt>
                <c:pt idx="1">
                  <c:v>5.6708876577496792E-2</c:v>
                </c:pt>
                <c:pt idx="2">
                  <c:v>-5.6930018015463379E-2</c:v>
                </c:pt>
                <c:pt idx="3">
                  <c:v>-2.9202792916900422E-2</c:v>
                </c:pt>
                <c:pt idx="4">
                  <c:v>0</c:v>
                </c:pt>
                <c:pt idx="5">
                  <c:v>-0.27324042492397993</c:v>
                </c:pt>
                <c:pt idx="6">
                  <c:v>8.7235432295533766E-2</c:v>
                </c:pt>
                <c:pt idx="7">
                  <c:v>0.1536886566687754</c:v>
                </c:pt>
                <c:pt idx="8">
                  <c:v>-0.18784945646443885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3122816"/>
        <c:axId val="383126144"/>
      </c:barChart>
      <c:catAx>
        <c:axId val="383122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83126144"/>
        <c:crosses val="autoZero"/>
        <c:auto val="1"/>
        <c:lblAlgn val="ctr"/>
        <c:lblOffset val="100"/>
        <c:noMultiLvlLbl val="0"/>
      </c:catAx>
      <c:valAx>
        <c:axId val="38312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31228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(DDetallCorrent!$B$11,DDetallCorrent!$B$61,DDetallCorrent!$B$65,DDetallCorrent!$B$141)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(DDetallCorrent!$J$11,DDetallCorrent!$J$61,DDetallCorrent!$J$65,DDetallCorrent!$J$141)</c:f>
              <c:numCache>
                <c:formatCode>0.0%</c:formatCode>
                <c:ptCount val="4"/>
                <c:pt idx="0">
                  <c:v>0.80357750687588869</c:v>
                </c:pt>
                <c:pt idx="1">
                  <c:v>0.58339171596075579</c:v>
                </c:pt>
                <c:pt idx="2">
                  <c:v>0.7872567588235293</c:v>
                </c:pt>
                <c:pt idx="3">
                  <c:v>0.71344749125668872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3213568"/>
        <c:axId val="383215872"/>
      </c:barChart>
      <c:catAx>
        <c:axId val="383213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83215872"/>
        <c:crosses val="autoZero"/>
        <c:auto val="1"/>
        <c:lblAlgn val="ctr"/>
        <c:lblOffset val="100"/>
        <c:noMultiLvlLbl val="0"/>
      </c:catAx>
      <c:valAx>
        <c:axId val="383215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321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4994782832535E-3"/>
                  <c:y val="0.51265093406308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05629024918295E-4"/>
                  <c:y val="0.3643152179888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500944606092367E-4"/>
                  <c:y val="0.22866756452616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(DDetallCorrent!$B$11,DDetallCorrent!$B$61,DDetallCorrent!$B$65,DDetallCorrent!$B$141)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(DDetallCorrent!$P$11,DDetallCorrent!$P$61,DDetallCorrent!$P$65,DDetallCorrent!$P$141)</c:f>
              <c:numCache>
                <c:formatCode>0.0%</c:formatCode>
                <c:ptCount val="4"/>
                <c:pt idx="0">
                  <c:v>-8.6837235373672161E-2</c:v>
                </c:pt>
                <c:pt idx="1">
                  <c:v>5.6708876577496792E-2</c:v>
                </c:pt>
                <c:pt idx="2">
                  <c:v>-5.6930018015463379E-2</c:v>
                </c:pt>
                <c:pt idx="3">
                  <c:v>-2.9202792916900311E-2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3492096"/>
        <c:axId val="383495552"/>
      </c:barChart>
      <c:catAx>
        <c:axId val="38349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3495552"/>
        <c:crosses val="autoZero"/>
        <c:auto val="1"/>
        <c:lblAlgn val="ctr"/>
        <c:lblOffset val="100"/>
        <c:noMultiLvlLbl val="0"/>
      </c:catAx>
      <c:valAx>
        <c:axId val="38349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3492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(DTProg!$J$6,DTProg!$J$27,DTProg!$J$33,DTProg!$J$57,DTProg!$J$66,DTProg!$J$80)</c:f>
              <c:numCache>
                <c:formatCode>0.0%</c:formatCode>
                <c:ptCount val="6"/>
                <c:pt idx="0">
                  <c:v>0.93175716370783246</c:v>
                </c:pt>
                <c:pt idx="1">
                  <c:v>0.57583147655131972</c:v>
                </c:pt>
                <c:pt idx="2">
                  <c:v>0.72495958092325197</c:v>
                </c:pt>
                <c:pt idx="3">
                  <c:v>0.75581015175462152</c:v>
                </c:pt>
                <c:pt idx="4">
                  <c:v>0.63682982399958477</c:v>
                </c:pt>
                <c:pt idx="5">
                  <c:v>0.71097125383754112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325760"/>
        <c:axId val="412327296"/>
      </c:barChart>
      <c:catAx>
        <c:axId val="412325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12327296"/>
        <c:crosses val="autoZero"/>
        <c:auto val="1"/>
        <c:lblAlgn val="ctr"/>
        <c:lblOffset val="100"/>
        <c:noMultiLvlLbl val="0"/>
      </c:catAx>
      <c:valAx>
        <c:axId val="412327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32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931062869330698E-3"/>
                  <c:y val="0.5946568933164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506535947086056E-3"/>
                  <c:y val="0.420749595448139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211965514472115E-3"/>
                  <c:y val="0.417737366855045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764218111897991E-4"/>
                  <c:y val="-1.18821483420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125872061765903E-4"/>
                  <c:y val="3.28586774657058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(DTProg!$P$6,DTProg!$P$27,DTProg!$P$33,DTProg!$P$57,DTProg!$P$66,DTProg!$P$80)</c:f>
              <c:numCache>
                <c:formatCode>0.0%</c:formatCode>
                <c:ptCount val="6"/>
                <c:pt idx="0">
                  <c:v>-0.17697195226297591</c:v>
                </c:pt>
                <c:pt idx="1">
                  <c:v>-0.12752799355867639</c:v>
                </c:pt>
                <c:pt idx="2">
                  <c:v>5.5534486101636915E-2</c:v>
                </c:pt>
                <c:pt idx="3">
                  <c:v>-0.11889531273329346</c:v>
                </c:pt>
                <c:pt idx="4">
                  <c:v>3.5515925225037881E-2</c:v>
                </c:pt>
                <c:pt idx="5">
                  <c:v>6.551536220727594E-2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343680"/>
        <c:axId val="414397568"/>
      </c:barChart>
      <c:catAx>
        <c:axId val="41234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4397568"/>
        <c:crosses val="autoZero"/>
        <c:auto val="1"/>
        <c:lblAlgn val="ctr"/>
        <c:lblOffset val="100"/>
        <c:noMultiLvlLbl val="0"/>
      </c:catAx>
      <c:valAx>
        <c:axId val="41439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34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0.76765317747298423</c:v>
                </c:pt>
                <c:pt idx="1">
                  <c:v>0.6281109898228705</c:v>
                </c:pt>
                <c:pt idx="2">
                  <c:v>0.72757599565574294</c:v>
                </c:pt>
                <c:pt idx="3">
                  <c:v>0.75559305532843701</c:v>
                </c:pt>
                <c:pt idx="4">
                  <c:v>0.70052846838043636</c:v>
                </c:pt>
                <c:pt idx="5">
                  <c:v>0.72517498612139464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181760"/>
        <c:axId val="424183296"/>
      </c:barChart>
      <c:catAx>
        <c:axId val="42418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24183296"/>
        <c:crosses val="autoZero"/>
        <c:auto val="1"/>
        <c:lblAlgn val="ctr"/>
        <c:lblOffset val="100"/>
        <c:noMultiLvlLbl val="0"/>
      </c:catAx>
      <c:valAx>
        <c:axId val="42418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18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488631740036073E-3"/>
                  <c:y val="0.192323685561795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4473813049308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2040699828140093E-5"/>
                  <c:y val="0.690263392811922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23683874924848E-3"/>
                  <c:y val="0.314205488001732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023683874924848E-3"/>
                  <c:y val="0.15202350227171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15237233480495E-5"/>
                  <c:y val="-8.0671532065635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-5.4170001789359934E-2</c:v>
                </c:pt>
                <c:pt idx="1">
                  <c:v>-3.331916119600975E-2</c:v>
                </c:pt>
                <c:pt idx="2">
                  <c:v>5.3686265496155627E-2</c:v>
                </c:pt>
                <c:pt idx="3">
                  <c:v>-0.11260893213811651</c:v>
                </c:pt>
                <c:pt idx="4">
                  <c:v>-3.7882090603556295E-2</c:v>
                </c:pt>
                <c:pt idx="5">
                  <c:v>3.8107765198641674E-2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702336"/>
        <c:axId val="429814144"/>
      </c:barChart>
      <c:catAx>
        <c:axId val="42670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9814144"/>
        <c:crosses val="autoZero"/>
        <c:auto val="1"/>
        <c:lblAlgn val="ctr"/>
        <c:lblOffset val="100"/>
        <c:noMultiLvlLbl val="0"/>
      </c:catAx>
      <c:valAx>
        <c:axId val="42981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70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OCTUBRE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0.84018499905123689</c:v>
                </c:pt>
                <c:pt idx="1">
                  <c:v>0.82031779391501214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1.1448397569101241</c:v>
                </c:pt>
                <c:pt idx="1">
                  <c:v>0.54171578293901013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9.217458188385156E-3</c:v>
                </c:pt>
                <c:pt idx="1">
                  <c:v>1.2881036526981587E-2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0.71098585195144914</c:v>
                </c:pt>
                <c:pt idx="1">
                  <c:v>0.7523055768877901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0997120"/>
        <c:axId val="371528064"/>
      </c:barChart>
      <c:catAx>
        <c:axId val="3709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71528064"/>
        <c:crosses val="autoZero"/>
        <c:auto val="1"/>
        <c:lblAlgn val="ctr"/>
        <c:lblOffset val="100"/>
        <c:noMultiLvlLbl val="0"/>
      </c:catAx>
      <c:valAx>
        <c:axId val="37152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997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0.65676427222524403</c:v>
                </c:pt>
                <c:pt idx="1">
                  <c:v>0.72010728662739654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9769728"/>
        <c:axId val="440746368"/>
      </c:barChart>
      <c:catAx>
        <c:axId val="43976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0746368"/>
        <c:crosses val="autoZero"/>
        <c:auto val="1"/>
        <c:lblAlgn val="ctr"/>
        <c:lblOffset val="100"/>
        <c:noMultiLvlLbl val="0"/>
      </c:catAx>
      <c:valAx>
        <c:axId val="440746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976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3004754620384681E-3"/>
                  <c:y val="0.5737435059195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-7.2576074090661247E-2</c:v>
                </c:pt>
                <c:pt idx="1">
                  <c:v>6.0549196014414441E-3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181120"/>
        <c:axId val="445803136"/>
      </c:barChart>
      <c:catAx>
        <c:axId val="444181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5803136"/>
        <c:crosses val="autoZero"/>
        <c:auto val="1"/>
        <c:lblAlgn val="ctr"/>
        <c:lblOffset val="100"/>
        <c:noMultiLvlLbl val="0"/>
      </c:catAx>
      <c:valAx>
        <c:axId val="445803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418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0.68102245431143094</c:v>
                </c:pt>
                <c:pt idx="1">
                  <c:v>0.74303617909690234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4063232"/>
        <c:axId val="454065152"/>
      </c:barChart>
      <c:catAx>
        <c:axId val="45406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4065152"/>
        <c:crosses val="autoZero"/>
        <c:auto val="1"/>
        <c:lblAlgn val="ctr"/>
        <c:lblOffset val="100"/>
        <c:noMultiLvlLbl val="0"/>
      </c:catAx>
      <c:valAx>
        <c:axId val="45406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406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7060366673658377E-3"/>
                  <c:y val="0.33079577329991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-2.7803722645544648E-2</c:v>
                </c:pt>
                <c:pt idx="1">
                  <c:v>9.9325744318941034E-3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5039616"/>
        <c:axId val="455046656"/>
      </c:barChart>
      <c:catAx>
        <c:axId val="45503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5046656"/>
        <c:crosses val="autoZero"/>
        <c:auto val="1"/>
        <c:lblAlgn val="ctr"/>
        <c:lblOffset val="100"/>
        <c:noMultiLvlLbl val="0"/>
      </c:catAx>
      <c:valAx>
        <c:axId val="45504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503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0.57371774338749848</c:v>
                </c:pt>
                <c:pt idx="1">
                  <c:v>0.69429544919414354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6606080"/>
        <c:axId val="458240768"/>
      </c:barChart>
      <c:catAx>
        <c:axId val="456606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8240768"/>
        <c:crosses val="autoZero"/>
        <c:auto val="1"/>
        <c:lblAlgn val="ctr"/>
        <c:lblOffset val="100"/>
        <c:noMultiLvlLbl val="0"/>
      </c:catAx>
      <c:valAx>
        <c:axId val="45824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66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78979166591862E-4"/>
                  <c:y val="0.31275004459394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6.1918210811807928E-2</c:v>
                </c:pt>
                <c:pt idx="1">
                  <c:v>-3.2154403147084398E-2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290496"/>
        <c:axId val="459294208"/>
      </c:barChart>
      <c:catAx>
        <c:axId val="45929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9294208"/>
        <c:crosses val="autoZero"/>
        <c:auto val="1"/>
        <c:lblAlgn val="ctr"/>
        <c:lblOffset val="100"/>
        <c:noMultiLvlLbl val="0"/>
      </c:catAx>
      <c:valAx>
        <c:axId val="459294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929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0.43708483653973523</c:v>
                </c:pt>
                <c:pt idx="1">
                  <c:v>0.53779943179828926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308416"/>
        <c:axId val="459340032"/>
      </c:barChart>
      <c:catAx>
        <c:axId val="45930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9340032"/>
        <c:crosses val="autoZero"/>
        <c:auto val="1"/>
        <c:lblAlgn val="ctr"/>
        <c:lblOffset val="100"/>
        <c:noMultiLvlLbl val="0"/>
      </c:catAx>
      <c:valAx>
        <c:axId val="45934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930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258916164892E-3"/>
                  <c:y val="-3.987367432729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-0.27494314916119578</c:v>
                </c:pt>
                <c:pt idx="1">
                  <c:v>7.584649664395493E-2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351936"/>
        <c:axId val="459367936"/>
      </c:barChart>
      <c:catAx>
        <c:axId val="45935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9367936"/>
        <c:crosses val="autoZero"/>
        <c:auto val="1"/>
        <c:lblAlgn val="ctr"/>
        <c:lblOffset val="100"/>
        <c:noMultiLvlLbl val="0"/>
      </c:catAx>
      <c:valAx>
        <c:axId val="45936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93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0.46604588563768989</c:v>
                </c:pt>
                <c:pt idx="1">
                  <c:v>0.8135640641909242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408896"/>
        <c:axId val="459410432"/>
      </c:barChart>
      <c:catAx>
        <c:axId val="45940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9410432"/>
        <c:crosses val="autoZero"/>
        <c:auto val="1"/>
        <c:lblAlgn val="ctr"/>
        <c:lblOffset val="100"/>
        <c:noMultiLvlLbl val="0"/>
      </c:catAx>
      <c:valAx>
        <c:axId val="45941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940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312992125984227E-2"/>
                  <c:y val="0.36746026538349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-0.26766727642717669</c:v>
                </c:pt>
                <c:pt idx="1">
                  <c:v>0.2723575001749059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434624"/>
        <c:axId val="459442048"/>
      </c:barChart>
      <c:catAx>
        <c:axId val="45943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9442048"/>
        <c:crosses val="autoZero"/>
        <c:auto val="1"/>
        <c:lblAlgn val="ctr"/>
        <c:lblOffset val="100"/>
        <c:noMultiLvlLbl val="0"/>
      </c:catAx>
      <c:valAx>
        <c:axId val="45944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943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0.82305583318358544</c:v>
                </c:pt>
                <c:pt idx="1">
                  <c:v>0.98911842272739192</c:v>
                </c:pt>
                <c:pt idx="2">
                  <c:v>0.68596657938271144</c:v>
                </c:pt>
                <c:pt idx="3">
                  <c:v>0.83970193708881591</c:v>
                </c:pt>
                <c:pt idx="4">
                  <c:v>0.90019048908583033</c:v>
                </c:pt>
                <c:pt idx="5">
                  <c:v>0.36887451002918625</c:v>
                </c:pt>
                <c:pt idx="6">
                  <c:v>0.58504423411403672</c:v>
                </c:pt>
                <c:pt idx="7">
                  <c:v>1.4627220678592383E-2</c:v>
                </c:pt>
                <c:pt idx="8">
                  <c:v>1.2831904716035489E-2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557120"/>
        <c:axId val="371559808"/>
      </c:barChart>
      <c:catAx>
        <c:axId val="371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1559808"/>
        <c:crosses val="autoZero"/>
        <c:auto val="1"/>
        <c:lblAlgn val="ctr"/>
        <c:lblOffset val="100"/>
        <c:noMultiLvlLbl val="0"/>
      </c:catAx>
      <c:valAx>
        <c:axId val="37155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5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0.24381502590394549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468160"/>
        <c:axId val="460618368"/>
      </c:barChart>
      <c:catAx>
        <c:axId val="459468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0618368"/>
        <c:crosses val="autoZero"/>
        <c:auto val="1"/>
        <c:lblAlgn val="ctr"/>
        <c:lblOffset val="100"/>
        <c:noMultiLvlLbl val="0"/>
      </c:catAx>
      <c:valAx>
        <c:axId val="460618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946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6526684164479443E-3"/>
                  <c:y val="-2.022528433945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8.5605271245333237E-2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829824"/>
        <c:axId val="462840960"/>
      </c:barChart>
      <c:catAx>
        <c:axId val="46282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2840960"/>
        <c:crosses val="autoZero"/>
        <c:auto val="1"/>
        <c:lblAlgn val="ctr"/>
        <c:lblOffset val="100"/>
        <c:noMultiLvlLbl val="0"/>
      </c:catAx>
      <c:valAx>
        <c:axId val="46284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82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0.54647405741244237</c:v>
                </c:pt>
                <c:pt idx="1">
                  <c:v>0.75196815194120981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881152"/>
        <c:axId val="462882688"/>
      </c:barChart>
      <c:catAx>
        <c:axId val="46288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2882688"/>
        <c:crosses val="autoZero"/>
        <c:auto val="1"/>
        <c:lblAlgn val="ctr"/>
        <c:lblOffset val="100"/>
        <c:noMultiLvlLbl val="0"/>
      </c:catAx>
      <c:valAx>
        <c:axId val="46288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8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-2.5464117537369324E-2</c:v>
                </c:pt>
                <c:pt idx="1">
                  <c:v>-0.11010297413661474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927360"/>
        <c:axId val="462931840"/>
      </c:barChart>
      <c:catAx>
        <c:axId val="46292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2931840"/>
        <c:crosses val="autoZero"/>
        <c:auto val="1"/>
        <c:lblAlgn val="ctr"/>
        <c:lblOffset val="100"/>
        <c:noMultiLvlLbl val="0"/>
      </c:catAx>
      <c:valAx>
        <c:axId val="46293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92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0.19385281132956853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955264"/>
        <c:axId val="462956800"/>
      </c:barChart>
      <c:catAx>
        <c:axId val="46295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62956800"/>
        <c:crosses val="autoZero"/>
        <c:auto val="1"/>
        <c:lblAlgn val="ctr"/>
        <c:lblOffset val="100"/>
        <c:noMultiLvlLbl val="0"/>
      </c:catAx>
      <c:valAx>
        <c:axId val="462956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95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0.92051618660340351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976256"/>
        <c:axId val="474979712"/>
      </c:barChart>
      <c:catAx>
        <c:axId val="47497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4979712"/>
        <c:crosses val="autoZero"/>
        <c:auto val="1"/>
        <c:lblAlgn val="ctr"/>
        <c:lblOffset val="100"/>
        <c:noMultiLvlLbl val="0"/>
      </c:catAx>
      <c:valAx>
        <c:axId val="474979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976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0.65049286947949958</c:v>
                </c:pt>
                <c:pt idx="1">
                  <c:v>0.5219721446368637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720384"/>
        <c:axId val="484331904"/>
      </c:barChart>
      <c:catAx>
        <c:axId val="48272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331904"/>
        <c:crosses val="autoZero"/>
        <c:auto val="1"/>
        <c:lblAlgn val="ctr"/>
        <c:lblOffset val="100"/>
        <c:noMultiLvlLbl val="0"/>
      </c:catAx>
      <c:valAx>
        <c:axId val="484331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72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169792"/>
        <c:axId val="485177216"/>
      </c:barChart>
      <c:catAx>
        <c:axId val="48516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177216"/>
        <c:crosses val="autoZero"/>
        <c:auto val="1"/>
        <c:lblAlgn val="ctr"/>
        <c:lblOffset val="100"/>
        <c:noMultiLvlLbl val="0"/>
      </c:catAx>
      <c:valAx>
        <c:axId val="48517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16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0.57773074323841533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9864832"/>
        <c:axId val="572199680"/>
      </c:barChart>
      <c:catAx>
        <c:axId val="55986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572199680"/>
        <c:crosses val="autoZero"/>
        <c:auto val="1"/>
        <c:lblAlgn val="ctr"/>
        <c:lblOffset val="100"/>
        <c:noMultiLvlLbl val="0"/>
      </c:catAx>
      <c:valAx>
        <c:axId val="572199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986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9845504"/>
        <c:axId val="655151104"/>
      </c:barChart>
      <c:catAx>
        <c:axId val="61984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655151104"/>
        <c:crosses val="autoZero"/>
        <c:auto val="1"/>
        <c:lblAlgn val="ctr"/>
        <c:lblOffset val="100"/>
        <c:noMultiLvlLbl val="0"/>
      </c:catAx>
      <c:valAx>
        <c:axId val="655151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19845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736293692905E-3"/>
                  <c:y val="0.15542341207349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63564372052E-3"/>
                  <c:y val="-7.3814173228346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58397260428284E-5"/>
                  <c:y val="-2.5902362204724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0.24533459317585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218579973640636E-3"/>
                  <c:y val="0.38400377952755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082795444560851E-4"/>
                  <c:y val="-1.066624671916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2.1523577564817487E-2</c:v>
                </c:pt>
                <c:pt idx="1">
                  <c:v>8.1004091391138511E-2</c:v>
                </c:pt>
                <c:pt idx="2">
                  <c:v>-5.6614780211187155E-2</c:v>
                </c:pt>
                <c:pt idx="3">
                  <c:v>6.5658337823391033E-2</c:v>
                </c:pt>
                <c:pt idx="4">
                  <c:v>0.28390500127714535</c:v>
                </c:pt>
                <c:pt idx="5">
                  <c:v>-0.26271756340831709</c:v>
                </c:pt>
                <c:pt idx="6">
                  <c:v>-0.52753155761340809</c:v>
                </c:pt>
                <c:pt idx="7">
                  <c:v>0.71161607161258011</c:v>
                </c:pt>
                <c:pt idx="8">
                  <c:v>2.4664352579526261E-2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577216"/>
        <c:axId val="371586176"/>
      </c:barChart>
      <c:catAx>
        <c:axId val="3715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1586176"/>
        <c:crosses val="autoZero"/>
        <c:auto val="1"/>
        <c:lblAlgn val="ctr"/>
        <c:lblOffset val="100"/>
        <c:noMultiLvlLbl val="0"/>
      </c:catAx>
      <c:valAx>
        <c:axId val="371586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57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0.49681713263764504</c:v>
                </c:pt>
                <c:pt idx="1">
                  <c:v>0.96279511108472937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76766848"/>
        <c:axId val="676768768"/>
      </c:barChart>
      <c:catAx>
        <c:axId val="67676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676768768"/>
        <c:crosses val="autoZero"/>
        <c:auto val="1"/>
        <c:lblAlgn val="ctr"/>
        <c:lblOffset val="100"/>
        <c:noMultiLvlLbl val="0"/>
      </c:catAx>
      <c:valAx>
        <c:axId val="676768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7676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847937585783429E-2"/>
                  <c:y val="-5.5890813648292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8.9663177253507031E-2</c:v>
                </c:pt>
                <c:pt idx="1">
                  <c:v>0.22162258855144268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76864000"/>
        <c:axId val="676866688"/>
      </c:barChart>
      <c:catAx>
        <c:axId val="67686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676866688"/>
        <c:crosses val="autoZero"/>
        <c:auto val="1"/>
        <c:lblAlgn val="ctr"/>
        <c:lblOffset val="100"/>
        <c:noMultiLvlLbl val="0"/>
      </c:catAx>
      <c:valAx>
        <c:axId val="67686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768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0.18539009712073984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77774464"/>
        <c:axId val="677776000"/>
      </c:barChart>
      <c:catAx>
        <c:axId val="67777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677776000"/>
        <c:crosses val="autoZero"/>
        <c:auto val="1"/>
        <c:lblAlgn val="ctr"/>
        <c:lblOffset val="100"/>
        <c:noMultiLvlLbl val="0"/>
      </c:catAx>
      <c:valAx>
        <c:axId val="677776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7777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5624296963E-2"/>
                  <c:y val="0.236972363748649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-0.58988656055644695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84574976"/>
        <c:axId val="685638784"/>
      </c:barChart>
      <c:catAx>
        <c:axId val="68457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685638784"/>
        <c:crosses val="autoZero"/>
        <c:auto val="1"/>
        <c:lblAlgn val="ctr"/>
        <c:lblOffset val="100"/>
        <c:noMultiLvlLbl val="0"/>
      </c:catAx>
      <c:valAx>
        <c:axId val="685638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8457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0.41639864451553421</c:v>
                </c:pt>
                <c:pt idx="1">
                  <c:v>0.78519092476826524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89016832"/>
        <c:axId val="689018752"/>
      </c:barChart>
      <c:catAx>
        <c:axId val="689016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689018752"/>
        <c:crosses val="autoZero"/>
        <c:auto val="1"/>
        <c:lblAlgn val="ctr"/>
        <c:lblOffset val="100"/>
        <c:noMultiLvlLbl val="0"/>
      </c:catAx>
      <c:valAx>
        <c:axId val="68901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8901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9.3952883506593254E-2</c:v>
                </c:pt>
                <c:pt idx="1">
                  <c:v>9.4885891735569716E-2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89699456"/>
        <c:axId val="690882048"/>
      </c:barChart>
      <c:catAx>
        <c:axId val="68969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690882048"/>
        <c:crosses val="autoZero"/>
        <c:auto val="1"/>
        <c:lblAlgn val="ctr"/>
        <c:lblOffset val="100"/>
        <c:noMultiLvlLbl val="0"/>
      </c:catAx>
      <c:valAx>
        <c:axId val="69088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8969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1.8198146256915959E-2</c:v>
                </c:pt>
                <c:pt idx="1">
                  <c:v>9.8454556923544947E-2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2411008"/>
        <c:axId val="693929088"/>
      </c:barChart>
      <c:catAx>
        <c:axId val="69241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693929088"/>
        <c:crosses val="autoZero"/>
        <c:auto val="1"/>
        <c:lblAlgn val="ctr"/>
        <c:lblOffset val="100"/>
        <c:noMultiLvlLbl val="0"/>
      </c:catAx>
      <c:valAx>
        <c:axId val="69392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9241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408963585434174E-2"/>
                  <c:y val="0.23238989012529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-0.92204450131436633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4522240"/>
        <c:axId val="694525312"/>
      </c:barChart>
      <c:catAx>
        <c:axId val="69452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694525312"/>
        <c:crosses val="autoZero"/>
        <c:auto val="1"/>
        <c:lblAlgn val="ctr"/>
        <c:lblOffset val="100"/>
        <c:noMultiLvlLbl val="0"/>
      </c:catAx>
      <c:valAx>
        <c:axId val="694525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9452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0.61408612081792258</c:v>
                </c:pt>
                <c:pt idx="1">
                  <c:v>0.69621106233926666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5860224"/>
        <c:axId val="696136832"/>
      </c:barChart>
      <c:catAx>
        <c:axId val="695860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696136832"/>
        <c:crosses val="autoZero"/>
        <c:auto val="1"/>
        <c:lblAlgn val="ctr"/>
        <c:lblOffset val="100"/>
        <c:noMultiLvlLbl val="0"/>
      </c:catAx>
      <c:valAx>
        <c:axId val="69613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9586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37780488706516E-2"/>
                  <c:y val="0.57008723174309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2.0391530624441545E-2</c:v>
                </c:pt>
                <c:pt idx="1">
                  <c:v>-0.16512686360164308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8368384"/>
        <c:axId val="698371456"/>
      </c:barChart>
      <c:catAx>
        <c:axId val="69836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698371456"/>
        <c:crosses val="autoZero"/>
        <c:auto val="1"/>
        <c:lblAlgn val="ctr"/>
        <c:lblOffset val="100"/>
        <c:noMultiLvlLbl val="0"/>
      </c:catAx>
      <c:valAx>
        <c:axId val="698371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9836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0.82031779391501214</c:v>
                </c:pt>
                <c:pt idx="1">
                  <c:v>0.54171578293901013</c:v>
                </c:pt>
                <c:pt idx="2">
                  <c:v>1.2881036526981587E-2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628672"/>
        <c:axId val="371851648"/>
      </c:barChart>
      <c:catAx>
        <c:axId val="37162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1851648"/>
        <c:crosses val="autoZero"/>
        <c:auto val="1"/>
        <c:lblAlgn val="ctr"/>
        <c:lblOffset val="100"/>
        <c:noMultiLvlLbl val="0"/>
      </c:catAx>
      <c:valAx>
        <c:axId val="37185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6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0.34571679065453503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9336192"/>
        <c:axId val="699337728"/>
      </c:barChart>
      <c:catAx>
        <c:axId val="699336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9337728"/>
        <c:crosses val="autoZero"/>
        <c:auto val="1"/>
        <c:lblAlgn val="ctr"/>
        <c:lblOffset val="100"/>
        <c:noMultiLvlLbl val="0"/>
      </c:catAx>
      <c:valAx>
        <c:axId val="69933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9933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548137397194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43.49359426920072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00627200"/>
        <c:axId val="700639104"/>
      </c:barChart>
      <c:catAx>
        <c:axId val="700627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700639104"/>
        <c:crosses val="autoZero"/>
        <c:auto val="1"/>
        <c:lblAlgn val="ctr"/>
        <c:lblOffset val="100"/>
        <c:noMultiLvlLbl val="0"/>
      </c:catAx>
      <c:valAx>
        <c:axId val="70063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00627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0.67630379350749381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01976576"/>
        <c:axId val="701978496"/>
      </c:barChart>
      <c:catAx>
        <c:axId val="70197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01978496"/>
        <c:crosses val="autoZero"/>
        <c:auto val="1"/>
        <c:lblAlgn val="ctr"/>
        <c:lblOffset val="100"/>
        <c:noMultiLvlLbl val="0"/>
      </c:catAx>
      <c:valAx>
        <c:axId val="701978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0197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0.4069853842451534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02531840"/>
        <c:axId val="711636480"/>
      </c:barChart>
      <c:catAx>
        <c:axId val="70253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711636480"/>
        <c:crosses val="autoZero"/>
        <c:auto val="1"/>
        <c:lblAlgn val="ctr"/>
        <c:lblOffset val="100"/>
        <c:noMultiLvlLbl val="0"/>
      </c:catAx>
      <c:valAx>
        <c:axId val="711636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0253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12272128"/>
        <c:axId val="712552832"/>
      </c:barChart>
      <c:catAx>
        <c:axId val="71227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12552832"/>
        <c:crosses val="autoZero"/>
        <c:auto val="1"/>
        <c:lblAlgn val="ctr"/>
        <c:lblOffset val="100"/>
        <c:noMultiLvlLbl val="0"/>
      </c:catAx>
      <c:valAx>
        <c:axId val="712552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227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13570560"/>
        <c:axId val="713846784"/>
      </c:barChart>
      <c:catAx>
        <c:axId val="713570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713846784"/>
        <c:crosses val="autoZero"/>
        <c:auto val="1"/>
        <c:lblAlgn val="ctr"/>
        <c:lblOffset val="100"/>
        <c:noMultiLvlLbl val="0"/>
      </c:catAx>
      <c:valAx>
        <c:axId val="71384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357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0.53666165900843721</c:v>
                </c:pt>
                <c:pt idx="1">
                  <c:v>0.50642690367446963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14806016"/>
        <c:axId val="715476992"/>
      </c:barChart>
      <c:catAx>
        <c:axId val="71480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15476992"/>
        <c:crosses val="autoZero"/>
        <c:auto val="1"/>
        <c:lblAlgn val="ctr"/>
        <c:lblOffset val="100"/>
        <c:noMultiLvlLbl val="0"/>
      </c:catAx>
      <c:valAx>
        <c:axId val="715476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48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2620885075932677E-3"/>
                  <c:y val="0.16783045272867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0.18981428194818628</c:v>
                </c:pt>
                <c:pt idx="1">
                  <c:v>-1.865650918728845E-2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15746688"/>
        <c:axId val="716802688"/>
      </c:barChart>
      <c:catAx>
        <c:axId val="71574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716802688"/>
        <c:crosses val="autoZero"/>
        <c:auto val="1"/>
        <c:lblAlgn val="ctr"/>
        <c:lblOffset val="100"/>
        <c:noMultiLvlLbl val="0"/>
      </c:catAx>
      <c:valAx>
        <c:axId val="71680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574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0.40039791484255799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18393344"/>
        <c:axId val="718395264"/>
      </c:barChart>
      <c:catAx>
        <c:axId val="718393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18395264"/>
        <c:crosses val="autoZero"/>
        <c:auto val="1"/>
        <c:lblAlgn val="ctr"/>
        <c:lblOffset val="100"/>
        <c:noMultiLvlLbl val="0"/>
      </c:catAx>
      <c:valAx>
        <c:axId val="718395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839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1.2276217137335181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19840384"/>
        <c:axId val="720396672"/>
      </c:barChart>
      <c:catAx>
        <c:axId val="71984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720396672"/>
        <c:crosses val="autoZero"/>
        <c:auto val="1"/>
        <c:lblAlgn val="ctr"/>
        <c:lblOffset val="100"/>
        <c:noMultiLvlLbl val="0"/>
      </c:catAx>
      <c:valAx>
        <c:axId val="72039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984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615544325616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94045099201312E-3"/>
                  <c:y val="-1.960669095467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3.8175282787616061E-2</c:v>
                </c:pt>
                <c:pt idx="1">
                  <c:v>-0.50317617768714329</c:v>
                </c:pt>
                <c:pt idx="2">
                  <c:v>3.7605868768632256E-2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861760"/>
        <c:axId val="371871744"/>
      </c:barChart>
      <c:catAx>
        <c:axId val="37186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1871744"/>
        <c:crosses val="autoZero"/>
        <c:auto val="1"/>
        <c:lblAlgn val="ctr"/>
        <c:lblOffset val="100"/>
        <c:noMultiLvlLbl val="0"/>
      </c:catAx>
      <c:valAx>
        <c:axId val="3718717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7186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0.65260245577941611</c:v>
                </c:pt>
                <c:pt idx="1">
                  <c:v>0.62165735776529518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1631104"/>
        <c:axId val="722497536"/>
      </c:barChart>
      <c:catAx>
        <c:axId val="72163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22497536"/>
        <c:crosses val="autoZero"/>
        <c:auto val="1"/>
        <c:lblAlgn val="ctr"/>
        <c:lblOffset val="100"/>
        <c:noMultiLvlLbl val="0"/>
      </c:catAx>
      <c:valAx>
        <c:axId val="722497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2163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733773142945E-3"/>
                  <c:y val="-9.7781173172627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888032808605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-0.10314447862534937</c:v>
                </c:pt>
                <c:pt idx="1">
                  <c:v>-5.3768604981585533E-3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2828672"/>
        <c:axId val="723110528"/>
      </c:barChart>
      <c:catAx>
        <c:axId val="72282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723110528"/>
        <c:crosses val="autoZero"/>
        <c:auto val="1"/>
        <c:lblAlgn val="ctr"/>
        <c:lblOffset val="100"/>
        <c:noMultiLvlLbl val="0"/>
      </c:catAx>
      <c:valAx>
        <c:axId val="723110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228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0.92264562107282788</c:v>
                </c:pt>
                <c:pt idx="1">
                  <c:v>0.38784670457256271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4762624"/>
        <c:axId val="724764544"/>
      </c:barChart>
      <c:catAx>
        <c:axId val="724762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24764544"/>
        <c:crosses val="autoZero"/>
        <c:auto val="1"/>
        <c:lblAlgn val="ctr"/>
        <c:lblOffset val="100"/>
        <c:noMultiLvlLbl val="0"/>
      </c:catAx>
      <c:valAx>
        <c:axId val="7247645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2476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-0.4621356381323396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5624320"/>
        <c:axId val="726045440"/>
      </c:barChart>
      <c:catAx>
        <c:axId val="725624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726045440"/>
        <c:crosses val="autoZero"/>
        <c:auto val="1"/>
        <c:lblAlgn val="ctr"/>
        <c:lblOffset val="100"/>
        <c:noMultiLvlLbl val="0"/>
      </c:catAx>
      <c:valAx>
        <c:axId val="72604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25624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0.21797853808342335</c:v>
                </c:pt>
                <c:pt idx="1">
                  <c:v>0.68314836709861648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6545920"/>
        <c:axId val="726547840"/>
      </c:barChart>
      <c:catAx>
        <c:axId val="726545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26547840"/>
        <c:crosses val="autoZero"/>
        <c:auto val="1"/>
        <c:lblAlgn val="ctr"/>
        <c:lblOffset val="100"/>
        <c:noMultiLvlLbl val="0"/>
      </c:catAx>
      <c:valAx>
        <c:axId val="72654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2654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3934349978404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0.12982008055838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9.3997495707158425</c:v>
                </c:pt>
                <c:pt idx="1">
                  <c:v>-0.2420075746070437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9541632"/>
        <c:axId val="731199744"/>
      </c:barChart>
      <c:catAx>
        <c:axId val="729541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731199744"/>
        <c:crosses val="autoZero"/>
        <c:auto val="1"/>
        <c:lblAlgn val="ctr"/>
        <c:lblOffset val="100"/>
        <c:noMultiLvlLbl val="0"/>
      </c:catAx>
      <c:valAx>
        <c:axId val="731199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2954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0435072"/>
        <c:axId val="740438400"/>
      </c:barChart>
      <c:catAx>
        <c:axId val="740435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40438400"/>
        <c:crosses val="autoZero"/>
        <c:auto val="1"/>
        <c:lblAlgn val="ctr"/>
        <c:lblOffset val="100"/>
        <c:noMultiLvlLbl val="0"/>
      </c:catAx>
      <c:valAx>
        <c:axId val="740438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4043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0.24525731751885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0625408"/>
        <c:axId val="740657792"/>
      </c:barChart>
      <c:catAx>
        <c:axId val="74062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740657792"/>
        <c:crosses val="autoZero"/>
        <c:auto val="1"/>
        <c:lblAlgn val="ctr"/>
        <c:lblOffset val="100"/>
        <c:noMultiLvlLbl val="0"/>
      </c:catAx>
      <c:valAx>
        <c:axId val="74065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4062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0.42527155716559639</c:v>
                </c:pt>
                <c:pt idx="1">
                  <c:v>0.76251681127060866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2822016"/>
        <c:axId val="763091200"/>
      </c:barChart>
      <c:catAx>
        <c:axId val="76282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763091200"/>
        <c:crosses val="autoZero"/>
        <c:auto val="1"/>
        <c:lblAlgn val="ctr"/>
        <c:lblOffset val="100"/>
        <c:noMultiLvlLbl val="0"/>
      </c:catAx>
      <c:valAx>
        <c:axId val="763091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6282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538461538464E-2"/>
          <c:y val="0.3322644163150492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1036623215394167E-3"/>
                  <c:y val="0.239618662276787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-0.16800315101247265</c:v>
                </c:pt>
                <c:pt idx="1">
                  <c:v>6.2129158655062078E-3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900352"/>
        <c:axId val="430927872"/>
      </c:barChart>
      <c:catAx>
        <c:axId val="430900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927872"/>
        <c:crosses val="autoZero"/>
        <c:auto val="1"/>
        <c:lblAlgn val="ctr"/>
        <c:lblOffset val="100"/>
        <c:noMultiLvlLbl val="0"/>
      </c:catAx>
      <c:valAx>
        <c:axId val="43092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90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0.82090710781112108</c:v>
                </c:pt>
                <c:pt idx="1">
                  <c:v>0.85117516032068674</c:v>
                </c:pt>
                <c:pt idx="2">
                  <c:v>0.68596657938271122</c:v>
                </c:pt>
                <c:pt idx="3">
                  <c:v>0.81782102496585019</c:v>
                </c:pt>
                <c:pt idx="4">
                  <c:v>0.90019048908583055</c:v>
                </c:pt>
                <c:pt idx="5">
                  <c:v>0.82031779391501203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906048"/>
        <c:axId val="371911296"/>
      </c:barChart>
      <c:catAx>
        <c:axId val="371906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1911296"/>
        <c:crosses val="autoZero"/>
        <c:auto val="1"/>
        <c:lblAlgn val="ctr"/>
        <c:lblOffset val="100"/>
        <c:noMultiLvlLbl val="0"/>
      </c:catAx>
      <c:valAx>
        <c:axId val="371911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90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0.43368506428517661</c:v>
                </c:pt>
                <c:pt idx="1">
                  <c:v>0.77776854391980366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961024"/>
        <c:axId val="430962560"/>
      </c:barChart>
      <c:catAx>
        <c:axId val="43096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962560"/>
        <c:crosses val="autoZero"/>
        <c:auto val="1"/>
        <c:lblAlgn val="ctr"/>
        <c:lblOffset val="100"/>
        <c:noMultiLvlLbl val="0"/>
      </c:catAx>
      <c:valAx>
        <c:axId val="43096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96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6014536644455E-3"/>
                  <c:y val="0.1406886164545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-0.26992259503479787</c:v>
                </c:pt>
                <c:pt idx="1">
                  <c:v>5.1836205748342232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190784"/>
        <c:axId val="431193472"/>
      </c:barChart>
      <c:catAx>
        <c:axId val="431190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1193472"/>
        <c:crosses val="autoZero"/>
        <c:auto val="1"/>
        <c:lblAlgn val="ctr"/>
        <c:lblOffset val="100"/>
        <c:noMultiLvlLbl val="0"/>
      </c:catAx>
      <c:valAx>
        <c:axId val="43119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1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0.54795208057336087</c:v>
                </c:pt>
                <c:pt idx="1">
                  <c:v>0.6326683296918385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271936"/>
        <c:axId val="431274624"/>
      </c:barChart>
      <c:catAx>
        <c:axId val="43127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1274624"/>
        <c:crosses val="autoZero"/>
        <c:auto val="1"/>
        <c:lblAlgn val="ctr"/>
        <c:lblOffset val="100"/>
        <c:noMultiLvlLbl val="0"/>
      </c:catAx>
      <c:valAx>
        <c:axId val="43127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27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12460676457995E-2"/>
                  <c:y val="0.27160582199952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1.1469821281526049</c:v>
                </c:pt>
                <c:pt idx="1">
                  <c:v>-0.82092232555746292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281088"/>
        <c:axId val="432296320"/>
      </c:barChart>
      <c:catAx>
        <c:axId val="43228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296320"/>
        <c:crosses val="autoZero"/>
        <c:auto val="1"/>
        <c:lblAlgn val="ctr"/>
        <c:lblOffset val="100"/>
        <c:noMultiLvlLbl val="0"/>
      </c:catAx>
      <c:valAx>
        <c:axId val="43229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28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0.51129622834492883</c:v>
                </c:pt>
                <c:pt idx="1">
                  <c:v>0.28993427482312994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333568"/>
        <c:axId val="432335104"/>
      </c:barChart>
      <c:catAx>
        <c:axId val="432333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2335104"/>
        <c:crosses val="autoZero"/>
        <c:auto val="1"/>
        <c:lblAlgn val="ctr"/>
        <c:lblOffset val="100"/>
        <c:noMultiLvlLbl val="0"/>
      </c:catAx>
      <c:valAx>
        <c:axId val="43233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33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1213110556302418E-7"/>
                  <c:y val="0.24919675988777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-0.95035803333333335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046080"/>
        <c:axId val="434057216"/>
      </c:barChart>
      <c:catAx>
        <c:axId val="434046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4057216"/>
        <c:crosses val="autoZero"/>
        <c:auto val="1"/>
        <c:lblAlgn val="ctr"/>
        <c:lblOffset val="100"/>
        <c:noMultiLvlLbl val="0"/>
      </c:catAx>
      <c:valAx>
        <c:axId val="43405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0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0.60871541308674859</c:v>
                </c:pt>
                <c:pt idx="1">
                  <c:v>0.93702085946616542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840704"/>
        <c:axId val="434842240"/>
      </c:barChart>
      <c:catAx>
        <c:axId val="434840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4842240"/>
        <c:crosses val="autoZero"/>
        <c:auto val="1"/>
        <c:lblAlgn val="ctr"/>
        <c:lblOffset val="100"/>
        <c:noMultiLvlLbl val="0"/>
      </c:catAx>
      <c:valAx>
        <c:axId val="434842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84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23985408116735E-2"/>
                  <c:y val="0.210355987055016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4.4072342073573134E-2</c:v>
                </c:pt>
                <c:pt idx="1">
                  <c:v>-8.3717936172633678E-3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857472"/>
        <c:axId val="434876800"/>
      </c:barChart>
      <c:catAx>
        <c:axId val="43485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4876800"/>
        <c:crosses val="autoZero"/>
        <c:auto val="1"/>
        <c:lblAlgn val="ctr"/>
        <c:lblOffset val="100"/>
        <c:noMultiLvlLbl val="0"/>
      </c:catAx>
      <c:valAx>
        <c:axId val="434876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85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0.26160319966079898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905856"/>
        <c:axId val="434907392"/>
      </c:barChart>
      <c:catAx>
        <c:axId val="43490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4907392"/>
        <c:crosses val="autoZero"/>
        <c:auto val="1"/>
        <c:lblAlgn val="ctr"/>
        <c:lblOffset val="100"/>
        <c:noMultiLvlLbl val="0"/>
      </c:catAx>
      <c:valAx>
        <c:axId val="43490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90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427922056938505E-3"/>
                  <c:y val="0.23087868733389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-0.2043802863591121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930816"/>
        <c:axId val="434946048"/>
      </c:barChart>
      <c:catAx>
        <c:axId val="43493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4946048"/>
        <c:crosses val="autoZero"/>
        <c:auto val="1"/>
        <c:lblAlgn val="ctr"/>
        <c:lblOffset val="100"/>
        <c:noMultiLvlLbl val="0"/>
      </c:catAx>
      <c:valAx>
        <c:axId val="43494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93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58286951719689E-3"/>
                  <c:y val="0.15548708036044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1.925391095066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074129918157393E-3"/>
                  <c:y val="-5.5396685522612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2466322915309346E-4"/>
                  <c:y val="-4.8115826676900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2.1207802438797829E-2</c:v>
                </c:pt>
                <c:pt idx="1">
                  <c:v>4.7750434578565537E-2</c:v>
                </c:pt>
                <c:pt idx="2">
                  <c:v>-5.6614780211187155E-2</c:v>
                </c:pt>
                <c:pt idx="3">
                  <c:v>0.39556696709517003</c:v>
                </c:pt>
                <c:pt idx="4">
                  <c:v>0.28390500127714513</c:v>
                </c:pt>
                <c:pt idx="5">
                  <c:v>3.8175282787616061E-2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939584"/>
        <c:axId val="371969408"/>
      </c:barChart>
      <c:catAx>
        <c:axId val="371939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1969408"/>
        <c:crosses val="autoZero"/>
        <c:auto val="1"/>
        <c:lblAlgn val="ctr"/>
        <c:lblOffset val="100"/>
        <c:noMultiLvlLbl val="0"/>
      </c:catAx>
      <c:valAx>
        <c:axId val="371969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93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0.65138792532256073</c:v>
                </c:pt>
                <c:pt idx="1">
                  <c:v>0.97142052240808963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225344"/>
        <c:axId val="435226880"/>
      </c:barChart>
      <c:catAx>
        <c:axId val="43522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5226880"/>
        <c:crosses val="autoZero"/>
        <c:auto val="1"/>
        <c:lblAlgn val="ctr"/>
        <c:lblOffset val="100"/>
        <c:noMultiLvlLbl val="0"/>
      </c:catAx>
      <c:valAx>
        <c:axId val="43522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2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19685039370078E-3"/>
                  <c:y val="-2.9440623719503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5.1842001792630432E-2</c:v>
                </c:pt>
                <c:pt idx="1">
                  <c:v>5.3984553803043678E-3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238016"/>
        <c:axId val="435257344"/>
      </c:barChart>
      <c:catAx>
        <c:axId val="43523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5257344"/>
        <c:crosses val="autoZero"/>
        <c:auto val="1"/>
        <c:lblAlgn val="ctr"/>
        <c:lblOffset val="100"/>
        <c:noMultiLvlLbl val="0"/>
      </c:catAx>
      <c:valAx>
        <c:axId val="435257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23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0.11029226157048003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7846400"/>
        <c:axId val="437847936"/>
      </c:barChart>
      <c:catAx>
        <c:axId val="43784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7847936"/>
        <c:crosses val="autoZero"/>
        <c:auto val="1"/>
        <c:lblAlgn val="ctr"/>
        <c:lblOffset val="100"/>
        <c:noMultiLvlLbl val="0"/>
      </c:catAx>
      <c:valAx>
        <c:axId val="43784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784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0.19418599145181981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7867264"/>
        <c:axId val="437869952"/>
      </c:barChart>
      <c:catAx>
        <c:axId val="43786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7869952"/>
        <c:crosses val="autoZero"/>
        <c:auto val="1"/>
        <c:lblAlgn val="ctr"/>
        <c:lblOffset val="100"/>
        <c:noMultiLvlLbl val="0"/>
      </c:catAx>
      <c:valAx>
        <c:axId val="437869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786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0.62337692744962037</c:v>
                </c:pt>
                <c:pt idx="1">
                  <c:v>0.99110049173300785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9755136"/>
        <c:axId val="439756672"/>
      </c:barChart>
      <c:catAx>
        <c:axId val="439755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9756672"/>
        <c:crosses val="autoZero"/>
        <c:auto val="1"/>
        <c:lblAlgn val="ctr"/>
        <c:lblOffset val="100"/>
        <c:noMultiLvlLbl val="0"/>
      </c:catAx>
      <c:valAx>
        <c:axId val="43975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975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9915202908E-2"/>
                  <c:y val="-2.3069647939577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7.2078130585273348E-2</c:v>
                </c:pt>
                <c:pt idx="1">
                  <c:v>2.0496274224970801E-2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9788288"/>
        <c:axId val="439790976"/>
      </c:barChart>
      <c:catAx>
        <c:axId val="439788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9790976"/>
        <c:crosses val="autoZero"/>
        <c:auto val="1"/>
        <c:lblAlgn val="ctr"/>
        <c:lblOffset val="100"/>
        <c:noMultiLvlLbl val="0"/>
      </c:catAx>
      <c:valAx>
        <c:axId val="43979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978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0.2490288468366115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9832576"/>
        <c:axId val="439834112"/>
      </c:barChart>
      <c:catAx>
        <c:axId val="439832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9834112"/>
        <c:crosses val="autoZero"/>
        <c:auto val="1"/>
        <c:lblAlgn val="ctr"/>
        <c:lblOffset val="100"/>
        <c:noMultiLvlLbl val="0"/>
      </c:catAx>
      <c:valAx>
        <c:axId val="43983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98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0.44338094326287614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9845248"/>
        <c:axId val="439847936"/>
      </c:barChart>
      <c:catAx>
        <c:axId val="43984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9847936"/>
        <c:crosses val="autoZero"/>
        <c:auto val="1"/>
        <c:lblAlgn val="ctr"/>
        <c:lblOffset val="100"/>
        <c:noMultiLvlLbl val="0"/>
      </c:catAx>
      <c:valAx>
        <c:axId val="43984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98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0.6071006790477228</c:v>
                </c:pt>
                <c:pt idx="1">
                  <c:v>0.96794200581703616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0127488"/>
        <c:axId val="440129024"/>
      </c:barChart>
      <c:catAx>
        <c:axId val="440127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0129024"/>
        <c:crosses val="autoZero"/>
        <c:auto val="1"/>
        <c:lblAlgn val="ctr"/>
        <c:lblOffset val="100"/>
        <c:noMultiLvlLbl val="0"/>
      </c:catAx>
      <c:valAx>
        <c:axId val="44012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012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336538461538461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7809408439327E-3"/>
                  <c:y val="4.3235101941371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1.0368423485691114E-2</c:v>
                </c:pt>
                <c:pt idx="1">
                  <c:v>5.3664090276838827E-2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0742272"/>
        <c:axId val="440744960"/>
      </c:barChart>
      <c:catAx>
        <c:axId val="44074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0744960"/>
        <c:crosses val="autoZero"/>
        <c:auto val="1"/>
        <c:lblAlgn val="ctr"/>
        <c:lblOffset val="100"/>
        <c:noMultiLvlLbl val="0"/>
      </c:catAx>
      <c:valAx>
        <c:axId val="44074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074227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0.36887451002918625</c:v>
                </c:pt>
                <c:pt idx="1">
                  <c:v>0.58504423411403672</c:v>
                </c:pt>
                <c:pt idx="2">
                  <c:v>0.54171578293901013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476544"/>
        <c:axId val="372488064"/>
      </c:barChart>
      <c:catAx>
        <c:axId val="372476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488064"/>
        <c:crosses val="autoZero"/>
        <c:auto val="1"/>
        <c:lblAlgn val="ctr"/>
        <c:lblOffset val="100"/>
        <c:noMultiLvlLbl val="0"/>
      </c:catAx>
      <c:valAx>
        <c:axId val="37248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47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0.16198957679803755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0769920"/>
        <c:axId val="440816768"/>
      </c:barChart>
      <c:catAx>
        <c:axId val="440769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0816768"/>
        <c:crosses val="autoZero"/>
        <c:auto val="1"/>
        <c:lblAlgn val="ctr"/>
        <c:lblOffset val="100"/>
        <c:noMultiLvlLbl val="0"/>
      </c:catAx>
      <c:valAx>
        <c:axId val="44081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076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843976206884754E-2"/>
                  <c:y val="0.26204151131475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-0.74897957609223753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0827904"/>
        <c:axId val="440830592"/>
      </c:barChart>
      <c:catAx>
        <c:axId val="44082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0830592"/>
        <c:crosses val="autoZero"/>
        <c:auto val="1"/>
        <c:lblAlgn val="ctr"/>
        <c:lblOffset val="100"/>
        <c:noMultiLvlLbl val="0"/>
      </c:catAx>
      <c:valAx>
        <c:axId val="440830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082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0.591657942698254</c:v>
                </c:pt>
                <c:pt idx="1">
                  <c:v>0.93008119440339843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0917376"/>
        <c:axId val="440923264"/>
      </c:barChart>
      <c:catAx>
        <c:axId val="440917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0923264"/>
        <c:crosses val="autoZero"/>
        <c:auto val="1"/>
        <c:lblAlgn val="ctr"/>
        <c:lblOffset val="100"/>
        <c:noMultiLvlLbl val="0"/>
      </c:catAx>
      <c:valAx>
        <c:axId val="440923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091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022434346544669E-3"/>
                  <c:y val="0.26311289174495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1.6934346822867985E-2</c:v>
                </c:pt>
                <c:pt idx="1">
                  <c:v>-5.3976607738339677E-3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1008128"/>
        <c:axId val="441010816"/>
      </c:barChart>
      <c:catAx>
        <c:axId val="44100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1010816"/>
        <c:crosses val="autoZero"/>
        <c:auto val="1"/>
        <c:lblAlgn val="ctr"/>
        <c:lblOffset val="100"/>
        <c:noMultiLvlLbl val="0"/>
      </c:catAx>
      <c:valAx>
        <c:axId val="441010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10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0.3446935350506487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1048064"/>
        <c:axId val="441053952"/>
      </c:barChart>
      <c:catAx>
        <c:axId val="44104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1053952"/>
        <c:crosses val="autoZero"/>
        <c:auto val="1"/>
        <c:lblAlgn val="ctr"/>
        <c:lblOffset val="100"/>
        <c:noMultiLvlLbl val="0"/>
      </c:catAx>
      <c:valAx>
        <c:axId val="441053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104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-0.41972447673674795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1847168"/>
        <c:axId val="441874688"/>
      </c:barChart>
      <c:catAx>
        <c:axId val="44184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1874688"/>
        <c:crosses val="autoZero"/>
        <c:auto val="1"/>
        <c:lblAlgn val="ctr"/>
        <c:lblOffset val="100"/>
        <c:noMultiLvlLbl val="0"/>
      </c:catAx>
      <c:valAx>
        <c:axId val="441874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184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0.55336848296620367</c:v>
                </c:pt>
                <c:pt idx="1">
                  <c:v>0.93522522675123776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1936896"/>
        <c:axId val="441955072"/>
      </c:barChart>
      <c:catAx>
        <c:axId val="441936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1955072"/>
        <c:crosses val="autoZero"/>
        <c:auto val="1"/>
        <c:lblAlgn val="ctr"/>
        <c:lblOffset val="100"/>
        <c:noMultiLvlLbl val="0"/>
      </c:catAx>
      <c:valAx>
        <c:axId val="44195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193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-6.7886901202104832E-2</c:v>
                </c:pt>
                <c:pt idx="1">
                  <c:v>-1.5857422605955018E-2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1970048"/>
        <c:axId val="441981184"/>
      </c:barChart>
      <c:catAx>
        <c:axId val="44197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1981184"/>
        <c:crosses val="autoZero"/>
        <c:auto val="1"/>
        <c:lblAlgn val="ctr"/>
        <c:lblOffset val="100"/>
        <c:noMultiLvlLbl val="0"/>
      </c:catAx>
      <c:valAx>
        <c:axId val="441981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197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0.18744936110441984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2010240"/>
        <c:axId val="442032512"/>
      </c:barChart>
      <c:catAx>
        <c:axId val="44201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2032512"/>
        <c:crosses val="autoZero"/>
        <c:auto val="1"/>
        <c:lblAlgn val="ctr"/>
        <c:lblOffset val="100"/>
        <c:noMultiLvlLbl val="0"/>
      </c:catAx>
      <c:valAx>
        <c:axId val="44203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201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-8.6744425938387826E-2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2039296"/>
        <c:axId val="442054528"/>
      </c:barChart>
      <c:catAx>
        <c:axId val="44203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2054528"/>
        <c:crosses val="autoZero"/>
        <c:auto val="1"/>
        <c:lblAlgn val="ctr"/>
        <c:lblOffset val="100"/>
        <c:noMultiLvlLbl val="0"/>
      </c:catAx>
      <c:valAx>
        <c:axId val="44205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20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H17" sqref="H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9.28515625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37" t="s">
        <v>782</v>
      </c>
      <c r="I2" s="738"/>
      <c r="J2" s="739"/>
    </row>
    <row r="3" spans="1:13" x14ac:dyDescent="0.2">
      <c r="C3" s="14"/>
      <c r="D3" s="14"/>
      <c r="E3" s="14"/>
      <c r="F3" s="128"/>
      <c r="G3" s="14"/>
      <c r="H3" s="101"/>
      <c r="I3" s="129"/>
      <c r="J3" s="102" t="s">
        <v>764</v>
      </c>
    </row>
    <row r="4" spans="1:13" x14ac:dyDescent="0.2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762</v>
      </c>
      <c r="H4" s="11" t="s">
        <v>763</v>
      </c>
      <c r="I4" s="89" t="s">
        <v>507</v>
      </c>
      <c r="J4" s="12" t="s">
        <v>18</v>
      </c>
    </row>
    <row r="5" spans="1:13" x14ac:dyDescent="0.2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2061875180.2600002</v>
      </c>
      <c r="I5" s="105">
        <f>'ICap '!L10</f>
        <v>1986056896.6000001</v>
      </c>
      <c r="J5" s="57">
        <f>+H5/I5-1</f>
        <v>3.8175282787616061E-2</v>
      </c>
    </row>
    <row r="6" spans="1:13" x14ac:dyDescent="0.2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1501905166.3700001</v>
      </c>
      <c r="I6" s="105">
        <f>DCap!Q10</f>
        <v>1535255568.3900001</v>
      </c>
      <c r="J6" s="57">
        <f>+H6/I6-1</f>
        <v>-2.1723029511610314E-2</v>
      </c>
    </row>
    <row r="7" spans="1:13" x14ac:dyDescent="0.2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559970013.8900001</v>
      </c>
      <c r="I7" s="108">
        <f>+I5-I6</f>
        <v>450801328.21000004</v>
      </c>
      <c r="J7" s="43">
        <f>+H7/I7-1</f>
        <v>0.24216584745541225</v>
      </c>
      <c r="M7" s="340"/>
    </row>
    <row r="8" spans="1:13" x14ac:dyDescent="0.2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10868556.560000001</v>
      </c>
      <c r="I8" s="105">
        <f>'ICap '!L13</f>
        <v>21876077.740000002</v>
      </c>
      <c r="J8" s="57">
        <f>+H8/I8-1</f>
        <v>-0.50317617768714329</v>
      </c>
      <c r="M8" s="340"/>
    </row>
    <row r="9" spans="1:13" x14ac:dyDescent="0.2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188157348.09999999</v>
      </c>
      <c r="I9" s="105">
        <f>DCap!Q13</f>
        <v>249614215.19999999</v>
      </c>
      <c r="J9" s="57">
        <f t="shared" ref="J9:J13" si="2">+H9/I9-1</f>
        <v>-0.24620740069133684</v>
      </c>
      <c r="M9" s="340"/>
    </row>
    <row r="10" spans="1:13" x14ac:dyDescent="0.2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382681222.35000002</v>
      </c>
      <c r="I10" s="108">
        <f>+I7+I8-I9</f>
        <v>223063190.75000006</v>
      </c>
      <c r="J10" s="43">
        <f t="shared" si="2"/>
        <v>0.71557315693064405</v>
      </c>
      <c r="M10" s="340"/>
    </row>
    <row r="11" spans="1:13" x14ac:dyDescent="0.2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2725944.93</v>
      </c>
      <c r="I11" s="105">
        <f>+'ICap '!L16</f>
        <v>2627148.7200000002</v>
      </c>
      <c r="J11" s="57">
        <f t="shared" si="2"/>
        <v>3.7605868768632256E-2</v>
      </c>
    </row>
    <row r="12" spans="1:13" ht="13.5" thickBot="1" x14ac:dyDescent="0.25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144212350.63</v>
      </c>
      <c r="I12" s="105">
        <f>DCap!Q16</f>
        <v>171500472.28999999</v>
      </c>
      <c r="J12" s="252">
        <f t="shared" si="2"/>
        <v>-0.15911397383126125</v>
      </c>
    </row>
    <row r="13" spans="1:13" ht="13.5" thickBot="1" x14ac:dyDescent="0.25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241194816.65000004</v>
      </c>
      <c r="I13" s="111">
        <f>+I10+I11-I12</f>
        <v>54189867.180000067</v>
      </c>
      <c r="J13" s="246">
        <f t="shared" si="2"/>
        <v>3.4509209784337349</v>
      </c>
    </row>
    <row r="14" spans="1:13" ht="13.5" thickBot="1" x14ac:dyDescent="0.25"/>
    <row r="15" spans="1:13" x14ac:dyDescent="0.2">
      <c r="H15" s="740" t="s">
        <v>783</v>
      </c>
      <c r="I15" s="741"/>
    </row>
    <row r="16" spans="1:13" x14ac:dyDescent="0.2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765</v>
      </c>
      <c r="H16" s="112" t="s">
        <v>763</v>
      </c>
      <c r="I16" s="113" t="s">
        <v>507</v>
      </c>
    </row>
    <row r="17" spans="1:11" x14ac:dyDescent="0.2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0.27158288690365268</v>
      </c>
      <c r="I17" s="116">
        <f t="shared" si="7"/>
        <v>0.22698308844109275</v>
      </c>
      <c r="K17" s="100" t="s">
        <v>148</v>
      </c>
    </row>
    <row r="18" spans="1:11" ht="37.5" thickBot="1" x14ac:dyDescent="0.25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0.18462543900246389</v>
      </c>
      <c r="I18" s="120">
        <f t="shared" ref="I18" si="9">+I10/(I5+I8)</f>
        <v>0.11109095452915707</v>
      </c>
      <c r="J18" s="6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">
      <c r="L136" s="681"/>
      <c r="O136" s="681">
        <v>0.58699999999999997</v>
      </c>
    </row>
    <row r="137" spans="12:15" x14ac:dyDescent="0.2">
      <c r="L137" s="681"/>
      <c r="N137">
        <f>+N11+N61+N65+N136</f>
        <v>0</v>
      </c>
      <c r="O137" s="681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9"/>
  <sheetViews>
    <sheetView topLeftCell="D139" zoomScaleNormal="100" workbookViewId="0">
      <selection activeCell="O142" sqref="O142"/>
    </sheetView>
  </sheetViews>
  <sheetFormatPr defaultColWidth="11.42578125" defaultRowHeight="12.75" x14ac:dyDescent="0.2"/>
  <cols>
    <col min="1" max="1" width="0.7109375" customWidth="1"/>
    <col min="2" max="2" width="32.85546875" customWidth="1"/>
    <col min="3" max="3" width="13.5703125" customWidth="1"/>
    <col min="4" max="4" width="13.7109375" customWidth="1"/>
    <col min="5" max="5" width="12.85546875" customWidth="1"/>
    <col min="6" max="6" width="6.28515625" style="97" bestFit="1" customWidth="1"/>
    <col min="7" max="7" width="14.7109375" customWidth="1"/>
    <col min="8" max="8" width="8.85546875" style="97" bestFit="1" customWidth="1"/>
    <col min="9" max="9" width="12.5703125" customWidth="1"/>
    <col min="10" max="10" width="8.85546875" style="97" bestFit="1" customWidth="1"/>
    <col min="11" max="11" width="11.140625" style="97" customWidth="1"/>
    <col min="12" max="12" width="8.85546875" style="97" bestFit="1" customWidth="1"/>
    <col min="13" max="13" width="8.85546875" style="97" customWidth="1"/>
    <col min="14" max="14" width="11.140625" customWidth="1"/>
    <col min="15" max="15" width="8.85546875" style="97" bestFit="1" customWidth="1"/>
    <col min="16" max="16" width="8.85546875" style="97" customWidth="1"/>
    <col min="17" max="17" width="15.28515625" style="60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0" t="s">
        <v>785</v>
      </c>
      <c r="L2" s="761"/>
      <c r="M2" s="761"/>
      <c r="N2" s="761"/>
      <c r="O2" s="761"/>
      <c r="P2" s="762"/>
    </row>
    <row r="3" spans="1:19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720" t="s">
        <v>39</v>
      </c>
      <c r="O3" s="88" t="s">
        <v>40</v>
      </c>
      <c r="P3" s="149" t="s">
        <v>362</v>
      </c>
    </row>
    <row r="4" spans="1:19" ht="25.5" x14ac:dyDescent="0.2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0" t="s">
        <v>764</v>
      </c>
      <c r="N4" s="557" t="s">
        <v>17</v>
      </c>
      <c r="O4" s="89" t="s">
        <v>18</v>
      </c>
      <c r="P4" s="580" t="s">
        <v>764</v>
      </c>
      <c r="Q4" s="58" t="s">
        <v>163</v>
      </c>
    </row>
    <row r="5" spans="1:19" ht="15" customHeight="1" x14ac:dyDescent="0.2">
      <c r="A5" s="21"/>
      <c r="B5" s="21" t="s">
        <v>234</v>
      </c>
      <c r="C5" s="186">
        <v>17884241.539999999</v>
      </c>
      <c r="D5" s="190">
        <v>18247353.829999998</v>
      </c>
      <c r="E5" s="82">
        <v>14361715.470000001</v>
      </c>
      <c r="F5" s="308">
        <f t="shared" ref="F5:F12" si="0">+E5/D5</f>
        <v>0.78705743330237177</v>
      </c>
      <c r="G5" s="82">
        <v>14361715.470000001</v>
      </c>
      <c r="H5" s="48">
        <f>+G5/D5</f>
        <v>0.78705743330237177</v>
      </c>
      <c r="I5" s="82">
        <v>14361715.470000001</v>
      </c>
      <c r="J5" s="153">
        <f>I5/D5</f>
        <v>0.78705743330237177</v>
      </c>
      <c r="K5" s="571">
        <v>14337582.789999999</v>
      </c>
      <c r="L5" s="48">
        <v>0.79518251999485368</v>
      </c>
      <c r="M5" s="210">
        <f>+G5/K5-1</f>
        <v>1.6831763312874504E-3</v>
      </c>
      <c r="N5" s="571">
        <v>14337582.789999999</v>
      </c>
      <c r="O5" s="48">
        <v>0.79518251999485368</v>
      </c>
      <c r="P5" s="210">
        <f>+I5/N5-1</f>
        <v>1.6831763312874504E-3</v>
      </c>
      <c r="Q5" s="59">
        <v>10</v>
      </c>
    </row>
    <row r="6" spans="1:19" ht="15" customHeight="1" x14ac:dyDescent="0.2">
      <c r="A6" s="23"/>
      <c r="B6" s="23" t="s">
        <v>235</v>
      </c>
      <c r="C6" s="184">
        <v>5861896.0199999996</v>
      </c>
      <c r="D6" s="188">
        <v>5906429.5800000001</v>
      </c>
      <c r="E6" s="237">
        <v>4672770.43</v>
      </c>
      <c r="F6" s="280">
        <f t="shared" si="0"/>
        <v>0.79113284374415582</v>
      </c>
      <c r="G6" s="237">
        <v>4672770.43</v>
      </c>
      <c r="H6" s="280">
        <f t="shared" ref="H6:H65" si="1">+G6/D6</f>
        <v>0.79113284374415582</v>
      </c>
      <c r="I6" s="237">
        <v>4672770.43</v>
      </c>
      <c r="J6" s="178">
        <f t="shared" ref="J6:J65" si="2">I6/D6</f>
        <v>0.79113284374415582</v>
      </c>
      <c r="K6" s="572">
        <v>6152369.5300000003</v>
      </c>
      <c r="L6" s="280">
        <v>0.83558979687054236</v>
      </c>
      <c r="M6" s="210">
        <f t="shared" ref="M6:M65" si="3">+G6/K6-1</f>
        <v>-0.24049256027051424</v>
      </c>
      <c r="N6" s="572">
        <v>6152369.5300000003</v>
      </c>
      <c r="O6" s="280">
        <v>0.83558979687054236</v>
      </c>
      <c r="P6" s="211">
        <f>+I6/N6-1</f>
        <v>-0.24049256027051424</v>
      </c>
      <c r="Q6" s="60">
        <v>11</v>
      </c>
    </row>
    <row r="7" spans="1:19" ht="15" customHeight="1" x14ac:dyDescent="0.2">
      <c r="A7" s="23"/>
      <c r="B7" s="23" t="s">
        <v>236</v>
      </c>
      <c r="C7" s="184">
        <v>221167595.94</v>
      </c>
      <c r="D7" s="188">
        <v>226753979.53</v>
      </c>
      <c r="E7" s="237">
        <v>178622261.56</v>
      </c>
      <c r="F7" s="280">
        <f t="shared" si="0"/>
        <v>0.78773595034687327</v>
      </c>
      <c r="G7" s="237">
        <v>178622261.56</v>
      </c>
      <c r="H7" s="280">
        <f t="shared" si="1"/>
        <v>0.78773595034687327</v>
      </c>
      <c r="I7" s="237">
        <v>178622261.56</v>
      </c>
      <c r="J7" s="178">
        <f t="shared" si="2"/>
        <v>0.78773595034687327</v>
      </c>
      <c r="K7" s="572">
        <v>205025091.53999999</v>
      </c>
      <c r="L7" s="280">
        <v>0.81713958257098063</v>
      </c>
      <c r="M7" s="210">
        <f t="shared" si="3"/>
        <v>-0.12877853038221343</v>
      </c>
      <c r="N7" s="572">
        <v>205025091.53999999</v>
      </c>
      <c r="O7" s="280">
        <v>0.81713958257098063</v>
      </c>
      <c r="P7" s="211">
        <f>+I7/N7-1</f>
        <v>-0.12877853038221343</v>
      </c>
      <c r="Q7" s="60">
        <v>12</v>
      </c>
    </row>
    <row r="8" spans="1:19" ht="15" customHeight="1" x14ac:dyDescent="0.2">
      <c r="A8" s="23"/>
      <c r="B8" s="23" t="s">
        <v>237</v>
      </c>
      <c r="C8" s="184">
        <v>8244543.7699999996</v>
      </c>
      <c r="D8" s="188">
        <v>8754059.3000000007</v>
      </c>
      <c r="E8" s="237">
        <v>6866753.2300000004</v>
      </c>
      <c r="F8" s="280">
        <f>+E8/D8</f>
        <v>0.78440789520354293</v>
      </c>
      <c r="G8" s="237">
        <v>6866753.2300000004</v>
      </c>
      <c r="H8" s="280">
        <f>+G8/D8</f>
        <v>0.78440789520354293</v>
      </c>
      <c r="I8" s="237">
        <v>6866753.2300000004</v>
      </c>
      <c r="J8" s="178">
        <f>I8/D8</f>
        <v>0.78440789520354293</v>
      </c>
      <c r="K8" s="572">
        <v>8421110.6899999995</v>
      </c>
      <c r="L8" s="280">
        <v>0.81505892423996307</v>
      </c>
      <c r="M8" s="210">
        <f t="shared" si="3"/>
        <v>-0.18457867580885567</v>
      </c>
      <c r="N8" s="572">
        <v>8421110.6899999995</v>
      </c>
      <c r="O8" s="280">
        <v>0.81505892423996307</v>
      </c>
      <c r="P8" s="443">
        <f>+I8/N8-1</f>
        <v>-0.18457867580885567</v>
      </c>
      <c r="Q8" s="60">
        <v>13</v>
      </c>
    </row>
    <row r="9" spans="1:19" ht="15" customHeight="1" x14ac:dyDescent="0.2">
      <c r="A9" s="24"/>
      <c r="B9" s="24" t="s">
        <v>239</v>
      </c>
      <c r="C9" s="184">
        <v>46423331.969999999</v>
      </c>
      <c r="D9" s="188">
        <v>35530164.079999998</v>
      </c>
      <c r="E9" s="237">
        <v>30760757.879999999</v>
      </c>
      <c r="F9" s="280">
        <f>+E9/D9</f>
        <v>0.86576458838576809</v>
      </c>
      <c r="G9" s="237">
        <v>30760757.879999999</v>
      </c>
      <c r="H9" s="280">
        <f>+G9/D9</f>
        <v>0.86576458838576809</v>
      </c>
      <c r="I9" s="237">
        <v>30760757.879999999</v>
      </c>
      <c r="J9" s="178">
        <f>I9/D9</f>
        <v>0.86576458838576809</v>
      </c>
      <c r="K9" s="573">
        <v>30469611.670000002</v>
      </c>
      <c r="L9" s="390">
        <v>0.52211323538902032</v>
      </c>
      <c r="M9" s="210">
        <f t="shared" si="3"/>
        <v>9.5552976898178876E-3</v>
      </c>
      <c r="N9" s="573">
        <v>30469611.670000002</v>
      </c>
      <c r="O9" s="390">
        <v>0.52211323538902032</v>
      </c>
      <c r="P9" s="245">
        <f t="shared" ref="P9:P59" si="4">+I9/N9-1</f>
        <v>9.5552976898178876E-3</v>
      </c>
      <c r="Q9" s="60">
        <v>15</v>
      </c>
      <c r="R9" s="357"/>
      <c r="S9" s="357"/>
    </row>
    <row r="10" spans="1:19" ht="15" customHeight="1" x14ac:dyDescent="0.2">
      <c r="A10" s="24"/>
      <c r="B10" s="24" t="s">
        <v>238</v>
      </c>
      <c r="C10" s="395">
        <v>74901709.219999999</v>
      </c>
      <c r="D10" s="191">
        <v>80885429.790000007</v>
      </c>
      <c r="E10" s="137">
        <v>67806074.400000006</v>
      </c>
      <c r="F10" s="390">
        <f>+E10/D10</f>
        <v>0.83829775740875123</v>
      </c>
      <c r="G10" s="137">
        <v>67467648.489999995</v>
      </c>
      <c r="H10" s="390">
        <f>+G10/D10</f>
        <v>0.83411374168578789</v>
      </c>
      <c r="I10" s="137">
        <v>66923093.859999999</v>
      </c>
      <c r="J10" s="392">
        <f>I10/D10</f>
        <v>0.82738132236856587</v>
      </c>
      <c r="K10" s="573">
        <v>66846405.68</v>
      </c>
      <c r="L10" s="390">
        <v>0.84085486001008991</v>
      </c>
      <c r="M10" s="621">
        <f t="shared" si="3"/>
        <v>9.2935858507328106E-3</v>
      </c>
      <c r="N10" s="573">
        <v>66540001.759999998</v>
      </c>
      <c r="O10" s="390">
        <v>0.83700063295573646</v>
      </c>
      <c r="P10" s="515">
        <f t="shared" si="4"/>
        <v>5.7573202564940029E-3</v>
      </c>
      <c r="Q10" s="60">
        <v>16</v>
      </c>
    </row>
    <row r="11" spans="1:19" ht="15" customHeight="1" x14ac:dyDescent="0.2">
      <c r="A11" s="9"/>
      <c r="B11" s="2" t="s">
        <v>0</v>
      </c>
      <c r="C11" s="162">
        <f>SUM(C5:C10)</f>
        <v>374483318.46000004</v>
      </c>
      <c r="D11" s="152">
        <f>SUM(D5:D10)</f>
        <v>376077416.11000001</v>
      </c>
      <c r="E11" s="84">
        <f>SUM(E5:E10)</f>
        <v>303090332.97000003</v>
      </c>
      <c r="F11" s="90">
        <f>+E11/D11</f>
        <v>0.80592537596394309</v>
      </c>
      <c r="G11" s="84">
        <f>SUM(G5:G10)</f>
        <v>302751907.06</v>
      </c>
      <c r="H11" s="90">
        <f t="shared" si="1"/>
        <v>0.80502549233492704</v>
      </c>
      <c r="I11" s="84">
        <f>SUM(I5:I10)</f>
        <v>302207352.43000001</v>
      </c>
      <c r="J11" s="170">
        <f t="shared" si="2"/>
        <v>0.80357750687588869</v>
      </c>
      <c r="K11" s="561">
        <f>SUM(K5:K10)</f>
        <v>331252171.89999998</v>
      </c>
      <c r="L11" s="90">
        <v>0.78035771429184997</v>
      </c>
      <c r="M11" s="213">
        <f t="shared" si="3"/>
        <v>-8.603797124265733E-2</v>
      </c>
      <c r="N11" s="561">
        <f>SUM(N5:N10)</f>
        <v>330945767.97999996</v>
      </c>
      <c r="O11" s="90">
        <v>0.77963589362788333</v>
      </c>
      <c r="P11" s="213">
        <f t="shared" si="4"/>
        <v>-8.6837235373672161E-2</v>
      </c>
      <c r="Q11" s="60">
        <v>1</v>
      </c>
    </row>
    <row r="12" spans="1:19" ht="15" customHeight="1" x14ac:dyDescent="0.2">
      <c r="A12" s="21"/>
      <c r="B12" s="21" t="s">
        <v>243</v>
      </c>
      <c r="C12" s="186">
        <v>19954343.75</v>
      </c>
      <c r="D12" s="190">
        <v>22557665.57</v>
      </c>
      <c r="E12" s="82">
        <v>17640260.690000001</v>
      </c>
      <c r="F12" s="48">
        <f t="shared" si="0"/>
        <v>0.78200736841582674</v>
      </c>
      <c r="G12" s="82">
        <v>17556514.629999999</v>
      </c>
      <c r="H12" s="48">
        <f t="shared" si="1"/>
        <v>0.77829483620631579</v>
      </c>
      <c r="I12" s="82">
        <v>14443230.51</v>
      </c>
      <c r="J12" s="153">
        <f t="shared" si="2"/>
        <v>0.64028037232755197</v>
      </c>
      <c r="K12" s="558">
        <v>19361983.5</v>
      </c>
      <c r="L12" s="48">
        <v>0.89890528953092719</v>
      </c>
      <c r="M12" s="210">
        <f t="shared" si="3"/>
        <v>-9.3248135967061496E-2</v>
      </c>
      <c r="N12" s="558">
        <v>15850274.720000001</v>
      </c>
      <c r="O12" s="48">
        <v>0.73586963785638682</v>
      </c>
      <c r="P12" s="210">
        <f t="shared" si="4"/>
        <v>-8.8770966740695179E-2</v>
      </c>
      <c r="Q12" s="59">
        <v>20</v>
      </c>
    </row>
    <row r="13" spans="1:19" ht="15" customHeight="1" x14ac:dyDescent="0.2">
      <c r="A13" s="235"/>
      <c r="B13" s="235" t="s">
        <v>244</v>
      </c>
      <c r="C13" s="236">
        <v>21527982.960000001</v>
      </c>
      <c r="D13" s="188">
        <v>24338623.210000001</v>
      </c>
      <c r="E13" s="237">
        <v>22309546.41</v>
      </c>
      <c r="F13" s="412">
        <f t="shared" ref="F13:F59" si="5">+E13/D13</f>
        <v>0.9166314058731837</v>
      </c>
      <c r="G13" s="237">
        <v>20893458.190000001</v>
      </c>
      <c r="H13" s="412">
        <f t="shared" si="1"/>
        <v>0.85844864804906118</v>
      </c>
      <c r="I13" s="71">
        <v>11259304.130000001</v>
      </c>
      <c r="J13" s="427">
        <f t="shared" si="2"/>
        <v>0.46261056070640411</v>
      </c>
      <c r="K13" s="558">
        <v>19412959.620000001</v>
      </c>
      <c r="L13" s="412">
        <v>0.85925409115689333</v>
      </c>
      <c r="M13" s="210">
        <f t="shared" si="3"/>
        <v>7.6263413666957325E-2</v>
      </c>
      <c r="N13" s="558">
        <v>10695617.5</v>
      </c>
      <c r="O13" s="412">
        <v>0.47340813941920012</v>
      </c>
      <c r="P13" s="443">
        <f t="shared" si="4"/>
        <v>5.2702579350841772E-2</v>
      </c>
      <c r="Q13" s="59">
        <v>21</v>
      </c>
    </row>
    <row r="14" spans="1:19" ht="15" customHeight="1" x14ac:dyDescent="0.2">
      <c r="A14" s="61"/>
      <c r="B14" s="61" t="s">
        <v>245</v>
      </c>
      <c r="C14" s="185">
        <v>2723382.21</v>
      </c>
      <c r="D14" s="189">
        <v>1913389.14</v>
      </c>
      <c r="E14" s="73">
        <v>1630339.78</v>
      </c>
      <c r="F14" s="413">
        <f t="shared" si="5"/>
        <v>0.85206910916197642</v>
      </c>
      <c r="G14" s="73">
        <v>1207695.8999999999</v>
      </c>
      <c r="H14" s="413">
        <f t="shared" si="1"/>
        <v>0.6311815379071295</v>
      </c>
      <c r="I14" s="73">
        <v>919191.24</v>
      </c>
      <c r="J14" s="428">
        <f t="shared" si="2"/>
        <v>0.48039952813780473</v>
      </c>
      <c r="K14" s="574">
        <v>1084007.3400000001</v>
      </c>
      <c r="L14" s="416">
        <v>0.65248705131962514</v>
      </c>
      <c r="M14" s="639">
        <f t="shared" si="3"/>
        <v>0.11410306502168122</v>
      </c>
      <c r="N14" s="574">
        <v>873980.6</v>
      </c>
      <c r="O14" s="416">
        <v>0.52606749379073092</v>
      </c>
      <c r="P14" s="581">
        <f t="shared" si="4"/>
        <v>5.1729569283345711E-2</v>
      </c>
      <c r="Q14" s="59">
        <v>220</v>
      </c>
    </row>
    <row r="15" spans="1:19" ht="15" customHeight="1" x14ac:dyDescent="0.2">
      <c r="A15" s="68"/>
      <c r="B15" s="68" t="s">
        <v>247</v>
      </c>
      <c r="C15" s="186">
        <v>10719363.800000001</v>
      </c>
      <c r="D15" s="190">
        <v>10684917.470000001</v>
      </c>
      <c r="E15" s="82">
        <v>10575855.24</v>
      </c>
      <c r="F15" s="414">
        <f t="shared" si="5"/>
        <v>0.98979288044982905</v>
      </c>
      <c r="G15" s="82">
        <v>10524182.59</v>
      </c>
      <c r="H15" s="414">
        <f t="shared" si="1"/>
        <v>0.98495684403260053</v>
      </c>
      <c r="I15" s="82">
        <v>6969396.3399999999</v>
      </c>
      <c r="J15" s="429">
        <f t="shared" si="2"/>
        <v>0.65226487331960636</v>
      </c>
      <c r="K15" s="575">
        <v>10715899.880000001</v>
      </c>
      <c r="L15" s="415">
        <v>0.986695549505342</v>
      </c>
      <c r="M15" s="210">
        <f t="shared" si="3"/>
        <v>-1.7890918368677511E-2</v>
      </c>
      <c r="N15" s="575">
        <v>4803347.66</v>
      </c>
      <c r="O15" s="415">
        <v>0.44228126540212676</v>
      </c>
      <c r="P15" s="581">
        <f t="shared" si="4"/>
        <v>0.45094563902542917</v>
      </c>
      <c r="Q15" s="59">
        <v>22100</v>
      </c>
    </row>
    <row r="16" spans="1:19" ht="15" customHeight="1" x14ac:dyDescent="0.2">
      <c r="A16" s="70"/>
      <c r="B16" s="70" t="s">
        <v>249</v>
      </c>
      <c r="C16" s="236">
        <v>1129590</v>
      </c>
      <c r="D16" s="188">
        <v>1129590</v>
      </c>
      <c r="E16" s="237">
        <v>1104264.3999999999</v>
      </c>
      <c r="F16" s="130">
        <f>+E16/D16</f>
        <v>0.97757982984976843</v>
      </c>
      <c r="G16" s="237">
        <v>1087770.8600000001</v>
      </c>
      <c r="H16" s="130">
        <f>+G16/D16</f>
        <v>0.96297847891712929</v>
      </c>
      <c r="I16" s="71">
        <v>833567.8</v>
      </c>
      <c r="J16" s="194">
        <f>I16/D16</f>
        <v>0.73793836701812165</v>
      </c>
      <c r="K16" s="394">
        <v>1045564.36</v>
      </c>
      <c r="L16" s="130">
        <v>0.89280536247971987</v>
      </c>
      <c r="M16" s="210">
        <f t="shared" si="3"/>
        <v>4.0367194612486612E-2</v>
      </c>
      <c r="N16" s="394">
        <v>681869.98</v>
      </c>
      <c r="O16" s="130">
        <v>0.58224744257535643</v>
      </c>
      <c r="P16" s="581">
        <f t="shared" si="4"/>
        <v>0.22247323456005508</v>
      </c>
      <c r="Q16" s="59">
        <v>22101</v>
      </c>
    </row>
    <row r="17" spans="1:17" ht="15" customHeight="1" x14ac:dyDescent="0.2">
      <c r="A17" s="70"/>
      <c r="B17" s="70" t="s">
        <v>248</v>
      </c>
      <c r="C17" s="236">
        <v>17267593.73</v>
      </c>
      <c r="D17" s="190">
        <v>17307593.73</v>
      </c>
      <c r="E17" s="237">
        <v>17307593.73</v>
      </c>
      <c r="F17" s="130">
        <f>+E17/D17</f>
        <v>1</v>
      </c>
      <c r="G17" s="237">
        <v>17307593.73</v>
      </c>
      <c r="H17" s="130">
        <f>+G17/D17</f>
        <v>1</v>
      </c>
      <c r="I17" s="71">
        <v>9281273.9100000001</v>
      </c>
      <c r="J17" s="194">
        <f>I17/D17</f>
        <v>0.53625443575743093</v>
      </c>
      <c r="K17" s="394">
        <v>16853412.039999999</v>
      </c>
      <c r="L17" s="130">
        <v>0.88961428829974531</v>
      </c>
      <c r="M17" s="210">
        <f t="shared" si="3"/>
        <v>2.6948945941750235E-2</v>
      </c>
      <c r="N17" s="394">
        <v>8856702.5299999993</v>
      </c>
      <c r="O17" s="130">
        <v>0.46750468683779378</v>
      </c>
      <c r="P17" s="581">
        <f t="shared" si="4"/>
        <v>4.7937861586958119E-2</v>
      </c>
      <c r="Q17" s="59">
        <v>22120</v>
      </c>
    </row>
    <row r="18" spans="1:17" ht="15" customHeight="1" x14ac:dyDescent="0.2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439925.34</v>
      </c>
      <c r="J18" s="194">
        <f>I18/D18</f>
        <v>0.74227364471912938</v>
      </c>
      <c r="K18" s="394">
        <v>538270.65</v>
      </c>
      <c r="L18" s="130">
        <v>0.96564232018021379</v>
      </c>
      <c r="M18" s="210">
        <f t="shared" si="3"/>
        <v>0.10106824512909984</v>
      </c>
      <c r="N18" s="394">
        <v>465629.77</v>
      </c>
      <c r="O18" s="130">
        <v>0.83532663623361092</v>
      </c>
      <c r="P18" s="581">
        <f t="shared" si="4"/>
        <v>-5.5203579444673356E-2</v>
      </c>
      <c r="Q18" s="59">
        <v>22121</v>
      </c>
    </row>
    <row r="19" spans="1:17" ht="15" customHeight="1" x14ac:dyDescent="0.2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544669.31000000006</v>
      </c>
      <c r="J19" s="194">
        <f t="shared" si="2"/>
        <v>0.4893430583355487</v>
      </c>
      <c r="K19" s="394">
        <v>1119563.03</v>
      </c>
      <c r="L19" s="130">
        <v>0.99589920779366148</v>
      </c>
      <c r="M19" s="210">
        <f t="shared" si="3"/>
        <v>-9.9241665741677254E-3</v>
      </c>
      <c r="N19" s="394">
        <v>302511.46999999997</v>
      </c>
      <c r="O19" s="130">
        <v>0.2690968933848199</v>
      </c>
      <c r="P19" s="581">
        <f t="shared" si="4"/>
        <v>0.80049143260584499</v>
      </c>
      <c r="Q19" s="60" t="s">
        <v>251</v>
      </c>
    </row>
    <row r="20" spans="1:17" ht="15" customHeight="1" x14ac:dyDescent="0.2">
      <c r="A20" s="72"/>
      <c r="B20" s="72" t="s">
        <v>252</v>
      </c>
      <c r="C20" s="185">
        <v>5773648.7699999996</v>
      </c>
      <c r="D20" s="189">
        <v>5119004.83</v>
      </c>
      <c r="E20" s="237">
        <v>3803660.92</v>
      </c>
      <c r="F20" s="413">
        <f t="shared" si="5"/>
        <v>0.74304694883438893</v>
      </c>
      <c r="G20" s="237">
        <v>2948754.81</v>
      </c>
      <c r="H20" s="413">
        <f t="shared" si="1"/>
        <v>0.57604063835196651</v>
      </c>
      <c r="I20" s="73">
        <v>2185498.66</v>
      </c>
      <c r="J20" s="430">
        <f t="shared" si="2"/>
        <v>0.42693819064046479</v>
      </c>
      <c r="K20" s="576">
        <v>4292985.3099999996</v>
      </c>
      <c r="L20" s="413">
        <v>0.79002174317317153</v>
      </c>
      <c r="M20" s="639">
        <f t="shared" si="3"/>
        <v>-0.31312254828097696</v>
      </c>
      <c r="N20" s="576">
        <v>1915875.21</v>
      </c>
      <c r="O20" s="413">
        <v>0.35257122114551709</v>
      </c>
      <c r="P20" s="582">
        <f t="shared" si="4"/>
        <v>0.14073121703996594</v>
      </c>
      <c r="Q20" s="60" t="s">
        <v>253</v>
      </c>
    </row>
    <row r="21" spans="1:17" ht="15" customHeight="1" x14ac:dyDescent="0.2">
      <c r="A21" s="68"/>
      <c r="B21" s="68" t="s">
        <v>254</v>
      </c>
      <c r="C21" s="186">
        <v>4085732</v>
      </c>
      <c r="D21" s="188">
        <v>4061494</v>
      </c>
      <c r="E21" s="69">
        <v>3992390.3</v>
      </c>
      <c r="F21" s="415">
        <f t="shared" si="5"/>
        <v>0.9829856451837673</v>
      </c>
      <c r="G21" s="69">
        <v>3962943.95</v>
      </c>
      <c r="H21" s="415">
        <f t="shared" si="1"/>
        <v>0.97573551752138499</v>
      </c>
      <c r="I21" s="69">
        <v>1975376.77</v>
      </c>
      <c r="J21" s="431">
        <f t="shared" si="2"/>
        <v>0.48636702897997636</v>
      </c>
      <c r="K21" s="575">
        <v>3659671.56</v>
      </c>
      <c r="L21" s="415">
        <v>0.9933165833908576</v>
      </c>
      <c r="M21" s="210">
        <f t="shared" si="3"/>
        <v>8.2868745194172533E-2</v>
      </c>
      <c r="N21" s="575">
        <v>2956036.57</v>
      </c>
      <c r="O21" s="415">
        <v>0.80233433463926185</v>
      </c>
      <c r="P21" s="443">
        <f t="shared" si="4"/>
        <v>-0.33174819620042784</v>
      </c>
      <c r="Q21" s="59">
        <v>22200</v>
      </c>
    </row>
    <row r="22" spans="1:17" ht="15" customHeight="1" x14ac:dyDescent="0.2">
      <c r="A22" s="72"/>
      <c r="B22" s="72" t="s">
        <v>255</v>
      </c>
      <c r="C22" s="185">
        <v>1020103.84</v>
      </c>
      <c r="D22" s="189">
        <v>971493.32</v>
      </c>
      <c r="E22" s="73">
        <v>871294.63000000012</v>
      </c>
      <c r="F22" s="416">
        <f t="shared" si="5"/>
        <v>0.89686116421263729</v>
      </c>
      <c r="G22" s="237">
        <v>819629.25</v>
      </c>
      <c r="H22" s="414">
        <f t="shared" si="1"/>
        <v>0.84367975890971647</v>
      </c>
      <c r="I22" s="62">
        <v>575391.85</v>
      </c>
      <c r="J22" s="430">
        <f t="shared" si="2"/>
        <v>0.5922756627909701</v>
      </c>
      <c r="K22" s="576">
        <v>770634.06</v>
      </c>
      <c r="L22" s="413">
        <v>0.81749762646034396</v>
      </c>
      <c r="M22" s="639">
        <f t="shared" si="3"/>
        <v>6.3577763484785388E-2</v>
      </c>
      <c r="N22" s="576">
        <v>501500.2</v>
      </c>
      <c r="O22" s="413">
        <v>0.53199727918772211</v>
      </c>
      <c r="P22" s="583">
        <f t="shared" si="4"/>
        <v>0.14734121741127915</v>
      </c>
      <c r="Q22" s="60" t="s">
        <v>256</v>
      </c>
    </row>
    <row r="23" spans="1:17" ht="15" customHeight="1" x14ac:dyDescent="0.2">
      <c r="A23" s="68"/>
      <c r="B23" s="68" t="s">
        <v>257</v>
      </c>
      <c r="C23" s="186">
        <v>733190.53</v>
      </c>
      <c r="D23" s="191">
        <v>742793.13</v>
      </c>
      <c r="E23" s="82">
        <v>718860.87</v>
      </c>
      <c r="F23" s="415">
        <f t="shared" si="5"/>
        <v>0.96778071978129365</v>
      </c>
      <c r="G23" s="69">
        <v>642354.56999999995</v>
      </c>
      <c r="H23" s="415">
        <f t="shared" si="1"/>
        <v>0.86478259431397808</v>
      </c>
      <c r="I23" s="69">
        <v>425611.29</v>
      </c>
      <c r="J23" s="429">
        <f t="shared" si="2"/>
        <v>0.57298765000694063</v>
      </c>
      <c r="K23" s="575">
        <v>690803.15</v>
      </c>
      <c r="L23" s="415">
        <v>0.87258649398391752</v>
      </c>
      <c r="M23" s="210">
        <f t="shared" si="3"/>
        <v>-7.0133698724448634E-2</v>
      </c>
      <c r="N23" s="575">
        <v>339472.9</v>
      </c>
      <c r="O23" s="415">
        <v>0.42880445408153256</v>
      </c>
      <c r="P23" s="583">
        <f t="shared" si="4"/>
        <v>0.25374157996116908</v>
      </c>
      <c r="Q23" s="59">
        <v>223</v>
      </c>
    </row>
    <row r="24" spans="1:17" ht="15" customHeight="1" x14ac:dyDescent="0.2">
      <c r="A24" s="70"/>
      <c r="B24" s="70" t="s">
        <v>258</v>
      </c>
      <c r="C24" s="186">
        <v>2494771.27</v>
      </c>
      <c r="D24" s="394">
        <v>2494907.58</v>
      </c>
      <c r="E24" s="237">
        <v>2352834.73</v>
      </c>
      <c r="F24" s="130">
        <f t="shared" si="5"/>
        <v>0.94305486458139665</v>
      </c>
      <c r="G24" s="82">
        <v>2352834.73</v>
      </c>
      <c r="H24" s="130">
        <f t="shared" si="1"/>
        <v>0.94305486458139665</v>
      </c>
      <c r="I24" s="82">
        <v>1706474.84</v>
      </c>
      <c r="J24" s="194">
        <f t="shared" si="2"/>
        <v>0.68398318786622148</v>
      </c>
      <c r="K24" s="394">
        <v>2669333.4500000002</v>
      </c>
      <c r="L24" s="130">
        <v>0.9994609875179099</v>
      </c>
      <c r="M24" s="210">
        <f t="shared" si="3"/>
        <v>-0.11856844636626429</v>
      </c>
      <c r="N24" s="394">
        <v>1892270.27</v>
      </c>
      <c r="O24" s="130">
        <v>0.70851032594110031</v>
      </c>
      <c r="P24" s="583">
        <f t="shared" si="4"/>
        <v>-9.8186518567455972E-2</v>
      </c>
      <c r="Q24" s="59">
        <v>224</v>
      </c>
    </row>
    <row r="25" spans="1:17" ht="15" customHeight="1" x14ac:dyDescent="0.2">
      <c r="A25" s="72"/>
      <c r="B25" s="72" t="s">
        <v>259</v>
      </c>
      <c r="C25" s="185">
        <v>634347.34</v>
      </c>
      <c r="D25" s="167">
        <v>635483.68000000005</v>
      </c>
      <c r="E25" s="73">
        <v>408002.49</v>
      </c>
      <c r="F25" s="413">
        <f t="shared" si="5"/>
        <v>0.64203456806317982</v>
      </c>
      <c r="G25" s="62">
        <v>383725.86</v>
      </c>
      <c r="H25" s="413">
        <f t="shared" si="1"/>
        <v>0.60383275302994399</v>
      </c>
      <c r="I25" s="62">
        <v>383725.86</v>
      </c>
      <c r="J25" s="430">
        <f t="shared" si="2"/>
        <v>0.60383275302994399</v>
      </c>
      <c r="K25" s="576">
        <v>331874.88</v>
      </c>
      <c r="L25" s="413">
        <v>0.42188577000870658</v>
      </c>
      <c r="M25" s="639">
        <f t="shared" si="3"/>
        <v>0.15623653106857605</v>
      </c>
      <c r="N25" s="576">
        <v>331874.88</v>
      </c>
      <c r="O25" s="413">
        <v>0.42188577000870658</v>
      </c>
      <c r="P25" s="583">
        <f t="shared" ref="P25" si="6">+I25/N25-1</f>
        <v>0.15623653106857605</v>
      </c>
      <c r="Q25" s="59">
        <v>225</v>
      </c>
    </row>
    <row r="26" spans="1:17" ht="15" customHeight="1" x14ac:dyDescent="0.2">
      <c r="A26" s="68"/>
      <c r="B26" s="68" t="s">
        <v>261</v>
      </c>
      <c r="C26" s="186">
        <v>926305.47</v>
      </c>
      <c r="D26" s="188">
        <v>789269.55</v>
      </c>
      <c r="E26" s="82">
        <v>669658.19999999995</v>
      </c>
      <c r="F26" s="415">
        <f>+E26/D26</f>
        <v>0.84845310451923539</v>
      </c>
      <c r="G26" s="82">
        <v>315944.68</v>
      </c>
      <c r="H26" s="415">
        <f>+G26/D26</f>
        <v>0.40030010026359181</v>
      </c>
      <c r="I26" s="82">
        <v>301348.27</v>
      </c>
      <c r="J26" s="429">
        <f>I26/D26</f>
        <v>0.38180653238174461</v>
      </c>
      <c r="K26" s="575">
        <v>257948.89</v>
      </c>
      <c r="L26" s="415">
        <v>0.26863876242718682</v>
      </c>
      <c r="M26" s="210">
        <f t="shared" si="3"/>
        <v>0.22483442359453454</v>
      </c>
      <c r="N26" s="575">
        <v>245243.89</v>
      </c>
      <c r="O26" s="415">
        <v>0.25540724405687165</v>
      </c>
      <c r="P26" s="584">
        <f t="shared" si="4"/>
        <v>0.22876973611860429</v>
      </c>
      <c r="Q26" s="59">
        <v>22601</v>
      </c>
    </row>
    <row r="27" spans="1:17" ht="15" customHeight="1" x14ac:dyDescent="0.2">
      <c r="A27" s="70"/>
      <c r="B27" s="70" t="s">
        <v>260</v>
      </c>
      <c r="C27" s="186">
        <v>10000000</v>
      </c>
      <c r="D27" s="188">
        <v>10016665.640000001</v>
      </c>
      <c r="E27" s="82">
        <v>9997737.5299999993</v>
      </c>
      <c r="F27" s="130">
        <f>+E27/D27</f>
        <v>0.99811033824225748</v>
      </c>
      <c r="G27" s="82">
        <v>9055631.9800000004</v>
      </c>
      <c r="H27" s="130">
        <f>+G27/D27</f>
        <v>0.90405652993324837</v>
      </c>
      <c r="I27" s="82">
        <v>5487625.6500000004</v>
      </c>
      <c r="J27" s="194">
        <f>I27/D27</f>
        <v>0.54784953868141695</v>
      </c>
      <c r="K27" s="394">
        <v>7093339.96</v>
      </c>
      <c r="L27" s="130">
        <v>0.56431644158842886</v>
      </c>
      <c r="M27" s="210">
        <f t="shared" si="3"/>
        <v>0.27663865415524236</v>
      </c>
      <c r="N27" s="394">
        <v>2539417.98</v>
      </c>
      <c r="O27" s="130">
        <v>0.2020254670240387</v>
      </c>
      <c r="P27" s="584">
        <f t="shared" si="4"/>
        <v>1.16097770954587</v>
      </c>
      <c r="Q27" s="59">
        <v>22602</v>
      </c>
    </row>
    <row r="28" spans="1:17" ht="15" customHeight="1" x14ac:dyDescent="0.2">
      <c r="A28" s="70"/>
      <c r="B28" s="70" t="s">
        <v>262</v>
      </c>
      <c r="C28" s="186">
        <v>932269.14</v>
      </c>
      <c r="D28" s="394">
        <v>1066526.7</v>
      </c>
      <c r="E28" s="237">
        <v>950630.23</v>
      </c>
      <c r="F28" s="130">
        <f t="shared" si="5"/>
        <v>0.89133280020087635</v>
      </c>
      <c r="G28" s="82">
        <v>495777.97</v>
      </c>
      <c r="H28" s="130">
        <f t="shared" si="1"/>
        <v>0.4648528442841609</v>
      </c>
      <c r="I28" s="82">
        <v>460476.6</v>
      </c>
      <c r="J28" s="194">
        <f t="shared" si="2"/>
        <v>0.43175346665020198</v>
      </c>
      <c r="K28" s="394">
        <v>676771.46</v>
      </c>
      <c r="L28" s="130">
        <v>0.5218145933223991</v>
      </c>
      <c r="M28" s="210">
        <f t="shared" si="3"/>
        <v>-0.26743664692952629</v>
      </c>
      <c r="N28" s="394">
        <v>587233.99</v>
      </c>
      <c r="O28" s="130">
        <v>0.45277805550036015</v>
      </c>
      <c r="P28" s="443">
        <f t="shared" si="4"/>
        <v>-0.2158549950420956</v>
      </c>
      <c r="Q28" s="59">
        <v>22606</v>
      </c>
    </row>
    <row r="29" spans="1:17" ht="15" customHeight="1" x14ac:dyDescent="0.2">
      <c r="A29" s="70"/>
      <c r="B29" s="70" t="s">
        <v>263</v>
      </c>
      <c r="C29" s="186">
        <v>29213929.91</v>
      </c>
      <c r="D29" s="394">
        <v>34159806.82</v>
      </c>
      <c r="E29" s="237">
        <v>29921989.050000001</v>
      </c>
      <c r="F29" s="130">
        <f t="shared" si="5"/>
        <v>0.87594140118149533</v>
      </c>
      <c r="G29" s="82">
        <v>24446347.010000002</v>
      </c>
      <c r="H29" s="130">
        <f t="shared" si="1"/>
        <v>0.71564652396356854</v>
      </c>
      <c r="I29" s="82">
        <v>16567593.98</v>
      </c>
      <c r="J29" s="194">
        <f t="shared" si="2"/>
        <v>0.485002566533835</v>
      </c>
      <c r="K29" s="394">
        <v>18892011.829999998</v>
      </c>
      <c r="L29" s="130">
        <v>0.6489234356124568</v>
      </c>
      <c r="M29" s="210">
        <f t="shared" si="3"/>
        <v>0.29400443054878211</v>
      </c>
      <c r="N29" s="394">
        <v>12945655.699999999</v>
      </c>
      <c r="O29" s="130">
        <v>0.44467150712661735</v>
      </c>
      <c r="P29" s="443">
        <f t="shared" si="4"/>
        <v>0.27978021074668336</v>
      </c>
      <c r="Q29" s="59">
        <v>22610</v>
      </c>
    </row>
    <row r="30" spans="1:17" ht="15" customHeight="1" x14ac:dyDescent="0.2">
      <c r="A30" s="72"/>
      <c r="B30" s="72" t="s">
        <v>264</v>
      </c>
      <c r="C30" s="185">
        <v>35032601.990000002</v>
      </c>
      <c r="D30" s="167">
        <v>18700305.98</v>
      </c>
      <c r="E30" s="73">
        <v>13336974.1</v>
      </c>
      <c r="F30" s="413">
        <f t="shared" si="5"/>
        <v>0.71319550141392929</v>
      </c>
      <c r="G30" s="62">
        <v>10779561.15</v>
      </c>
      <c r="H30" s="413">
        <f t="shared" si="1"/>
        <v>0.57643768832064857</v>
      </c>
      <c r="I30" s="62">
        <v>6701516.790000001</v>
      </c>
      <c r="J30" s="430">
        <f t="shared" si="2"/>
        <v>0.35836401806298152</v>
      </c>
      <c r="K30" s="576">
        <v>6278384.1299999999</v>
      </c>
      <c r="L30" s="413">
        <v>0.47548438670547383</v>
      </c>
      <c r="M30" s="639">
        <f t="shared" si="3"/>
        <v>0.7169324027964501</v>
      </c>
      <c r="N30" s="576">
        <v>3221655.96</v>
      </c>
      <c r="O30" s="413">
        <v>0.24398747776470225</v>
      </c>
      <c r="P30" s="583">
        <f t="shared" si="4"/>
        <v>1.0801466305545553</v>
      </c>
      <c r="Q30" s="60" t="s">
        <v>265</v>
      </c>
    </row>
    <row r="31" spans="1:17" ht="15" customHeight="1" x14ac:dyDescent="0.2">
      <c r="A31" s="68"/>
      <c r="B31" s="68" t="s">
        <v>266</v>
      </c>
      <c r="C31" s="184">
        <v>14665963.23</v>
      </c>
      <c r="D31" s="188">
        <v>14865260.720000001</v>
      </c>
      <c r="E31" s="71">
        <v>13767570.07</v>
      </c>
      <c r="F31" s="414">
        <f t="shared" si="5"/>
        <v>0.92615732272201945</v>
      </c>
      <c r="G31" s="71">
        <v>13743705.289999999</v>
      </c>
      <c r="H31" s="130">
        <f t="shared" si="1"/>
        <v>0.92455191663802838</v>
      </c>
      <c r="I31" s="71">
        <v>7733928.0199999996</v>
      </c>
      <c r="J31" s="429">
        <f t="shared" si="2"/>
        <v>0.52026857555176464</v>
      </c>
      <c r="K31" s="575">
        <v>11345350.85</v>
      </c>
      <c r="L31" s="415">
        <v>0.90831393294416163</v>
      </c>
      <c r="M31" s="210">
        <f t="shared" si="3"/>
        <v>0.21139535230856255</v>
      </c>
      <c r="N31" s="575">
        <v>8100227.5999999996</v>
      </c>
      <c r="O31" s="415">
        <v>0.64850789423571209</v>
      </c>
      <c r="P31" s="583">
        <f t="shared" si="4"/>
        <v>-4.5220899718916518E-2</v>
      </c>
      <c r="Q31" s="59">
        <v>22700</v>
      </c>
    </row>
    <row r="32" spans="1:17" ht="15" customHeight="1" x14ac:dyDescent="0.2">
      <c r="A32" s="70"/>
      <c r="B32" s="70" t="s">
        <v>267</v>
      </c>
      <c r="C32" s="184">
        <v>8752849.1600000001</v>
      </c>
      <c r="D32" s="188">
        <v>10130240.01</v>
      </c>
      <c r="E32" s="71">
        <v>8409973.4700000007</v>
      </c>
      <c r="F32" s="130">
        <f t="shared" si="5"/>
        <v>0.83018501651472731</v>
      </c>
      <c r="G32" s="71">
        <v>6892610.5999999996</v>
      </c>
      <c r="H32" s="130">
        <f t="shared" si="1"/>
        <v>0.68039953576578682</v>
      </c>
      <c r="I32" s="71">
        <v>4401834.5999999996</v>
      </c>
      <c r="J32" s="194">
        <f t="shared" si="2"/>
        <v>0.43452421617402526</v>
      </c>
      <c r="K32" s="394">
        <v>4714056.5999999996</v>
      </c>
      <c r="L32" s="130">
        <v>0.63591372734622487</v>
      </c>
      <c r="M32" s="210">
        <f t="shared" si="3"/>
        <v>0.4621399751543076</v>
      </c>
      <c r="N32" s="394">
        <v>2719701.24</v>
      </c>
      <c r="O32" s="130">
        <v>0.36688048098458337</v>
      </c>
      <c r="P32" s="443">
        <f t="shared" si="4"/>
        <v>0.61849931722647566</v>
      </c>
      <c r="Q32" s="59">
        <v>22703</v>
      </c>
    </row>
    <row r="33" spans="1:17" ht="15" customHeight="1" x14ac:dyDescent="0.2">
      <c r="A33" s="70"/>
      <c r="B33" s="70" t="s">
        <v>268</v>
      </c>
      <c r="C33" s="184">
        <v>2836163.11</v>
      </c>
      <c r="D33" s="188">
        <v>3463350.83</v>
      </c>
      <c r="E33" s="71">
        <v>2569224.23</v>
      </c>
      <c r="F33" s="130">
        <f t="shared" si="5"/>
        <v>0.74183192985967294</v>
      </c>
      <c r="G33" s="676">
        <v>2330184.5699999998</v>
      </c>
      <c r="H33" s="130">
        <f t="shared" si="1"/>
        <v>0.67281216497492391</v>
      </c>
      <c r="I33" s="71">
        <v>1050913.97</v>
      </c>
      <c r="J33" s="194">
        <f t="shared" si="2"/>
        <v>0.30343849687327229</v>
      </c>
      <c r="K33" s="394">
        <v>1491687.47</v>
      </c>
      <c r="L33" s="130">
        <v>0.70838746109754547</v>
      </c>
      <c r="M33" s="210">
        <f t="shared" si="3"/>
        <v>0.56211312145700321</v>
      </c>
      <c r="N33" s="394">
        <v>721397.91999999993</v>
      </c>
      <c r="O33" s="130">
        <v>0.34258465748850875</v>
      </c>
      <c r="P33" s="443">
        <f t="shared" si="4"/>
        <v>0.45677432782173821</v>
      </c>
      <c r="Q33" s="59" t="s">
        <v>269</v>
      </c>
    </row>
    <row r="34" spans="1:17" ht="15" customHeight="1" x14ac:dyDescent="0.2">
      <c r="A34" s="70"/>
      <c r="B34" s="70" t="s">
        <v>270</v>
      </c>
      <c r="C34" s="184">
        <v>2915000</v>
      </c>
      <c r="D34" s="188">
        <v>2915000</v>
      </c>
      <c r="E34" s="71">
        <v>1758198.08</v>
      </c>
      <c r="F34" s="130">
        <f t="shared" si="5"/>
        <v>0.60315543053173248</v>
      </c>
      <c r="G34" s="71">
        <v>1758198.08</v>
      </c>
      <c r="H34" s="130">
        <f t="shared" si="1"/>
        <v>0.60315543053173248</v>
      </c>
      <c r="I34" s="71">
        <v>1239683.6000000001</v>
      </c>
      <c r="J34" s="194">
        <f t="shared" si="2"/>
        <v>0.42527739279588339</v>
      </c>
      <c r="K34" s="394">
        <v>1331541.54</v>
      </c>
      <c r="L34" s="130">
        <v>0.41883450615079626</v>
      </c>
      <c r="M34" s="210">
        <f t="shared" si="3"/>
        <v>0.32042300385161093</v>
      </c>
      <c r="N34" s="394">
        <v>1302520.21</v>
      </c>
      <c r="O34" s="130">
        <v>0.40970588788899626</v>
      </c>
      <c r="P34" s="443">
        <f t="shared" si="4"/>
        <v>-4.8242330151637258E-2</v>
      </c>
      <c r="Q34" s="60">
        <v>22708</v>
      </c>
    </row>
    <row r="35" spans="1:17" ht="15" customHeight="1" x14ac:dyDescent="0.2">
      <c r="A35" s="70"/>
      <c r="B35" s="70" t="s">
        <v>271</v>
      </c>
      <c r="C35" s="184">
        <v>16665238.130000001</v>
      </c>
      <c r="D35" s="188">
        <v>18019024.649999999</v>
      </c>
      <c r="E35" s="71">
        <v>17339139.350000001</v>
      </c>
      <c r="F35" s="130">
        <f t="shared" si="5"/>
        <v>0.96226847383773362</v>
      </c>
      <c r="G35" s="71">
        <v>17313731.899999999</v>
      </c>
      <c r="H35" s="130">
        <f t="shared" si="1"/>
        <v>0.96085843913865776</v>
      </c>
      <c r="I35" s="71">
        <v>8949027.7599999998</v>
      </c>
      <c r="J35" s="194">
        <f t="shared" si="2"/>
        <v>0.49664329417519282</v>
      </c>
      <c r="K35" s="394">
        <v>17345035.329999998</v>
      </c>
      <c r="L35" s="130">
        <v>0.94913699567495036</v>
      </c>
      <c r="M35" s="210">
        <f t="shared" si="3"/>
        <v>-1.8047487021175534E-3</v>
      </c>
      <c r="N35" s="394">
        <v>10611739.630000001</v>
      </c>
      <c r="O35" s="130">
        <v>0.58068458666569989</v>
      </c>
      <c r="P35" s="443">
        <f t="shared" si="4"/>
        <v>-0.15668607862366113</v>
      </c>
      <c r="Q35" s="59">
        <v>22712</v>
      </c>
    </row>
    <row r="36" spans="1:17" ht="15" customHeight="1" x14ac:dyDescent="0.2">
      <c r="A36" s="70"/>
      <c r="B36" s="70" t="s">
        <v>272</v>
      </c>
      <c r="C36" s="184">
        <v>12939002.66</v>
      </c>
      <c r="D36" s="188">
        <v>13083012.58</v>
      </c>
      <c r="E36" s="71">
        <v>13083012.58</v>
      </c>
      <c r="F36" s="130">
        <f t="shared" si="5"/>
        <v>1</v>
      </c>
      <c r="G36" s="71">
        <v>13083012.58</v>
      </c>
      <c r="H36" s="130">
        <f t="shared" si="1"/>
        <v>1</v>
      </c>
      <c r="I36" s="71">
        <v>8274517.2400000002</v>
      </c>
      <c r="J36" s="194">
        <f t="shared" si="2"/>
        <v>0.63246268314755383</v>
      </c>
      <c r="K36" s="394">
        <v>12939002.66</v>
      </c>
      <c r="L36" s="130">
        <v>1</v>
      </c>
      <c r="M36" s="210">
        <f t="shared" si="3"/>
        <v>1.1129908833328983E-2</v>
      </c>
      <c r="N36" s="394">
        <v>8625950.5700000003</v>
      </c>
      <c r="O36" s="130">
        <v>0.66666270938072447</v>
      </c>
      <c r="P36" s="443">
        <f t="shared" si="4"/>
        <v>-4.0741403181956848E-2</v>
      </c>
      <c r="Q36" s="59">
        <v>22714</v>
      </c>
    </row>
    <row r="37" spans="1:17" ht="15" customHeight="1" x14ac:dyDescent="0.2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3034428.16</v>
      </c>
      <c r="J37" s="194">
        <f t="shared" si="2"/>
        <v>0.57782318844975988</v>
      </c>
      <c r="K37" s="394">
        <v>3500988.09</v>
      </c>
      <c r="L37" s="130">
        <v>1</v>
      </c>
      <c r="M37" s="210">
        <f t="shared" si="3"/>
        <v>0.50000000428450497</v>
      </c>
      <c r="N37" s="394">
        <v>1369094.9</v>
      </c>
      <c r="O37" s="130">
        <v>0.39105957084247034</v>
      </c>
      <c r="P37" s="443">
        <f t="shared" si="4"/>
        <v>1.2163753294238409</v>
      </c>
      <c r="Q37" s="59">
        <v>22715</v>
      </c>
    </row>
    <row r="38" spans="1:17" ht="15" customHeight="1" x14ac:dyDescent="0.2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6685989.9900000002</v>
      </c>
      <c r="J38" s="194">
        <f t="shared" si="2"/>
        <v>0.43986776250000004</v>
      </c>
      <c r="K38" s="394">
        <v>16277392.33</v>
      </c>
      <c r="L38" s="130">
        <v>0.99989747504692428</v>
      </c>
      <c r="M38" s="210">
        <f t="shared" si="3"/>
        <v>-6.6189492036406561E-2</v>
      </c>
      <c r="N38" s="394">
        <v>8325620.9900000002</v>
      </c>
      <c r="O38" s="130">
        <v>0.51143126843209008</v>
      </c>
      <c r="P38" s="443">
        <f t="shared" si="4"/>
        <v>-0.19693798240027738</v>
      </c>
      <c r="Q38" s="59">
        <v>22716</v>
      </c>
    </row>
    <row r="39" spans="1:17" ht="15" customHeight="1" x14ac:dyDescent="0.2">
      <c r="A39" s="70"/>
      <c r="B39" s="70" t="s">
        <v>454</v>
      </c>
      <c r="C39" s="184">
        <v>315810.43</v>
      </c>
      <c r="D39" s="188">
        <v>340870.01</v>
      </c>
      <c r="E39" s="71">
        <v>340870.01</v>
      </c>
      <c r="F39" s="130">
        <f t="shared" si="5"/>
        <v>1</v>
      </c>
      <c r="G39" s="71">
        <v>340870.01</v>
      </c>
      <c r="H39" s="130">
        <f t="shared" si="1"/>
        <v>1</v>
      </c>
      <c r="I39" s="71">
        <v>219130.66</v>
      </c>
      <c r="J39" s="194">
        <f t="shared" si="2"/>
        <v>0.64285696474148601</v>
      </c>
      <c r="K39" s="394">
        <v>288225.24</v>
      </c>
      <c r="L39" s="130">
        <v>0.96061893904030105</v>
      </c>
      <c r="M39" s="210">
        <f t="shared" si="3"/>
        <v>0.18265149159039651</v>
      </c>
      <c r="N39" s="394">
        <v>194052.01</v>
      </c>
      <c r="O39" s="130">
        <v>0.64675125594426741</v>
      </c>
      <c r="P39" s="443">
        <f t="shared" si="4"/>
        <v>0.12923674431406296</v>
      </c>
      <c r="Q39" s="59" t="s">
        <v>455</v>
      </c>
    </row>
    <row r="40" spans="1:17" ht="15" customHeight="1" x14ac:dyDescent="0.2">
      <c r="A40" s="70"/>
      <c r="B40" s="70" t="s">
        <v>456</v>
      </c>
      <c r="C40" s="184">
        <v>190000.38</v>
      </c>
      <c r="D40" s="188">
        <v>548351.47</v>
      </c>
      <c r="E40" s="71">
        <v>548351.47</v>
      </c>
      <c r="F40" s="130">
        <f t="shared" si="5"/>
        <v>1</v>
      </c>
      <c r="G40" s="71">
        <v>548351.47</v>
      </c>
      <c r="H40" s="130">
        <f t="shared" si="1"/>
        <v>1</v>
      </c>
      <c r="I40" s="71">
        <v>413134.64</v>
      </c>
      <c r="J40" s="194">
        <f t="shared" si="2"/>
        <v>0.75341211358474158</v>
      </c>
      <c r="K40" s="394">
        <v>158768.94</v>
      </c>
      <c r="L40" s="130">
        <v>0.24127414020724305</v>
      </c>
      <c r="M40" s="210">
        <f t="shared" si="3"/>
        <v>2.4537704289012696</v>
      </c>
      <c r="N40" s="394">
        <v>110401.5</v>
      </c>
      <c r="O40" s="130">
        <v>0.16777227957867544</v>
      </c>
      <c r="P40" s="443">
        <f t="shared" si="4"/>
        <v>2.7421107503068347</v>
      </c>
      <c r="Q40" s="59" t="s">
        <v>457</v>
      </c>
    </row>
    <row r="41" spans="1:17" ht="15" customHeight="1" x14ac:dyDescent="0.2">
      <c r="A41" s="70"/>
      <c r="B41" s="70" t="s">
        <v>280</v>
      </c>
      <c r="C41" s="184">
        <v>73039557.629999995</v>
      </c>
      <c r="D41" s="188">
        <v>65248047.909999996</v>
      </c>
      <c r="E41" s="71">
        <v>58998336.159999996</v>
      </c>
      <c r="F41" s="130">
        <f t="shared" ref="F41:F55" si="7">+E41/D41</f>
        <v>0.90421611143645941</v>
      </c>
      <c r="G41" s="71">
        <v>57237414.469999999</v>
      </c>
      <c r="H41" s="130">
        <f t="shared" ref="H41:H55" si="8">+G41/D41</f>
        <v>0.87722799843683474</v>
      </c>
      <c r="I41" s="71">
        <v>38923694.659999996</v>
      </c>
      <c r="J41" s="194">
        <f t="shared" ref="J41:J55" si="9">I41/D41</f>
        <v>0.59654956595313713</v>
      </c>
      <c r="K41" s="394">
        <v>54433482.899999999</v>
      </c>
      <c r="L41" s="130">
        <v>0.90037128908013386</v>
      </c>
      <c r="M41" s="210">
        <f t="shared" si="3"/>
        <v>5.1511154910868218E-2</v>
      </c>
      <c r="N41" s="394">
        <v>37604089.329999998</v>
      </c>
      <c r="O41" s="130">
        <v>0.62200029432135795</v>
      </c>
      <c r="P41" s="443">
        <f t="shared" si="4"/>
        <v>3.5092069865583442E-2</v>
      </c>
      <c r="Q41" s="59">
        <v>22719</v>
      </c>
    </row>
    <row r="42" spans="1:17" ht="15" customHeight="1" x14ac:dyDescent="0.2">
      <c r="A42" s="70"/>
      <c r="B42" s="70" t="s">
        <v>275</v>
      </c>
      <c r="C42" s="184">
        <v>1620000</v>
      </c>
      <c r="D42" s="188">
        <v>1725000</v>
      </c>
      <c r="E42" s="71">
        <v>1725000</v>
      </c>
      <c r="F42" s="130">
        <f t="shared" si="7"/>
        <v>1</v>
      </c>
      <c r="G42" s="71">
        <v>1725000</v>
      </c>
      <c r="H42" s="130">
        <f t="shared" si="8"/>
        <v>1</v>
      </c>
      <c r="I42" s="71">
        <v>1227713.27</v>
      </c>
      <c r="J42" s="194">
        <f t="shared" si="9"/>
        <v>0.71171783768115948</v>
      </c>
      <c r="K42" s="394">
        <v>1748200.23</v>
      </c>
      <c r="L42" s="130">
        <v>1</v>
      </c>
      <c r="M42" s="210">
        <f t="shared" si="3"/>
        <v>-1.3270922633387361E-2</v>
      </c>
      <c r="N42" s="394">
        <v>1139422.81</v>
      </c>
      <c r="O42" s="130">
        <v>0.65176905393725981</v>
      </c>
      <c r="P42" s="443">
        <f t="shared" si="4"/>
        <v>7.748700414379095E-2</v>
      </c>
      <c r="Q42" s="59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4" t="s">
        <v>765</v>
      </c>
      <c r="D44" s="754" t="s">
        <v>784</v>
      </c>
      <c r="E44" s="752"/>
      <c r="F44" s="752"/>
      <c r="G44" s="752"/>
      <c r="H44" s="752"/>
      <c r="I44" s="752"/>
      <c r="J44" s="753"/>
      <c r="K44" s="760" t="s">
        <v>785</v>
      </c>
      <c r="L44" s="761"/>
      <c r="M44" s="761"/>
      <c r="N44" s="761"/>
      <c r="O44" s="761"/>
      <c r="P44" s="762"/>
    </row>
    <row r="45" spans="1:17" x14ac:dyDescent="0.2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543</v>
      </c>
      <c r="L45" s="88" t="s">
        <v>544</v>
      </c>
      <c r="M45" s="88" t="s">
        <v>545</v>
      </c>
      <c r="N45" s="720" t="s">
        <v>39</v>
      </c>
      <c r="O45" s="88" t="s">
        <v>40</v>
      </c>
      <c r="P45" s="149" t="s">
        <v>362</v>
      </c>
    </row>
    <row r="46" spans="1:17" ht="25.5" x14ac:dyDescent="0.2">
      <c r="A46" s="673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0" t="s">
        <v>764</v>
      </c>
      <c r="N46" s="557" t="s">
        <v>17</v>
      </c>
      <c r="O46" s="89" t="s">
        <v>18</v>
      </c>
      <c r="P46" s="580" t="s">
        <v>764</v>
      </c>
      <c r="Q46" s="58" t="s">
        <v>163</v>
      </c>
    </row>
    <row r="47" spans="1:17" ht="15" customHeight="1" x14ac:dyDescent="0.2">
      <c r="A47" s="81"/>
      <c r="B47" s="691" t="s">
        <v>277</v>
      </c>
      <c r="C47" s="186">
        <v>2113545.42</v>
      </c>
      <c r="D47" s="190">
        <v>1288895.3999999999</v>
      </c>
      <c r="E47" s="82">
        <v>1288895.3999999999</v>
      </c>
      <c r="F47" s="414">
        <f t="shared" si="7"/>
        <v>1</v>
      </c>
      <c r="G47" s="82">
        <v>1288895.3999999999</v>
      </c>
      <c r="H47" s="414">
        <f t="shared" si="8"/>
        <v>1</v>
      </c>
      <c r="I47" s="82">
        <v>697625.98</v>
      </c>
      <c r="J47" s="431">
        <f t="shared" si="9"/>
        <v>0.54125880191674203</v>
      </c>
      <c r="K47" s="577">
        <v>1288895.3999999999</v>
      </c>
      <c r="L47" s="414">
        <v>0.89875150565297124</v>
      </c>
      <c r="M47" s="210">
        <f t="shared" si="3"/>
        <v>0</v>
      </c>
      <c r="N47" s="577">
        <v>655428.41</v>
      </c>
      <c r="O47" s="414">
        <v>0.45703264231933249</v>
      </c>
      <c r="P47" s="584">
        <f t="shared" si="4"/>
        <v>6.4381661454070871E-2</v>
      </c>
      <c r="Q47" s="59">
        <v>22721</v>
      </c>
    </row>
    <row r="48" spans="1:17" ht="15" customHeight="1" x14ac:dyDescent="0.2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2698975.77</v>
      </c>
      <c r="H48" s="130">
        <f t="shared" si="8"/>
        <v>0.99864530827245657</v>
      </c>
      <c r="I48" s="71">
        <v>2067947.54</v>
      </c>
      <c r="J48" s="194">
        <f t="shared" si="9"/>
        <v>0.76515918798877114</v>
      </c>
      <c r="K48" s="394">
        <v>2859362.81</v>
      </c>
      <c r="L48" s="130">
        <v>0.99488973394571834</v>
      </c>
      <c r="M48" s="210">
        <f t="shared" si="3"/>
        <v>-5.609188153356448E-2</v>
      </c>
      <c r="N48" s="394">
        <v>1307279.44</v>
      </c>
      <c r="O48" s="130">
        <v>0.45485619722888809</v>
      </c>
      <c r="P48" s="584">
        <f t="shared" si="4"/>
        <v>0.5818710802948146</v>
      </c>
      <c r="Q48" s="59">
        <v>22723</v>
      </c>
    </row>
    <row r="49" spans="1:17" ht="15" customHeight="1" x14ac:dyDescent="0.2">
      <c r="A49" s="70"/>
      <c r="B49" s="70" t="s">
        <v>279</v>
      </c>
      <c r="C49" s="184">
        <v>8277660.2699999996</v>
      </c>
      <c r="D49" s="188">
        <v>9077777.5800000001</v>
      </c>
      <c r="E49" s="71">
        <v>9077446.7400000002</v>
      </c>
      <c r="F49" s="130">
        <f t="shared" si="7"/>
        <v>0.99996355495636635</v>
      </c>
      <c r="G49" s="71">
        <v>8763239.7200000007</v>
      </c>
      <c r="H49" s="130">
        <f t="shared" si="8"/>
        <v>0.96535078578120448</v>
      </c>
      <c r="I49" s="71">
        <v>4971241.99</v>
      </c>
      <c r="J49" s="194">
        <f t="shared" si="9"/>
        <v>0.54762764852848489</v>
      </c>
      <c r="K49" s="394">
        <v>8614163.4499999993</v>
      </c>
      <c r="L49" s="130">
        <v>0.94211609019568676</v>
      </c>
      <c r="M49" s="210">
        <f t="shared" si="3"/>
        <v>1.7305948611876065E-2</v>
      </c>
      <c r="N49" s="394">
        <v>3995924.71</v>
      </c>
      <c r="O49" s="130">
        <v>0.43702734297449786</v>
      </c>
      <c r="P49" s="584">
        <f t="shared" si="4"/>
        <v>0.24407799215015746</v>
      </c>
      <c r="Q49" s="59">
        <v>22724</v>
      </c>
    </row>
    <row r="50" spans="1:17" ht="15" customHeight="1" x14ac:dyDescent="0.2">
      <c r="A50" s="70"/>
      <c r="B50" s="70" t="s">
        <v>459</v>
      </c>
      <c r="C50" s="184">
        <v>205380.83</v>
      </c>
      <c r="D50" s="188">
        <v>225654.88</v>
      </c>
      <c r="E50" s="71">
        <v>222361.75</v>
      </c>
      <c r="F50" s="130">
        <f t="shared" si="7"/>
        <v>0.98540634264147087</v>
      </c>
      <c r="G50" s="71">
        <v>193005.67</v>
      </c>
      <c r="H50" s="130">
        <f t="shared" si="8"/>
        <v>0.85531352124979532</v>
      </c>
      <c r="I50" s="71">
        <v>143005.07</v>
      </c>
      <c r="J50" s="194">
        <f t="shared" si="9"/>
        <v>0.63373355807771592</v>
      </c>
      <c r="K50" s="394">
        <v>67166.19</v>
      </c>
      <c r="L50" s="130">
        <v>0.4507607093954612</v>
      </c>
      <c r="M50" s="210">
        <f t="shared" si="3"/>
        <v>1.8735539413505515</v>
      </c>
      <c r="N50" s="394">
        <v>50456.59</v>
      </c>
      <c r="O50" s="130">
        <v>0.33862049197782296</v>
      </c>
      <c r="P50" s="584">
        <f t="shared" si="4"/>
        <v>1.8342198709821655</v>
      </c>
      <c r="Q50" s="59" t="s">
        <v>458</v>
      </c>
    </row>
    <row r="51" spans="1:17" ht="15" customHeight="1" x14ac:dyDescent="0.2">
      <c r="A51" s="70"/>
      <c r="B51" s="70" t="s">
        <v>460</v>
      </c>
      <c r="C51" s="184">
        <v>0</v>
      </c>
      <c r="D51" s="188"/>
      <c r="E51" s="71"/>
      <c r="F51" s="130" t="s">
        <v>129</v>
      </c>
      <c r="G51" s="71"/>
      <c r="H51" s="130" t="s">
        <v>129</v>
      </c>
      <c r="I51" s="71"/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584" t="s">
        <v>129</v>
      </c>
      <c r="Q51" s="59" t="s">
        <v>461</v>
      </c>
    </row>
    <row r="52" spans="1:17" ht="15" customHeight="1" x14ac:dyDescent="0.2">
      <c r="A52" s="70"/>
      <c r="B52" s="70" t="s">
        <v>281</v>
      </c>
      <c r="C52" s="184">
        <v>263731432.25999999</v>
      </c>
      <c r="D52" s="188">
        <v>264295927.24000001</v>
      </c>
      <c r="E52" s="71">
        <v>256561922.77000001</v>
      </c>
      <c r="F52" s="130">
        <f t="shared" si="7"/>
        <v>0.97073733011792895</v>
      </c>
      <c r="G52" s="71">
        <v>256561922.77000001</v>
      </c>
      <c r="H52" s="130">
        <f t="shared" si="8"/>
        <v>0.97073733011792895</v>
      </c>
      <c r="I52" s="71">
        <v>170408400.86000001</v>
      </c>
      <c r="J52" s="194">
        <f t="shared" si="9"/>
        <v>0.64476362779989693</v>
      </c>
      <c r="K52" s="394">
        <v>256436783.59999999</v>
      </c>
      <c r="L52" s="130">
        <v>0.99988302578767163</v>
      </c>
      <c r="M52" s="210">
        <f t="shared" si="3"/>
        <v>4.8799227725160321E-4</v>
      </c>
      <c r="N52" s="394">
        <v>166592993.47</v>
      </c>
      <c r="O52" s="130">
        <v>0.64956947301927326</v>
      </c>
      <c r="P52" s="584">
        <f t="shared" si="4"/>
        <v>2.290256817245484E-2</v>
      </c>
      <c r="Q52" s="59">
        <v>22727</v>
      </c>
    </row>
    <row r="53" spans="1:17" ht="15" customHeight="1" x14ac:dyDescent="0.2">
      <c r="A53" s="70"/>
      <c r="B53" s="70" t="s">
        <v>278</v>
      </c>
      <c r="C53" s="184">
        <v>2408945.5</v>
      </c>
      <c r="D53" s="188">
        <v>1764997.42</v>
      </c>
      <c r="E53" s="71">
        <v>1764997.42</v>
      </c>
      <c r="F53" s="130">
        <f t="shared" si="7"/>
        <v>1</v>
      </c>
      <c r="G53" s="71">
        <v>1764997.42</v>
      </c>
      <c r="H53" s="130">
        <f t="shared" si="8"/>
        <v>1</v>
      </c>
      <c r="I53" s="71">
        <v>914250.59</v>
      </c>
      <c r="J53" s="194">
        <f t="shared" si="9"/>
        <v>0.51798976000769448</v>
      </c>
      <c r="K53" s="394">
        <v>2122061.0499999998</v>
      </c>
      <c r="L53" s="130">
        <v>0.95385643242021567</v>
      </c>
      <c r="M53" s="210">
        <f t="shared" si="3"/>
        <v>-0.16826265672234075</v>
      </c>
      <c r="N53" s="394">
        <v>789531.78</v>
      </c>
      <c r="O53" s="130">
        <v>0.35489081096568015</v>
      </c>
      <c r="P53" s="584">
        <f t="shared" si="4"/>
        <v>0.15796553496554622</v>
      </c>
      <c r="Q53" s="59">
        <v>22729</v>
      </c>
    </row>
    <row r="54" spans="1:17" ht="15" customHeight="1" x14ac:dyDescent="0.2">
      <c r="A54" s="70"/>
      <c r="B54" s="70" t="s">
        <v>283</v>
      </c>
      <c r="C54" s="184">
        <v>51417192.420000002</v>
      </c>
      <c r="D54" s="188">
        <v>49597491.07</v>
      </c>
      <c r="E54" s="71">
        <v>47075947.079999998</v>
      </c>
      <c r="F54" s="130">
        <f t="shared" si="7"/>
        <v>0.94915984789550767</v>
      </c>
      <c r="G54" s="71">
        <v>46960051.810000002</v>
      </c>
      <c r="H54" s="130">
        <f t="shared" si="8"/>
        <v>0.94682313151127706</v>
      </c>
      <c r="I54" s="71">
        <v>30544504.699999999</v>
      </c>
      <c r="J54" s="194">
        <f t="shared" si="9"/>
        <v>0.61584777860820927</v>
      </c>
      <c r="K54" s="394">
        <v>43102973.520000003</v>
      </c>
      <c r="L54" s="130">
        <v>0.94029323184286451</v>
      </c>
      <c r="M54" s="210">
        <f t="shared" si="3"/>
        <v>8.9485201948081183E-2</v>
      </c>
      <c r="N54" s="394">
        <v>30240915.82</v>
      </c>
      <c r="O54" s="130">
        <v>0.65970688674371081</v>
      </c>
      <c r="P54" s="584">
        <f t="shared" si="4"/>
        <v>1.0039010782842084E-2</v>
      </c>
      <c r="Q54" s="59">
        <v>22731</v>
      </c>
    </row>
    <row r="55" spans="1:17" ht="15" customHeight="1" x14ac:dyDescent="0.2">
      <c r="A55" s="70"/>
      <c r="B55" s="70" t="s">
        <v>282</v>
      </c>
      <c r="C55" s="184">
        <v>4368274.93</v>
      </c>
      <c r="D55" s="188">
        <v>4275228.83</v>
      </c>
      <c r="E55" s="71">
        <v>4265884.72</v>
      </c>
      <c r="F55" s="130">
        <f t="shared" si="7"/>
        <v>0.9978143602666526</v>
      </c>
      <c r="G55" s="71">
        <v>4265884.72</v>
      </c>
      <c r="H55" s="130">
        <f t="shared" si="8"/>
        <v>0.9978143602666526</v>
      </c>
      <c r="I55" s="71">
        <v>3095845.76</v>
      </c>
      <c r="J55" s="194">
        <f t="shared" si="9"/>
        <v>0.72413568562130037</v>
      </c>
      <c r="K55" s="394">
        <v>4219286.97</v>
      </c>
      <c r="L55" s="130">
        <v>0.85999001024137878</v>
      </c>
      <c r="M55" s="210">
        <f t="shared" si="3"/>
        <v>1.1043986894306856E-2</v>
      </c>
      <c r="N55" s="394">
        <v>3072940.4</v>
      </c>
      <c r="O55" s="130">
        <v>0.62633759326096428</v>
      </c>
      <c r="P55" s="584">
        <f t="shared" si="4"/>
        <v>7.4538900917180406E-3</v>
      </c>
      <c r="Q55" s="59">
        <v>22732</v>
      </c>
    </row>
    <row r="56" spans="1:17" ht="15" customHeight="1" x14ac:dyDescent="0.2">
      <c r="A56" s="72"/>
      <c r="B56" s="72" t="s">
        <v>284</v>
      </c>
      <c r="C56" s="185">
        <v>6556162.8600000003</v>
      </c>
      <c r="D56" s="189">
        <v>9770461.9199999999</v>
      </c>
      <c r="E56" s="73">
        <v>9513224.3200000003</v>
      </c>
      <c r="F56" s="413">
        <f t="shared" si="5"/>
        <v>0.97367191007894538</v>
      </c>
      <c r="G56" s="73">
        <v>5530122.8800000008</v>
      </c>
      <c r="H56" s="413">
        <f t="shared" si="1"/>
        <v>0.56600424066746691</v>
      </c>
      <c r="I56" s="73">
        <v>4422816.92</v>
      </c>
      <c r="J56" s="430">
        <f t="shared" si="2"/>
        <v>0.4526722437704358</v>
      </c>
      <c r="K56" s="576">
        <v>4619563.2199999699</v>
      </c>
      <c r="L56" s="130">
        <v>0.91547835836300062</v>
      </c>
      <c r="M56" s="638">
        <f t="shared" si="3"/>
        <v>0.1971094704490346</v>
      </c>
      <c r="N56" s="576">
        <v>2630220.6800000099</v>
      </c>
      <c r="O56" s="130">
        <v>0.52124194335819485</v>
      </c>
      <c r="P56" s="584">
        <f t="shared" si="4"/>
        <v>0.68153834149003156</v>
      </c>
      <c r="Q56" s="60" t="s">
        <v>285</v>
      </c>
    </row>
    <row r="57" spans="1:17" ht="15" customHeight="1" x14ac:dyDescent="0.2">
      <c r="A57" s="68"/>
      <c r="B57" s="68" t="s">
        <v>286</v>
      </c>
      <c r="C57" s="184">
        <v>1927031.01</v>
      </c>
      <c r="D57" s="188">
        <v>1504425.52</v>
      </c>
      <c r="E57" s="71">
        <v>1244480.43</v>
      </c>
      <c r="F57" s="414">
        <f t="shared" si="5"/>
        <v>0.82721305472137963</v>
      </c>
      <c r="G57" s="472">
        <v>822383.98</v>
      </c>
      <c r="H57" s="414">
        <f t="shared" si="1"/>
        <v>0.54664319972450348</v>
      </c>
      <c r="I57" s="71">
        <v>737258.67</v>
      </c>
      <c r="J57" s="431">
        <f t="shared" si="2"/>
        <v>0.49005993330929404</v>
      </c>
      <c r="K57" s="577">
        <v>877100.56</v>
      </c>
      <c r="L57" s="415">
        <v>0.61266106912787832</v>
      </c>
      <c r="M57" s="210">
        <f t="shared" si="3"/>
        <v>-6.2383474022636665E-2</v>
      </c>
      <c r="N57" s="577">
        <v>877100.56</v>
      </c>
      <c r="O57" s="415">
        <v>0.61266106912787832</v>
      </c>
      <c r="P57" s="584">
        <f t="shared" si="4"/>
        <v>-0.15943655309033211</v>
      </c>
      <c r="Q57" s="59">
        <v>230</v>
      </c>
    </row>
    <row r="58" spans="1:17" ht="15" customHeight="1" x14ac:dyDescent="0.2">
      <c r="A58" s="70"/>
      <c r="B58" s="70" t="s">
        <v>287</v>
      </c>
      <c r="C58" s="184">
        <v>823281.89</v>
      </c>
      <c r="D58" s="188">
        <v>904932.34</v>
      </c>
      <c r="E58" s="71">
        <v>662116.72</v>
      </c>
      <c r="F58" s="130">
        <f t="shared" si="5"/>
        <v>0.73167538691345702</v>
      </c>
      <c r="G58" s="473">
        <v>594300.89</v>
      </c>
      <c r="H58" s="130">
        <f t="shared" si="1"/>
        <v>0.65673516541579235</v>
      </c>
      <c r="I58" s="71">
        <v>386710.6</v>
      </c>
      <c r="J58" s="194">
        <f t="shared" si="2"/>
        <v>0.4273364791007469</v>
      </c>
      <c r="K58" s="394">
        <v>459772.09</v>
      </c>
      <c r="L58" s="130">
        <v>0.48825573843637649</v>
      </c>
      <c r="M58" s="210">
        <f t="shared" si="3"/>
        <v>0.29259888306834791</v>
      </c>
      <c r="N58" s="394">
        <v>438696.99</v>
      </c>
      <c r="O58" s="130">
        <v>0.46587500081239303</v>
      </c>
      <c r="P58" s="584">
        <f t="shared" si="4"/>
        <v>-0.11850181602568099</v>
      </c>
      <c r="Q58" s="59">
        <v>231</v>
      </c>
    </row>
    <row r="59" spans="1:17" ht="15" customHeight="1" x14ac:dyDescent="0.2">
      <c r="A59" s="72"/>
      <c r="B59" s="72" t="s">
        <v>288</v>
      </c>
      <c r="C59" s="185">
        <v>319336.93</v>
      </c>
      <c r="D59" s="189">
        <v>445073.29</v>
      </c>
      <c r="E59" s="73">
        <v>240000</v>
      </c>
      <c r="F59" s="413">
        <f t="shared" si="5"/>
        <v>0.5392370321750829</v>
      </c>
      <c r="G59" s="474">
        <v>139176.59</v>
      </c>
      <c r="H59" s="413">
        <f>+G59/D59</f>
        <v>0.31270488058270135</v>
      </c>
      <c r="I59" s="73">
        <v>139176.59</v>
      </c>
      <c r="J59" s="430">
        <f t="shared" si="2"/>
        <v>0.31270488058270135</v>
      </c>
      <c r="K59" s="576">
        <v>154129.82999999999</v>
      </c>
      <c r="L59" s="130">
        <v>0.51571326137051454</v>
      </c>
      <c r="M59" s="639">
        <f t="shared" si="3"/>
        <v>-9.7017170524355989E-2</v>
      </c>
      <c r="N59" s="576">
        <v>154129.82999999999</v>
      </c>
      <c r="O59" s="130">
        <v>0.51571326137051454</v>
      </c>
      <c r="P59" s="584">
        <f t="shared" si="4"/>
        <v>-9.7017170524355989E-2</v>
      </c>
      <c r="Q59" s="59">
        <v>233</v>
      </c>
    </row>
    <row r="60" spans="1:17" ht="15" customHeight="1" x14ac:dyDescent="0.2">
      <c r="A60" s="55"/>
      <c r="B60" s="55" t="s">
        <v>289</v>
      </c>
      <c r="C60" s="176">
        <v>0</v>
      </c>
      <c r="D60" s="555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73">
        <v>0</v>
      </c>
      <c r="L60" s="579">
        <v>0</v>
      </c>
      <c r="M60" s="245" t="s">
        <v>129</v>
      </c>
      <c r="N60" s="573">
        <v>0</v>
      </c>
      <c r="O60" s="579">
        <v>0</v>
      </c>
      <c r="P60" s="245" t="s">
        <v>129</v>
      </c>
      <c r="Q60" s="59" t="s">
        <v>539</v>
      </c>
    </row>
    <row r="61" spans="1:17" ht="15" customHeight="1" x14ac:dyDescent="0.2">
      <c r="A61" s="521"/>
      <c r="B61" s="83" t="s">
        <v>240</v>
      </c>
      <c r="C61" s="162">
        <f>SUM(C12:C42,C47:C60)</f>
        <v>665063202.92999983</v>
      </c>
      <c r="D61" s="152">
        <f>SUM(D12:D42,D47:D60)</f>
        <v>655038408.19999993</v>
      </c>
      <c r="E61" s="84">
        <f>SUM(E12:E42,E47:E60)</f>
        <v>612904089.75</v>
      </c>
      <c r="F61" s="90">
        <f>+E61/D61</f>
        <v>0.93567656808738575</v>
      </c>
      <c r="G61" s="84">
        <f>SUM(G12:G42,G47:G60)</f>
        <v>591489365.62000012</v>
      </c>
      <c r="H61" s="90">
        <f t="shared" si="1"/>
        <v>0.90298424980204117</v>
      </c>
      <c r="I61" s="84">
        <f>SUM(I12:I42,I47:I60)</f>
        <v>382143980.97999996</v>
      </c>
      <c r="J61" s="170">
        <f t="shared" si="2"/>
        <v>0.58339171596075579</v>
      </c>
      <c r="K61" s="152">
        <f>SUM(K12:K42,K47:K60)</f>
        <v>566140409.97000015</v>
      </c>
      <c r="L61" s="90">
        <v>0.90768568130476712</v>
      </c>
      <c r="M61" s="622">
        <f t="shared" si="3"/>
        <v>4.4775033195993297E-2</v>
      </c>
      <c r="N61" s="561">
        <f>SUM(N12:N42,N47:N60)</f>
        <v>361636009.16999996</v>
      </c>
      <c r="O61" s="90">
        <v>0.57980639005295975</v>
      </c>
      <c r="P61" s="213">
        <f>+I61/N61-1</f>
        <v>5.6708876577496792E-2</v>
      </c>
    </row>
    <row r="62" spans="1:17" ht="15" customHeight="1" x14ac:dyDescent="0.2">
      <c r="A62" s="81"/>
      <c r="B62" s="81" t="s">
        <v>346</v>
      </c>
      <c r="C62" s="186">
        <v>21570000</v>
      </c>
      <c r="D62" s="190">
        <v>21570000</v>
      </c>
      <c r="E62" s="82">
        <v>17321840.579999998</v>
      </c>
      <c r="F62" s="414">
        <f>+E62/D62</f>
        <v>0.80305241446453401</v>
      </c>
      <c r="G62" s="82">
        <v>17321840.579999998</v>
      </c>
      <c r="H62" s="414">
        <f t="shared" si="1"/>
        <v>0.80305241446453401</v>
      </c>
      <c r="I62" s="82">
        <v>17321840.579999998</v>
      </c>
      <c r="J62" s="431">
        <f t="shared" si="2"/>
        <v>0.80305241446453401</v>
      </c>
      <c r="K62" s="577">
        <v>18329654.989999998</v>
      </c>
      <c r="L62" s="414">
        <v>0.774741726932338</v>
      </c>
      <c r="M62" s="584">
        <f t="shared" si="3"/>
        <v>-5.4982726655238623E-2</v>
      </c>
      <c r="N62" s="577">
        <v>18329654.989999998</v>
      </c>
      <c r="O62" s="414">
        <v>0.774741726932338</v>
      </c>
      <c r="P62" s="584">
        <f>+I62/N62-1</f>
        <v>-5.4982726655238623E-2</v>
      </c>
      <c r="Q62" s="59" t="s">
        <v>348</v>
      </c>
    </row>
    <row r="63" spans="1:17" ht="15" customHeight="1" x14ac:dyDescent="0.2">
      <c r="A63" s="70"/>
      <c r="B63" s="70" t="s">
        <v>347</v>
      </c>
      <c r="C63" s="184">
        <v>280000</v>
      </c>
      <c r="D63" s="188">
        <v>280000</v>
      </c>
      <c r="E63" s="71">
        <v>49277.34</v>
      </c>
      <c r="F63" s="130">
        <f>+E63/D63</f>
        <v>0.17599049999999999</v>
      </c>
      <c r="G63" s="71">
        <v>49277.34</v>
      </c>
      <c r="H63" s="130">
        <f t="shared" si="1"/>
        <v>0.17599049999999999</v>
      </c>
      <c r="I63" s="71">
        <v>49277.34</v>
      </c>
      <c r="J63" s="194">
        <f t="shared" si="2"/>
        <v>0.17599049999999999</v>
      </c>
      <c r="K63" s="394">
        <v>99155.66</v>
      </c>
      <c r="L63" s="130">
        <v>0.10522486166081729</v>
      </c>
      <c r="M63" s="584">
        <f t="shared" si="3"/>
        <v>-0.50303048761916369</v>
      </c>
      <c r="N63" s="394">
        <v>99155.66</v>
      </c>
      <c r="O63" s="130">
        <v>0.10522486166081729</v>
      </c>
      <c r="P63" s="584">
        <f t="shared" ref="P63:P64" si="10">+I63/N63-1</f>
        <v>-0.50303048761916369</v>
      </c>
      <c r="Q63" s="59" t="s">
        <v>349</v>
      </c>
    </row>
    <row r="64" spans="1:17" ht="15" customHeight="1" x14ac:dyDescent="0.2">
      <c r="A64" s="79"/>
      <c r="B64" s="543" t="s">
        <v>183</v>
      </c>
      <c r="C64" s="395">
        <v>250000</v>
      </c>
      <c r="D64" s="191">
        <v>250000</v>
      </c>
      <c r="E64" s="80">
        <v>27256.45</v>
      </c>
      <c r="F64" s="243">
        <f>+E64/D64</f>
        <v>0.10902580000000001</v>
      </c>
      <c r="G64" s="80">
        <v>27256.45</v>
      </c>
      <c r="H64" s="243">
        <f t="shared" si="1"/>
        <v>0.10902580000000001</v>
      </c>
      <c r="I64" s="80">
        <v>27256.45</v>
      </c>
      <c r="J64" s="195">
        <f t="shared" si="2"/>
        <v>0.10902580000000001</v>
      </c>
      <c r="K64" s="578">
        <v>19846.080000000002</v>
      </c>
      <c r="L64" s="243">
        <v>7.9384320000000008E-2</v>
      </c>
      <c r="M64" s="584">
        <f t="shared" si="3"/>
        <v>0.37339212580015801</v>
      </c>
      <c r="N64" s="578">
        <v>19846.080000000002</v>
      </c>
      <c r="O64" s="243">
        <v>7.9384320000000008E-2</v>
      </c>
      <c r="P64" s="584">
        <f t="shared" si="10"/>
        <v>0.37339212580015801</v>
      </c>
      <c r="Q64" s="59">
        <v>352</v>
      </c>
    </row>
    <row r="65" spans="1:19" ht="15" customHeight="1" thickBot="1" x14ac:dyDescent="0.25">
      <c r="A65" s="521"/>
      <c r="B65" s="513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17398374.369999997</v>
      </c>
      <c r="F65" s="377">
        <f>+E65/D65</f>
        <v>0.7872567588235293</v>
      </c>
      <c r="G65" s="174">
        <f t="shared" si="11"/>
        <v>17398374.369999997</v>
      </c>
      <c r="H65" s="377">
        <f t="shared" si="1"/>
        <v>0.7872567588235293</v>
      </c>
      <c r="I65" s="174">
        <f t="shared" si="11"/>
        <v>17398374.369999997</v>
      </c>
      <c r="J65" s="175">
        <f t="shared" si="2"/>
        <v>0.7872567588235293</v>
      </c>
      <c r="K65" s="601">
        <f t="shared" ref="K65" si="12">SUM(K62:K64)</f>
        <v>18448656.729999997</v>
      </c>
      <c r="L65" s="377">
        <v>0.74235963165567975</v>
      </c>
      <c r="M65" s="602">
        <f t="shared" si="3"/>
        <v>-5.6930018015463379E-2</v>
      </c>
      <c r="N65" s="601">
        <f t="shared" ref="N65" si="13">SUM(N62:N64)</f>
        <v>18448656.729999997</v>
      </c>
      <c r="O65" s="377">
        <v>0.74235963165567975</v>
      </c>
      <c r="P65" s="602">
        <f>+I65/N65-1</f>
        <v>-5.6930018015463379E-2</v>
      </c>
      <c r="Q65" s="60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4" t="s">
        <v>765</v>
      </c>
      <c r="D68" s="754" t="s">
        <v>784</v>
      </c>
      <c r="E68" s="752"/>
      <c r="F68" s="752"/>
      <c r="G68" s="752"/>
      <c r="H68" s="752"/>
      <c r="I68" s="752"/>
      <c r="J68" s="753"/>
      <c r="K68" s="760" t="s">
        <v>785</v>
      </c>
      <c r="L68" s="761"/>
      <c r="M68" s="761"/>
      <c r="N68" s="761"/>
      <c r="O68" s="761"/>
      <c r="P68" s="762"/>
    </row>
    <row r="69" spans="1:19" x14ac:dyDescent="0.2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543</v>
      </c>
      <c r="L69" s="88" t="s">
        <v>544</v>
      </c>
      <c r="M69" s="88" t="s">
        <v>545</v>
      </c>
      <c r="N69" s="87" t="s">
        <v>39</v>
      </c>
      <c r="O69" s="88" t="s">
        <v>40</v>
      </c>
      <c r="P69" s="149" t="s">
        <v>362</v>
      </c>
    </row>
    <row r="70" spans="1:19" ht="25.5" x14ac:dyDescent="0.2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764</v>
      </c>
      <c r="N70" s="557" t="s">
        <v>17</v>
      </c>
      <c r="O70" s="89" t="s">
        <v>18</v>
      </c>
      <c r="P70" s="580" t="s">
        <v>764</v>
      </c>
      <c r="Q70" s="58" t="s">
        <v>163</v>
      </c>
      <c r="S70" s="358"/>
    </row>
    <row r="71" spans="1:19" ht="15" customHeight="1" x14ac:dyDescent="0.2">
      <c r="A71" s="21"/>
      <c r="B71" s="21" t="s">
        <v>293</v>
      </c>
      <c r="C71" s="481">
        <v>25094829</v>
      </c>
      <c r="D71" s="190">
        <v>25094829</v>
      </c>
      <c r="E71" s="82">
        <v>24364829</v>
      </c>
      <c r="F71" s="417">
        <f t="shared" ref="F71:F93" si="14">+E71/D71</f>
        <v>0.97091034172817037</v>
      </c>
      <c r="G71" s="82">
        <v>24364829</v>
      </c>
      <c r="H71" s="417">
        <f>+G71/D71</f>
        <v>0.97091034172817037</v>
      </c>
      <c r="I71" s="82">
        <v>19400000</v>
      </c>
      <c r="J71" s="348">
        <f>I71/D71</f>
        <v>0.77306763078560925</v>
      </c>
      <c r="K71" s="558">
        <v>24587855.940000001</v>
      </c>
      <c r="L71" s="417">
        <v>0.97979770812544698</v>
      </c>
      <c r="M71" s="210">
        <f t="shared" ref="M71:M142" si="15">+G71/K71-1</f>
        <v>-9.0706135803072518E-3</v>
      </c>
      <c r="N71" s="558">
        <v>21000000</v>
      </c>
      <c r="O71" s="417">
        <v>0.83682578590194812</v>
      </c>
      <c r="P71" s="210">
        <f t="shared" ref="P71:P85" si="16">+I71/N71-1</f>
        <v>-7.6190476190476142E-2</v>
      </c>
      <c r="Q71" s="60" t="s">
        <v>364</v>
      </c>
      <c r="S71" s="357"/>
    </row>
    <row r="72" spans="1:19" ht="15" customHeight="1" x14ac:dyDescent="0.2">
      <c r="A72" s="23"/>
      <c r="B72" s="23" t="s">
        <v>294</v>
      </c>
      <c r="C72" s="184">
        <v>858841</v>
      </c>
      <c r="D72" s="188">
        <v>1226803.3999999999</v>
      </c>
      <c r="E72" s="82">
        <v>1226803.3999999999</v>
      </c>
      <c r="F72" s="417">
        <f t="shared" si="14"/>
        <v>1</v>
      </c>
      <c r="G72" s="82">
        <v>1226803.3999999999</v>
      </c>
      <c r="H72" s="417">
        <f>+G72/D72</f>
        <v>1</v>
      </c>
      <c r="I72" s="82">
        <v>1012962.4</v>
      </c>
      <c r="J72" s="348">
        <f>I72/D72</f>
        <v>0.82569252742533983</v>
      </c>
      <c r="K72" s="559">
        <v>858841</v>
      </c>
      <c r="L72" s="418">
        <v>1</v>
      </c>
      <c r="M72" s="210">
        <f t="shared" si="15"/>
        <v>0.42844065432367562</v>
      </c>
      <c r="N72" s="559">
        <v>430000</v>
      </c>
      <c r="O72" s="418">
        <v>0.50067474654796407</v>
      </c>
      <c r="P72" s="210">
        <f t="shared" si="16"/>
        <v>1.3557265116279069</v>
      </c>
      <c r="Q72" s="60" t="s">
        <v>365</v>
      </c>
      <c r="S72" s="357"/>
    </row>
    <row r="73" spans="1:19" ht="15" customHeight="1" x14ac:dyDescent="0.2">
      <c r="A73" s="23"/>
      <c r="B73" s="23" t="s">
        <v>295</v>
      </c>
      <c r="C73" s="184">
        <v>50143662.619999997</v>
      </c>
      <c r="D73" s="188">
        <v>50302662.619999997</v>
      </c>
      <c r="E73" s="82">
        <v>50302662.619999997</v>
      </c>
      <c r="F73" s="418">
        <f t="shared" si="14"/>
        <v>1</v>
      </c>
      <c r="G73" s="82">
        <v>50302662.619999997</v>
      </c>
      <c r="H73" s="418">
        <f t="shared" ref="H73:H96" si="17">+G73/D73</f>
        <v>1</v>
      </c>
      <c r="I73" s="82">
        <v>39959000</v>
      </c>
      <c r="J73" s="432">
        <f t="shared" ref="J73:J96" si="18">I73/D73</f>
        <v>0.79437146899879163</v>
      </c>
      <c r="K73" s="559">
        <v>50198376.579999998</v>
      </c>
      <c r="L73" s="418">
        <v>0.96360839676759635</v>
      </c>
      <c r="M73" s="211">
        <f t="shared" si="15"/>
        <v>2.0774783390415941E-3</v>
      </c>
      <c r="N73" s="559">
        <v>49544329.479999997</v>
      </c>
      <c r="O73" s="418">
        <v>0.95105330394627596</v>
      </c>
      <c r="P73" s="210">
        <f t="shared" si="16"/>
        <v>-0.19346975891296281</v>
      </c>
      <c r="Q73" s="60" t="s">
        <v>366</v>
      </c>
      <c r="S73" s="357"/>
    </row>
    <row r="74" spans="1:19" ht="15" customHeight="1" x14ac:dyDescent="0.2">
      <c r="A74" s="23"/>
      <c r="B74" s="23" t="s">
        <v>296</v>
      </c>
      <c r="C74" s="184">
        <v>45958931.790000007</v>
      </c>
      <c r="D74" s="188">
        <v>52068277.440000005</v>
      </c>
      <c r="E74" s="82">
        <v>50568277.440000005</v>
      </c>
      <c r="F74" s="418">
        <f t="shared" si="14"/>
        <v>0.97119167228590386</v>
      </c>
      <c r="G74" s="82">
        <v>50568277.440000005</v>
      </c>
      <c r="H74" s="418">
        <f t="shared" si="17"/>
        <v>0.97119167228590386</v>
      </c>
      <c r="I74" s="82">
        <v>46478077.019999996</v>
      </c>
      <c r="J74" s="432">
        <f t="shared" si="18"/>
        <v>0.89263711620877451</v>
      </c>
      <c r="K74" s="559">
        <v>42239890.859999999</v>
      </c>
      <c r="L74" s="418">
        <v>0.98611541265708158</v>
      </c>
      <c r="M74" s="211">
        <f t="shared" si="15"/>
        <v>0.19716875234369402</v>
      </c>
      <c r="N74" s="559">
        <v>37258571.789999999</v>
      </c>
      <c r="O74" s="418">
        <v>0.86982355180520343</v>
      </c>
      <c r="P74" s="210">
        <f t="shared" si="16"/>
        <v>0.24744655490188339</v>
      </c>
      <c r="Q74" s="60" t="s">
        <v>504</v>
      </c>
      <c r="S74" s="358"/>
    </row>
    <row r="75" spans="1:19" ht="15" customHeight="1" x14ac:dyDescent="0.2">
      <c r="A75" s="23"/>
      <c r="B75" s="23" t="s">
        <v>297</v>
      </c>
      <c r="C75" s="184">
        <v>138280341</v>
      </c>
      <c r="D75" s="188">
        <v>149133893.16</v>
      </c>
      <c r="E75" s="82">
        <v>149127893.16</v>
      </c>
      <c r="F75" s="418">
        <f t="shared" si="14"/>
        <v>0.99995976769684702</v>
      </c>
      <c r="G75" s="82">
        <v>149127893.16</v>
      </c>
      <c r="H75" s="418">
        <f t="shared" si="17"/>
        <v>0.99995976769684702</v>
      </c>
      <c r="I75" s="82">
        <v>134029102.16</v>
      </c>
      <c r="J75" s="432">
        <f t="shared" si="18"/>
        <v>0.89871657823755291</v>
      </c>
      <c r="K75" s="559">
        <v>135369436.38999999</v>
      </c>
      <c r="L75" s="418">
        <v>1</v>
      </c>
      <c r="M75" s="211">
        <f t="shared" si="15"/>
        <v>0.1016363600005088</v>
      </c>
      <c r="N75" s="559">
        <v>126939436.39</v>
      </c>
      <c r="O75" s="418">
        <v>0.93772597253258028</v>
      </c>
      <c r="P75" s="210">
        <f t="shared" si="16"/>
        <v>5.5850773972386358E-2</v>
      </c>
      <c r="Q75" s="60" t="s">
        <v>446</v>
      </c>
      <c r="S75" s="357"/>
    </row>
    <row r="76" spans="1:19" ht="15" customHeight="1" x14ac:dyDescent="0.2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8">
        <f t="shared" si="14"/>
        <v>1</v>
      </c>
      <c r="G76" s="82">
        <v>2165090</v>
      </c>
      <c r="H76" s="418">
        <f t="shared" si="17"/>
        <v>1</v>
      </c>
      <c r="I76" s="82">
        <v>2165090</v>
      </c>
      <c r="J76" s="432">
        <f t="shared" si="18"/>
        <v>1</v>
      </c>
      <c r="K76" s="559">
        <v>2215090</v>
      </c>
      <c r="L76" s="418">
        <v>1</v>
      </c>
      <c r="M76" s="211">
        <f t="shared" si="15"/>
        <v>-2.2572446266291624E-2</v>
      </c>
      <c r="N76" s="559">
        <v>2215090</v>
      </c>
      <c r="O76" s="418">
        <v>1</v>
      </c>
      <c r="P76" s="210">
        <f t="shared" si="16"/>
        <v>-2.2572446266291624E-2</v>
      </c>
      <c r="Q76" s="60" t="s">
        <v>367</v>
      </c>
      <c r="S76" s="357"/>
    </row>
    <row r="77" spans="1:19" ht="15" customHeight="1" x14ac:dyDescent="0.2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8">
        <f t="shared" si="14"/>
        <v>0.88155822876577228</v>
      </c>
      <c r="G77" s="82">
        <v>7713147</v>
      </c>
      <c r="H77" s="418">
        <f t="shared" si="17"/>
        <v>0.88155822876577228</v>
      </c>
      <c r="I77" s="82">
        <v>7713147</v>
      </c>
      <c r="J77" s="432">
        <f t="shared" si="18"/>
        <v>0.88155822876577228</v>
      </c>
      <c r="K77" s="559">
        <v>8713147</v>
      </c>
      <c r="L77" s="418">
        <v>0.99585116636514281</v>
      </c>
      <c r="M77" s="211">
        <f t="shared" si="15"/>
        <v>-0.11476909548295233</v>
      </c>
      <c r="N77" s="559">
        <v>6700000</v>
      </c>
      <c r="O77" s="418">
        <v>0.76576268191578278</v>
      </c>
      <c r="P77" s="210">
        <f t="shared" si="16"/>
        <v>0.1512159701492537</v>
      </c>
      <c r="Q77" s="60" t="s">
        <v>540</v>
      </c>
      <c r="S77" s="357"/>
    </row>
    <row r="78" spans="1:19" ht="15" customHeight="1" x14ac:dyDescent="0.2">
      <c r="A78" s="23"/>
      <c r="B78" s="23" t="s">
        <v>300</v>
      </c>
      <c r="C78" s="184">
        <v>24237656.5</v>
      </c>
      <c r="D78" s="188">
        <v>24237656.5</v>
      </c>
      <c r="E78" s="82">
        <v>23837656.5</v>
      </c>
      <c r="F78" s="418">
        <f t="shared" si="14"/>
        <v>0.98349675431698602</v>
      </c>
      <c r="G78" s="82">
        <v>23837656.5</v>
      </c>
      <c r="H78" s="418">
        <f t="shared" si="17"/>
        <v>0.98349675431698602</v>
      </c>
      <c r="I78" s="82">
        <v>14300000</v>
      </c>
      <c r="J78" s="432">
        <f t="shared" si="18"/>
        <v>0.5899910331677487</v>
      </c>
      <c r="K78" s="559">
        <v>25431500</v>
      </c>
      <c r="L78" s="418">
        <v>1</v>
      </c>
      <c r="M78" s="211">
        <f t="shared" si="15"/>
        <v>-6.2672020918939086E-2</v>
      </c>
      <c r="N78" s="559">
        <v>18821704.120000001</v>
      </c>
      <c r="O78" s="418">
        <v>0.74009413994455697</v>
      </c>
      <c r="P78" s="210">
        <f t="shared" si="16"/>
        <v>-0.24023882700372623</v>
      </c>
      <c r="Q78" s="60" t="s">
        <v>541</v>
      </c>
      <c r="S78" s="357"/>
    </row>
    <row r="79" spans="1:19" ht="15" customHeight="1" x14ac:dyDescent="0.2">
      <c r="A79" s="65"/>
      <c r="B79" s="65" t="s">
        <v>301</v>
      </c>
      <c r="C79" s="185">
        <v>10484584.129999999</v>
      </c>
      <c r="D79" s="189">
        <v>10709553.32</v>
      </c>
      <c r="E79" s="62">
        <v>10565193.129999999</v>
      </c>
      <c r="F79" s="419">
        <f t="shared" si="14"/>
        <v>0.98652042847292143</v>
      </c>
      <c r="G79" s="62">
        <v>10565193.129999999</v>
      </c>
      <c r="H79" s="419">
        <f t="shared" si="17"/>
        <v>0.98652042847292143</v>
      </c>
      <c r="I79" s="62">
        <v>7930609</v>
      </c>
      <c r="J79" s="433">
        <f t="shared" si="18"/>
        <v>0.74051725249732447</v>
      </c>
      <c r="K79" s="595">
        <v>10671531.629999999</v>
      </c>
      <c r="L79" s="419">
        <v>1</v>
      </c>
      <c r="M79" s="585">
        <f t="shared" si="15"/>
        <v>-9.9646895766170029E-3</v>
      </c>
      <c r="N79" s="595">
        <v>7319105.8399999999</v>
      </c>
      <c r="O79" s="419">
        <v>0.68585336142605802</v>
      </c>
      <c r="P79" s="210">
        <f t="shared" si="16"/>
        <v>8.3548888807980504E-2</v>
      </c>
      <c r="Q79" s="330" t="s">
        <v>368</v>
      </c>
      <c r="S79" s="357"/>
    </row>
    <row r="80" spans="1:19" ht="15" customHeight="1" x14ac:dyDescent="0.2">
      <c r="A80" s="55"/>
      <c r="B80" s="55" t="s">
        <v>766</v>
      </c>
      <c r="C80" s="176">
        <v>4718946</v>
      </c>
      <c r="D80" s="190">
        <v>75603.81</v>
      </c>
      <c r="E80" s="82">
        <v>30640</v>
      </c>
      <c r="F80" s="362">
        <f>E80/D80</f>
        <v>0.40527058094029916</v>
      </c>
      <c r="G80" s="82">
        <v>30640</v>
      </c>
      <c r="H80" s="362">
        <f t="shared" si="17"/>
        <v>0.40527058094029916</v>
      </c>
      <c r="I80" s="82">
        <v>0</v>
      </c>
      <c r="J80" s="278">
        <f t="shared" si="18"/>
        <v>0</v>
      </c>
      <c r="K80" s="577"/>
      <c r="L80" s="362"/>
      <c r="M80" s="584" t="s">
        <v>129</v>
      </c>
      <c r="N80" s="577"/>
      <c r="O80" s="362"/>
      <c r="P80" s="584" t="s">
        <v>129</v>
      </c>
      <c r="Q80" s="60">
        <v>41099</v>
      </c>
      <c r="S80" s="357"/>
    </row>
    <row r="81" spans="1:19" ht="15" customHeight="1" x14ac:dyDescent="0.2">
      <c r="A81" s="55"/>
      <c r="B81" s="55" t="s">
        <v>781</v>
      </c>
      <c r="C81" s="176">
        <v>0</v>
      </c>
      <c r="D81" s="190">
        <v>813321</v>
      </c>
      <c r="E81" s="82">
        <v>813321</v>
      </c>
      <c r="F81" s="362">
        <f>E81/D81</f>
        <v>1</v>
      </c>
      <c r="G81" s="82">
        <v>813321</v>
      </c>
      <c r="H81" s="362">
        <f t="shared" si="17"/>
        <v>1</v>
      </c>
      <c r="I81" s="82">
        <v>813321</v>
      </c>
      <c r="J81" s="278">
        <f t="shared" si="18"/>
        <v>1</v>
      </c>
      <c r="K81" s="577"/>
      <c r="L81" s="362"/>
      <c r="M81" s="245" t="s">
        <v>129</v>
      </c>
      <c r="N81" s="577"/>
      <c r="O81" s="362"/>
      <c r="P81" s="245" t="s">
        <v>129</v>
      </c>
      <c r="Q81" s="60">
        <v>42000</v>
      </c>
      <c r="S81" s="357"/>
    </row>
    <row r="82" spans="1:19" ht="15" customHeight="1" x14ac:dyDescent="0.2">
      <c r="A82" s="68"/>
      <c r="B82" s="68" t="s">
        <v>302</v>
      </c>
      <c r="C82" s="488">
        <v>109886585.06999999</v>
      </c>
      <c r="D82" s="190">
        <v>120602542</v>
      </c>
      <c r="E82" s="82">
        <v>120279542</v>
      </c>
      <c r="F82" s="362">
        <f t="shared" si="14"/>
        <v>0.99732178116113013</v>
      </c>
      <c r="G82" s="82">
        <v>120279542</v>
      </c>
      <c r="H82" s="362">
        <f t="shared" si="17"/>
        <v>0.99732178116113013</v>
      </c>
      <c r="I82" s="82">
        <v>89552956.930000007</v>
      </c>
      <c r="J82" s="278">
        <f t="shared" si="18"/>
        <v>0.74254618057718891</v>
      </c>
      <c r="K82" s="577">
        <v>112969078.06</v>
      </c>
      <c r="L82" s="362">
        <v>0.99997698538213609</v>
      </c>
      <c r="M82" s="210">
        <f t="shared" si="15"/>
        <v>6.4712079318884674E-2</v>
      </c>
      <c r="N82" s="577">
        <v>98865364.269999996</v>
      </c>
      <c r="O82" s="362">
        <v>0.8751340687131508</v>
      </c>
      <c r="P82" s="210">
        <f t="shared" si="16"/>
        <v>-9.4192818776937193E-2</v>
      </c>
      <c r="Q82" s="331" t="s">
        <v>542</v>
      </c>
      <c r="S82" s="357"/>
    </row>
    <row r="83" spans="1:19" ht="15" customHeight="1" x14ac:dyDescent="0.2">
      <c r="A83" s="81"/>
      <c r="B83" s="81" t="s">
        <v>775</v>
      </c>
      <c r="C83" s="186">
        <v>835000</v>
      </c>
      <c r="D83" s="190">
        <v>820000</v>
      </c>
      <c r="E83" s="82">
        <v>820000</v>
      </c>
      <c r="F83" s="362">
        <f t="shared" si="14"/>
        <v>1</v>
      </c>
      <c r="G83" s="82">
        <v>820000</v>
      </c>
      <c r="H83" s="362">
        <f t="shared" si="17"/>
        <v>1</v>
      </c>
      <c r="I83" s="82">
        <v>820000</v>
      </c>
      <c r="J83" s="278">
        <f t="shared" si="18"/>
        <v>1</v>
      </c>
      <c r="K83" s="577"/>
      <c r="L83" s="362"/>
      <c r="M83" s="210" t="s">
        <v>129</v>
      </c>
      <c r="N83" s="577"/>
      <c r="O83" s="362"/>
      <c r="P83" s="210" t="s">
        <v>129</v>
      </c>
      <c r="Q83" s="331">
        <v>44304</v>
      </c>
      <c r="S83" s="357"/>
    </row>
    <row r="84" spans="1:19" ht="15" customHeight="1" x14ac:dyDescent="0.2">
      <c r="A84" s="70"/>
      <c r="B84" s="70" t="s">
        <v>303</v>
      </c>
      <c r="C84" s="184">
        <v>48727097.020000003</v>
      </c>
      <c r="D84" s="188">
        <v>48727097.020000003</v>
      </c>
      <c r="E84" s="82">
        <v>48727097.020000003</v>
      </c>
      <c r="F84" s="362">
        <f t="shared" si="14"/>
        <v>1</v>
      </c>
      <c r="G84" s="82">
        <v>48727097.020000003</v>
      </c>
      <c r="H84" s="362">
        <f t="shared" si="17"/>
        <v>1</v>
      </c>
      <c r="I84" s="82">
        <v>33800000</v>
      </c>
      <c r="J84" s="278">
        <f t="shared" si="18"/>
        <v>0.69365921770646044</v>
      </c>
      <c r="K84" s="394">
        <v>47794228</v>
      </c>
      <c r="L84" s="420">
        <v>1</v>
      </c>
      <c r="M84" s="210">
        <f t="shared" si="15"/>
        <v>1.9518445198026813E-2</v>
      </c>
      <c r="N84" s="394">
        <v>37500000</v>
      </c>
      <c r="O84" s="420">
        <v>0.78461357300299939</v>
      </c>
      <c r="P84" s="210">
        <f t="shared" si="16"/>
        <v>-9.866666666666668E-2</v>
      </c>
      <c r="Q84" s="60" t="s">
        <v>369</v>
      </c>
      <c r="S84" s="357"/>
    </row>
    <row r="85" spans="1:19" ht="15" customHeight="1" x14ac:dyDescent="0.2">
      <c r="A85" s="70"/>
      <c r="B85" s="70" t="s">
        <v>304</v>
      </c>
      <c r="C85" s="184">
        <v>2749627.35</v>
      </c>
      <c r="D85" s="188">
        <v>3687538.27</v>
      </c>
      <c r="E85" s="82">
        <v>2910617.89</v>
      </c>
      <c r="F85" s="362">
        <f t="shared" si="14"/>
        <v>0.78931191404286094</v>
      </c>
      <c r="G85" s="82">
        <v>2910617.89</v>
      </c>
      <c r="H85" s="362">
        <f t="shared" si="17"/>
        <v>0.78931191404286094</v>
      </c>
      <c r="I85" s="82">
        <v>2910617.89</v>
      </c>
      <c r="J85" s="278">
        <f t="shared" si="18"/>
        <v>0.78931191404286094</v>
      </c>
      <c r="K85" s="394">
        <v>1338779.7</v>
      </c>
      <c r="L85" s="420">
        <v>0.36344737593395349</v>
      </c>
      <c r="M85" s="211">
        <f t="shared" si="15"/>
        <v>1.1740827785183776</v>
      </c>
      <c r="N85" s="394">
        <v>1338779.7</v>
      </c>
      <c r="O85" s="420">
        <v>0.36344737593395349</v>
      </c>
      <c r="P85" s="210">
        <f t="shared" si="16"/>
        <v>1.1740827785183776</v>
      </c>
      <c r="Q85" s="60" t="s">
        <v>370</v>
      </c>
      <c r="S85" s="357"/>
    </row>
    <row r="86" spans="1:19" ht="15" customHeight="1" x14ac:dyDescent="0.2">
      <c r="A86" s="72"/>
      <c r="B86" s="72" t="s">
        <v>305</v>
      </c>
      <c r="C86" s="185">
        <v>617526</v>
      </c>
      <c r="D86" s="189">
        <v>617526</v>
      </c>
      <c r="E86" s="62">
        <v>617526</v>
      </c>
      <c r="F86" s="268">
        <f t="shared" si="14"/>
        <v>1</v>
      </c>
      <c r="G86" s="62">
        <v>617526</v>
      </c>
      <c r="H86" s="421">
        <f t="shared" si="17"/>
        <v>1</v>
      </c>
      <c r="I86" s="62">
        <v>617526</v>
      </c>
      <c r="J86" s="278">
        <f t="shared" si="18"/>
        <v>1</v>
      </c>
      <c r="K86" s="576">
        <v>617526</v>
      </c>
      <c r="L86" s="421">
        <v>1</v>
      </c>
      <c r="M86" s="211">
        <f t="shared" si="15"/>
        <v>0</v>
      </c>
      <c r="N86" s="576">
        <v>617526</v>
      </c>
      <c r="O86" s="421">
        <v>1</v>
      </c>
      <c r="P86" s="211">
        <f t="shared" ref="P86:P96" si="19">+I86/N86-1</f>
        <v>0</v>
      </c>
      <c r="Q86" s="60" t="s">
        <v>371</v>
      </c>
      <c r="S86" s="357"/>
    </row>
    <row r="87" spans="1:19" ht="15" customHeight="1" x14ac:dyDescent="0.2">
      <c r="A87" s="68"/>
      <c r="B87" s="68" t="s">
        <v>306</v>
      </c>
      <c r="C87" s="186">
        <v>37061289.140000001</v>
      </c>
      <c r="D87" s="190">
        <v>36482797.650000006</v>
      </c>
      <c r="E87" s="82">
        <v>30118170</v>
      </c>
      <c r="F87" s="238">
        <f t="shared" si="14"/>
        <v>0.82554441928879851</v>
      </c>
      <c r="G87" s="82">
        <v>30118170</v>
      </c>
      <c r="H87" s="362">
        <f t="shared" si="17"/>
        <v>0.82554441928879851</v>
      </c>
      <c r="I87" s="82">
        <v>28290000</v>
      </c>
      <c r="J87" s="550">
        <f t="shared" si="18"/>
        <v>0.77543395304827989</v>
      </c>
      <c r="K87" s="575">
        <v>26656670</v>
      </c>
      <c r="L87" s="238">
        <v>0.85375578188175461</v>
      </c>
      <c r="M87" s="211">
        <f t="shared" si="15"/>
        <v>0.12985492936664622</v>
      </c>
      <c r="N87" s="575">
        <v>26649500</v>
      </c>
      <c r="O87" s="238">
        <v>0.853526142209729</v>
      </c>
      <c r="P87" s="211">
        <f t="shared" si="19"/>
        <v>6.1558378205970099E-2</v>
      </c>
      <c r="Q87" s="332" t="s">
        <v>780</v>
      </c>
      <c r="S87" s="357"/>
    </row>
    <row r="88" spans="1:19" ht="15" customHeight="1" x14ac:dyDescent="0.2">
      <c r="A88" s="70"/>
      <c r="B88" s="70" t="s">
        <v>307</v>
      </c>
      <c r="C88" s="184">
        <v>16869480</v>
      </c>
      <c r="D88" s="188">
        <v>16869480</v>
      </c>
      <c r="E88" s="82">
        <v>16869480</v>
      </c>
      <c r="F88" s="362">
        <f t="shared" si="14"/>
        <v>1</v>
      </c>
      <c r="G88" s="82">
        <v>16869480</v>
      </c>
      <c r="H88" s="362">
        <f t="shared" si="17"/>
        <v>1</v>
      </c>
      <c r="I88" s="82">
        <v>13150000</v>
      </c>
      <c r="J88" s="434">
        <f t="shared" si="18"/>
        <v>0.77951424703073247</v>
      </c>
      <c r="K88" s="394">
        <v>15669752</v>
      </c>
      <c r="L88" s="420">
        <v>1</v>
      </c>
      <c r="M88" s="211">
        <f t="shared" si="15"/>
        <v>7.6563304894678552E-2</v>
      </c>
      <c r="N88" s="394">
        <v>12300000</v>
      </c>
      <c r="O88" s="420">
        <v>0.78495179757790678</v>
      </c>
      <c r="P88" s="211">
        <f t="shared" si="19"/>
        <v>6.9105691056910556E-2</v>
      </c>
      <c r="Q88" s="60" t="s">
        <v>372</v>
      </c>
      <c r="S88" s="357"/>
    </row>
    <row r="89" spans="1:19" ht="15" customHeight="1" x14ac:dyDescent="0.2">
      <c r="A89" s="70"/>
      <c r="B89" s="70" t="s">
        <v>767</v>
      </c>
      <c r="C89" s="184">
        <v>379378.92</v>
      </c>
      <c r="D89" s="188">
        <v>379378.92</v>
      </c>
      <c r="E89" s="82">
        <v>0</v>
      </c>
      <c r="F89" s="362">
        <f>E89/D89</f>
        <v>0</v>
      </c>
      <c r="G89" s="82">
        <v>0</v>
      </c>
      <c r="H89" s="362">
        <f t="shared" si="17"/>
        <v>0</v>
      </c>
      <c r="I89" s="82">
        <v>0</v>
      </c>
      <c r="J89" s="512">
        <f t="shared" si="18"/>
        <v>0</v>
      </c>
      <c r="K89" s="394"/>
      <c r="L89" s="420"/>
      <c r="M89" s="211" t="s">
        <v>129</v>
      </c>
      <c r="N89" s="394"/>
      <c r="O89" s="420"/>
      <c r="P89" s="211" t="s">
        <v>129</v>
      </c>
      <c r="Q89" s="60">
        <v>44411</v>
      </c>
      <c r="S89" s="357"/>
    </row>
    <row r="90" spans="1:19" ht="15" customHeight="1" x14ac:dyDescent="0.2">
      <c r="A90" s="70"/>
      <c r="B90" s="70" t="s">
        <v>788</v>
      </c>
      <c r="C90" s="184">
        <v>0</v>
      </c>
      <c r="D90" s="188">
        <v>2222377.7599999998</v>
      </c>
      <c r="E90" s="82">
        <v>0</v>
      </c>
      <c r="F90" s="362">
        <f>E90/D90</f>
        <v>0</v>
      </c>
      <c r="G90" s="82">
        <v>0</v>
      </c>
      <c r="H90" s="362">
        <f t="shared" si="17"/>
        <v>0</v>
      </c>
      <c r="I90" s="82">
        <v>0</v>
      </c>
      <c r="J90" s="512">
        <f t="shared" si="18"/>
        <v>0</v>
      </c>
      <c r="K90" s="394"/>
      <c r="L90" s="420"/>
      <c r="M90" s="211" t="s">
        <v>129</v>
      </c>
      <c r="N90" s="394"/>
      <c r="O90" s="420"/>
      <c r="P90" s="211" t="s">
        <v>129</v>
      </c>
      <c r="Q90" s="60">
        <v>44412</v>
      </c>
      <c r="S90" s="357"/>
    </row>
    <row r="91" spans="1:19" ht="15" customHeight="1" x14ac:dyDescent="0.2">
      <c r="A91" s="70"/>
      <c r="B91" s="70" t="s">
        <v>308</v>
      </c>
      <c r="C91" s="184">
        <v>57148921</v>
      </c>
      <c r="D91" s="188">
        <v>58027247</v>
      </c>
      <c r="E91" s="82">
        <v>0</v>
      </c>
      <c r="F91" s="362">
        <f t="shared" si="14"/>
        <v>0</v>
      </c>
      <c r="G91" s="82">
        <v>0</v>
      </c>
      <c r="H91" s="362">
        <f t="shared" si="17"/>
        <v>0</v>
      </c>
      <c r="I91" s="82">
        <v>0</v>
      </c>
      <c r="J91" s="512">
        <f t="shared" si="18"/>
        <v>0</v>
      </c>
      <c r="K91" s="394">
        <v>1392910.46</v>
      </c>
      <c r="L91" s="420">
        <v>2.5980500299422782E-2</v>
      </c>
      <c r="M91" s="211">
        <f t="shared" si="15"/>
        <v>-1</v>
      </c>
      <c r="N91" s="394">
        <v>1392910.46</v>
      </c>
      <c r="O91" s="420">
        <v>2.5980500299422782E-2</v>
      </c>
      <c r="P91" s="211">
        <f t="shared" si="19"/>
        <v>-1</v>
      </c>
      <c r="Q91" s="59" t="s">
        <v>373</v>
      </c>
      <c r="S91" s="357"/>
    </row>
    <row r="92" spans="1:19" ht="15" customHeight="1" x14ac:dyDescent="0.2">
      <c r="A92" s="70"/>
      <c r="B92" s="70" t="s">
        <v>309</v>
      </c>
      <c r="C92" s="184">
        <v>2726590</v>
      </c>
      <c r="D92" s="188">
        <v>2726590</v>
      </c>
      <c r="E92" s="82">
        <v>2726590</v>
      </c>
      <c r="F92" s="362">
        <f t="shared" si="14"/>
        <v>1</v>
      </c>
      <c r="G92" s="82">
        <v>2726590</v>
      </c>
      <c r="H92" s="362">
        <f t="shared" si="17"/>
        <v>1</v>
      </c>
      <c r="I92" s="82">
        <v>2726590</v>
      </c>
      <c r="J92" s="434">
        <f t="shared" si="18"/>
        <v>1</v>
      </c>
      <c r="K92" s="394">
        <v>2726590</v>
      </c>
      <c r="L92" s="420">
        <v>1</v>
      </c>
      <c r="M92" s="211">
        <f t="shared" si="15"/>
        <v>0</v>
      </c>
      <c r="N92" s="394">
        <v>2726590</v>
      </c>
      <c r="O92" s="420">
        <v>1</v>
      </c>
      <c r="P92" s="211">
        <f t="shared" si="19"/>
        <v>0</v>
      </c>
      <c r="Q92" s="60" t="s">
        <v>374</v>
      </c>
      <c r="S92" s="357"/>
    </row>
    <row r="93" spans="1:19" ht="15" customHeight="1" x14ac:dyDescent="0.2">
      <c r="A93" s="70"/>
      <c r="B93" s="70" t="s">
        <v>310</v>
      </c>
      <c r="C93" s="184">
        <v>3529897</v>
      </c>
      <c r="D93" s="188">
        <v>6647527.9800000004</v>
      </c>
      <c r="E93" s="82">
        <v>3592520.54</v>
      </c>
      <c r="F93" s="420">
        <f t="shared" si="14"/>
        <v>0.54042954776701813</v>
      </c>
      <c r="G93" s="82">
        <v>3592520.54</v>
      </c>
      <c r="H93" s="420">
        <f t="shared" si="17"/>
        <v>0.54042954776701813</v>
      </c>
      <c r="I93" s="82">
        <v>2483099.58</v>
      </c>
      <c r="J93" s="434">
        <f t="shared" si="18"/>
        <v>0.37353728896978633</v>
      </c>
      <c r="K93" s="394">
        <v>3291822.19</v>
      </c>
      <c r="L93" s="420">
        <v>0.71113767776750481</v>
      </c>
      <c r="M93" s="211">
        <f t="shared" si="15"/>
        <v>9.1347081538447172E-2</v>
      </c>
      <c r="N93" s="394">
        <v>2414173.04</v>
      </c>
      <c r="O93" s="420">
        <v>0.52153771081861422</v>
      </c>
      <c r="P93" s="211">
        <f t="shared" si="19"/>
        <v>2.8550786898026148E-2</v>
      </c>
      <c r="Q93" s="60" t="s">
        <v>375</v>
      </c>
      <c r="S93" s="357"/>
    </row>
    <row r="94" spans="1:19" ht="15" customHeight="1" x14ac:dyDescent="0.2">
      <c r="A94" s="70"/>
      <c r="B94" s="70" t="s">
        <v>311</v>
      </c>
      <c r="C94" s="184">
        <v>0</v>
      </c>
      <c r="D94" s="188">
        <v>0</v>
      </c>
      <c r="E94" s="82">
        <v>0</v>
      </c>
      <c r="F94" s="420" t="s">
        <v>129</v>
      </c>
      <c r="G94" s="82">
        <v>0</v>
      </c>
      <c r="H94" s="420" t="s">
        <v>129</v>
      </c>
      <c r="I94" s="82">
        <v>0</v>
      </c>
      <c r="J94" s="434" t="s">
        <v>129</v>
      </c>
      <c r="K94" s="394"/>
      <c r="L94" s="420" t="s">
        <v>129</v>
      </c>
      <c r="M94" s="587" t="s">
        <v>129</v>
      </c>
      <c r="N94" s="394"/>
      <c r="O94" s="420" t="s">
        <v>129</v>
      </c>
      <c r="P94" s="211" t="s">
        <v>129</v>
      </c>
      <c r="Q94" s="60" t="s">
        <v>376</v>
      </c>
      <c r="S94" s="358"/>
    </row>
    <row r="95" spans="1:19" ht="15" customHeight="1" x14ac:dyDescent="0.2">
      <c r="A95" s="70"/>
      <c r="B95" s="70" t="s">
        <v>312</v>
      </c>
      <c r="C95" s="184">
        <v>0</v>
      </c>
      <c r="D95" s="188">
        <v>0</v>
      </c>
      <c r="E95" s="82">
        <v>0</v>
      </c>
      <c r="F95" s="420" t="s">
        <v>129</v>
      </c>
      <c r="G95" s="82">
        <v>0</v>
      </c>
      <c r="H95" s="420" t="s">
        <v>129</v>
      </c>
      <c r="I95" s="82">
        <v>0</v>
      </c>
      <c r="J95" s="434" t="s">
        <v>129</v>
      </c>
      <c r="K95" s="394"/>
      <c r="L95" s="420" t="s">
        <v>129</v>
      </c>
      <c r="M95" s="587" t="s">
        <v>129</v>
      </c>
      <c r="N95" s="394"/>
      <c r="O95" s="420" t="s">
        <v>129</v>
      </c>
      <c r="P95" s="211" t="s">
        <v>129</v>
      </c>
      <c r="Q95" s="60" t="s">
        <v>377</v>
      </c>
      <c r="S95" s="357"/>
    </row>
    <row r="96" spans="1:19" ht="15" customHeight="1" x14ac:dyDescent="0.2">
      <c r="A96" s="70"/>
      <c r="B96" s="70" t="s">
        <v>313</v>
      </c>
      <c r="C96" s="481">
        <v>6986478</v>
      </c>
      <c r="D96" s="188">
        <v>7686478</v>
      </c>
      <c r="E96" s="82">
        <v>7686478</v>
      </c>
      <c r="F96" s="420">
        <f t="shared" ref="F96" si="20">+E96/D96</f>
        <v>1</v>
      </c>
      <c r="G96" s="82">
        <v>7686478</v>
      </c>
      <c r="H96" s="420">
        <f t="shared" si="17"/>
        <v>1</v>
      </c>
      <c r="I96" s="82">
        <v>7451478</v>
      </c>
      <c r="J96" s="434">
        <f t="shared" si="18"/>
        <v>0.96942682981724526</v>
      </c>
      <c r="K96" s="394">
        <v>7085608.6900000004</v>
      </c>
      <c r="L96" s="420">
        <v>1</v>
      </c>
      <c r="M96" s="587">
        <f t="shared" si="15"/>
        <v>8.4801367996515609E-2</v>
      </c>
      <c r="N96" s="394">
        <v>7035608.6900000004</v>
      </c>
      <c r="O96" s="420">
        <v>0.99294344322590589</v>
      </c>
      <c r="P96" s="211">
        <f t="shared" si="19"/>
        <v>5.9109215467183729E-2</v>
      </c>
      <c r="Q96" s="60" t="s">
        <v>378</v>
      </c>
      <c r="S96" s="358"/>
    </row>
    <row r="97" spans="1:19" ht="15" customHeight="1" x14ac:dyDescent="0.2">
      <c r="A97" s="70"/>
      <c r="B97" s="70" t="s">
        <v>314</v>
      </c>
      <c r="C97" s="184">
        <v>0</v>
      </c>
      <c r="D97" s="188">
        <v>0</v>
      </c>
      <c r="E97" s="82">
        <v>0</v>
      </c>
      <c r="F97" s="420" t="s">
        <v>129</v>
      </c>
      <c r="G97" s="82">
        <v>0</v>
      </c>
      <c r="H97" s="420" t="s">
        <v>129</v>
      </c>
      <c r="I97" s="82">
        <v>0</v>
      </c>
      <c r="J97" s="434" t="s">
        <v>129</v>
      </c>
      <c r="K97" s="394"/>
      <c r="L97" s="420" t="s">
        <v>129</v>
      </c>
      <c r="M97" s="587" t="s">
        <v>129</v>
      </c>
      <c r="N97" s="394"/>
      <c r="O97" s="420" t="s">
        <v>129</v>
      </c>
      <c r="P97" s="211" t="s">
        <v>129</v>
      </c>
      <c r="Q97" s="60" t="s">
        <v>379</v>
      </c>
      <c r="S97" s="357"/>
    </row>
    <row r="98" spans="1:19" ht="15" customHeight="1" x14ac:dyDescent="0.2">
      <c r="A98" s="70"/>
      <c r="B98" s="74" t="s">
        <v>315</v>
      </c>
      <c r="C98" s="184">
        <v>0</v>
      </c>
      <c r="D98" s="188">
        <v>0</v>
      </c>
      <c r="E98" s="82">
        <v>0</v>
      </c>
      <c r="F98" s="420" t="s">
        <v>129</v>
      </c>
      <c r="G98" s="82">
        <v>0</v>
      </c>
      <c r="H98" s="420" t="s">
        <v>129</v>
      </c>
      <c r="I98" s="82">
        <v>0</v>
      </c>
      <c r="J98" s="434" t="s">
        <v>129</v>
      </c>
      <c r="K98" s="394"/>
      <c r="L98" s="420" t="s">
        <v>129</v>
      </c>
      <c r="M98" s="587" t="s">
        <v>129</v>
      </c>
      <c r="N98" s="394"/>
      <c r="O98" s="420" t="s">
        <v>129</v>
      </c>
      <c r="P98" s="211" t="s">
        <v>129</v>
      </c>
      <c r="Q98" s="60" t="s">
        <v>380</v>
      </c>
      <c r="S98" s="357"/>
    </row>
    <row r="99" spans="1:19" ht="15" customHeight="1" x14ac:dyDescent="0.2">
      <c r="A99" s="70"/>
      <c r="B99" s="74" t="s">
        <v>414</v>
      </c>
      <c r="C99" s="184">
        <v>0</v>
      </c>
      <c r="D99" s="188">
        <v>0</v>
      </c>
      <c r="E99" s="82">
        <v>0</v>
      </c>
      <c r="F99" s="420" t="s">
        <v>129</v>
      </c>
      <c r="G99" s="82">
        <v>0</v>
      </c>
      <c r="H99" s="420" t="s">
        <v>129</v>
      </c>
      <c r="I99" s="82">
        <v>0</v>
      </c>
      <c r="J99" s="434" t="s">
        <v>129</v>
      </c>
      <c r="K99" s="394"/>
      <c r="L99" s="420" t="s">
        <v>129</v>
      </c>
      <c r="M99" s="587" t="s">
        <v>129</v>
      </c>
      <c r="N99" s="394"/>
      <c r="O99" s="420" t="s">
        <v>129</v>
      </c>
      <c r="P99" s="211" t="s">
        <v>129</v>
      </c>
      <c r="Q99" s="60">
        <v>44438</v>
      </c>
      <c r="S99" s="357"/>
    </row>
    <row r="100" spans="1:19" ht="15" customHeight="1" x14ac:dyDescent="0.2">
      <c r="A100" s="70"/>
      <c r="B100" s="74" t="s">
        <v>449</v>
      </c>
      <c r="C100" s="184">
        <v>0</v>
      </c>
      <c r="D100" s="188">
        <v>0</v>
      </c>
      <c r="E100" s="82">
        <v>0</v>
      </c>
      <c r="F100" s="420" t="s">
        <v>129</v>
      </c>
      <c r="G100" s="82">
        <v>0</v>
      </c>
      <c r="H100" s="420" t="s">
        <v>129</v>
      </c>
      <c r="I100" s="82">
        <v>0</v>
      </c>
      <c r="J100" s="434" t="s">
        <v>129</v>
      </c>
      <c r="K100" s="394"/>
      <c r="L100" s="420" t="s">
        <v>129</v>
      </c>
      <c r="M100" s="588" t="s">
        <v>129</v>
      </c>
      <c r="N100" s="394"/>
      <c r="O100" s="420" t="s">
        <v>129</v>
      </c>
      <c r="P100" s="211" t="s">
        <v>129</v>
      </c>
      <c r="Q100" s="60" t="s">
        <v>462</v>
      </c>
      <c r="S100" s="357"/>
    </row>
    <row r="101" spans="1:19" ht="15" customHeight="1" x14ac:dyDescent="0.2">
      <c r="A101" s="70"/>
      <c r="B101" s="70" t="s">
        <v>316</v>
      </c>
      <c r="C101" s="184">
        <v>11864168</v>
      </c>
      <c r="D101" s="188">
        <v>11973361</v>
      </c>
      <c r="E101" s="82">
        <v>0</v>
      </c>
      <c r="F101" s="420">
        <f t="shared" ref="F101:F104" si="21">+E101/D101</f>
        <v>0</v>
      </c>
      <c r="G101" s="82">
        <v>0</v>
      </c>
      <c r="H101" s="420">
        <f t="shared" ref="H101:H104" si="22">+G101/D101</f>
        <v>0</v>
      </c>
      <c r="I101" s="82">
        <v>0</v>
      </c>
      <c r="J101" s="434">
        <f t="shared" ref="J101:J104" si="23">I101/D101</f>
        <v>0</v>
      </c>
      <c r="K101" s="394">
        <v>0</v>
      </c>
      <c r="L101" s="420">
        <v>0</v>
      </c>
      <c r="M101" s="587" t="s">
        <v>129</v>
      </c>
      <c r="N101" s="394">
        <v>0</v>
      </c>
      <c r="O101" s="420">
        <v>0</v>
      </c>
      <c r="P101" s="211" t="s">
        <v>129</v>
      </c>
      <c r="Q101" s="60" t="s">
        <v>382</v>
      </c>
      <c r="S101" s="358"/>
    </row>
    <row r="102" spans="1:19" ht="15" customHeight="1" x14ac:dyDescent="0.2">
      <c r="A102" s="70"/>
      <c r="B102" s="70" t="s">
        <v>317</v>
      </c>
      <c r="C102" s="184">
        <v>3884039.66</v>
      </c>
      <c r="D102" s="188">
        <v>3884039.66</v>
      </c>
      <c r="E102" s="82">
        <v>3884039.66</v>
      </c>
      <c r="F102" s="420">
        <f t="shared" si="21"/>
        <v>1</v>
      </c>
      <c r="G102" s="71">
        <v>3884039.66</v>
      </c>
      <c r="H102" s="420">
        <f t="shared" si="22"/>
        <v>1</v>
      </c>
      <c r="I102" s="71">
        <v>1408186.29</v>
      </c>
      <c r="J102" s="434">
        <f t="shared" si="23"/>
        <v>0.36255713465088563</v>
      </c>
      <c r="K102" s="394">
        <v>3884039.66</v>
      </c>
      <c r="L102" s="420">
        <v>1</v>
      </c>
      <c r="M102" s="588">
        <f t="shared" si="15"/>
        <v>0</v>
      </c>
      <c r="N102" s="394">
        <v>1749847.67</v>
      </c>
      <c r="O102" s="420">
        <v>0.45052260614661177</v>
      </c>
      <c r="P102" s="211">
        <f t="shared" ref="P102" si="24">+I102/N102-1</f>
        <v>-0.19525207014162549</v>
      </c>
      <c r="Q102" s="60" t="s">
        <v>383</v>
      </c>
      <c r="S102" s="358"/>
    </row>
    <row r="103" spans="1:19" ht="15" customHeight="1" x14ac:dyDescent="0.2">
      <c r="A103" s="79"/>
      <c r="B103" s="123" t="s">
        <v>381</v>
      </c>
      <c r="C103" s="184">
        <v>0</v>
      </c>
      <c r="D103" s="188">
        <v>0</v>
      </c>
      <c r="E103" s="82">
        <v>0</v>
      </c>
      <c r="F103" s="130" t="s">
        <v>129</v>
      </c>
      <c r="G103" s="82">
        <v>0</v>
      </c>
      <c r="H103" s="414" t="s">
        <v>129</v>
      </c>
      <c r="I103" s="82">
        <v>0</v>
      </c>
      <c r="J103" s="434" t="s">
        <v>129</v>
      </c>
      <c r="K103" s="394">
        <v>0</v>
      </c>
      <c r="L103" s="243" t="s">
        <v>129</v>
      </c>
      <c r="M103" s="587" t="s">
        <v>129</v>
      </c>
      <c r="N103" s="394"/>
      <c r="O103" s="243" t="s">
        <v>129</v>
      </c>
      <c r="P103" s="211" t="s">
        <v>129</v>
      </c>
      <c r="Q103" s="122" t="s">
        <v>384</v>
      </c>
      <c r="S103" s="358"/>
    </row>
    <row r="104" spans="1:19" ht="15" customHeight="1" x14ac:dyDescent="0.2">
      <c r="A104" s="72"/>
      <c r="B104" s="72" t="s">
        <v>318</v>
      </c>
      <c r="C104" s="185">
        <v>2068219.33</v>
      </c>
      <c r="D104" s="189">
        <v>2114119.62</v>
      </c>
      <c r="E104" s="73">
        <v>2064246.72</v>
      </c>
      <c r="F104" s="508">
        <f t="shared" si="21"/>
        <v>0.97640961300004392</v>
      </c>
      <c r="G104" s="73">
        <v>2064246.72</v>
      </c>
      <c r="H104" s="508">
        <f t="shared" si="22"/>
        <v>0.97640961300004392</v>
      </c>
      <c r="I104" s="73">
        <v>1164650.32</v>
      </c>
      <c r="J104" s="435">
        <f t="shared" si="23"/>
        <v>0.55089140131058434</v>
      </c>
      <c r="K104" s="576">
        <v>1871829.08</v>
      </c>
      <c r="L104" s="421">
        <v>1</v>
      </c>
      <c r="M104" s="583">
        <f t="shared" si="15"/>
        <v>0.10279658653449264</v>
      </c>
      <c r="N104" s="576">
        <v>998125.32</v>
      </c>
      <c r="O104" s="421">
        <v>0.53323528876899373</v>
      </c>
      <c r="P104" s="211" t="s">
        <v>129</v>
      </c>
      <c r="Q104" s="60" t="s">
        <v>385</v>
      </c>
      <c r="S104" s="357"/>
    </row>
    <row r="105" spans="1:19" ht="15" customHeight="1" x14ac:dyDescent="0.2">
      <c r="A105" s="55"/>
      <c r="B105" s="55" t="s">
        <v>463</v>
      </c>
      <c r="C105" s="489">
        <v>4677000</v>
      </c>
      <c r="D105" s="396">
        <v>5055000</v>
      </c>
      <c r="E105" s="82">
        <v>5055000</v>
      </c>
      <c r="F105" s="423">
        <f>+E105/D105</f>
        <v>1</v>
      </c>
      <c r="G105" s="80">
        <v>5055000</v>
      </c>
      <c r="H105" s="423">
        <f>+G105/D105</f>
        <v>1</v>
      </c>
      <c r="I105" s="56">
        <v>4750000</v>
      </c>
      <c r="J105" s="438">
        <f>I105/D105</f>
        <v>0.93966369930761617</v>
      </c>
      <c r="K105" s="596">
        <v>5871140.4000000004</v>
      </c>
      <c r="L105" s="421">
        <v>0.93368468681138228</v>
      </c>
      <c r="M105" s="589">
        <f t="shared" si="15"/>
        <v>-0.13900883719285617</v>
      </c>
      <c r="N105" s="596">
        <v>5871140.4000000004</v>
      </c>
      <c r="O105" s="421">
        <v>0.93368468681138228</v>
      </c>
      <c r="P105" s="589">
        <f t="shared" ref="P105" si="25">+I105/N105-1</f>
        <v>-0.19095785888547312</v>
      </c>
      <c r="Q105" s="60">
        <v>44453</v>
      </c>
      <c r="R105" s="46"/>
      <c r="S105" s="358"/>
    </row>
    <row r="106" spans="1:19" ht="15" customHeight="1" x14ac:dyDescent="0.2">
      <c r="A106" s="68"/>
      <c r="B106" s="544" t="s">
        <v>363</v>
      </c>
      <c r="C106" s="546">
        <v>0</v>
      </c>
      <c r="D106" s="533">
        <v>0</v>
      </c>
      <c r="E106" s="548">
        <v>0</v>
      </c>
      <c r="F106" s="549" t="s">
        <v>129</v>
      </c>
      <c r="G106" s="548">
        <v>0</v>
      </c>
      <c r="H106" s="549" t="s">
        <v>129</v>
      </c>
      <c r="I106" s="548">
        <v>0</v>
      </c>
      <c r="J106" s="550" t="s">
        <v>129</v>
      </c>
      <c r="K106" s="560"/>
      <c r="L106" s="549" t="s">
        <v>129</v>
      </c>
      <c r="M106" s="590" t="s">
        <v>129</v>
      </c>
      <c r="N106" s="560"/>
      <c r="O106" s="549" t="s">
        <v>129</v>
      </c>
      <c r="P106" s="590" t="s">
        <v>129</v>
      </c>
      <c r="Q106" s="60">
        <v>449</v>
      </c>
      <c r="R106" s="476"/>
      <c r="S106" s="358"/>
    </row>
    <row r="107" spans="1:19" ht="15" customHeight="1" x14ac:dyDescent="0.2">
      <c r="A107" s="126"/>
      <c r="B107" s="545" t="s">
        <v>344</v>
      </c>
      <c r="C107" s="192">
        <f>SUM(C71:C106)</f>
        <v>620667325.52999997</v>
      </c>
      <c r="D107" s="547">
        <f>SUM(D71:D106)</f>
        <v>653100238.12999988</v>
      </c>
      <c r="E107" s="127">
        <f>SUM(E71:E106)</f>
        <v>566066821.07999992</v>
      </c>
      <c r="F107" s="426">
        <f>E107/D107</f>
        <v>0.8667380411631761</v>
      </c>
      <c r="G107" s="127">
        <f>SUM(G71:G106)</f>
        <v>566066821.07999992</v>
      </c>
      <c r="H107" s="426">
        <f>+G107/D107</f>
        <v>0.8667380411631761</v>
      </c>
      <c r="I107" s="127">
        <f>SUM(I71:I106)</f>
        <v>462926413.58999997</v>
      </c>
      <c r="J107" s="436">
        <f>I107/D107</f>
        <v>0.70881372653527386</v>
      </c>
      <c r="K107" s="597">
        <v>531455643.63999993</v>
      </c>
      <c r="L107" s="426">
        <v>0.87498991448180818</v>
      </c>
      <c r="M107" s="591">
        <f t="shared" si="15"/>
        <v>6.5125242067134881E-2</v>
      </c>
      <c r="N107" s="597">
        <v>469687803.1699999</v>
      </c>
      <c r="O107" s="426">
        <v>0.77329518586738899</v>
      </c>
      <c r="P107" s="591">
        <f>+I107/N107-1</f>
        <v>-1.4395497465265694E-2</v>
      </c>
      <c r="S107" s="358"/>
    </row>
    <row r="108" spans="1:19" ht="15.75" thickBot="1" x14ac:dyDescent="0.3">
      <c r="A108" s="7" t="s">
        <v>233</v>
      </c>
    </row>
    <row r="109" spans="1:19" x14ac:dyDescent="0.2">
      <c r="A109" s="8" t="s">
        <v>290</v>
      </c>
      <c r="C109" s="164" t="s">
        <v>765</v>
      </c>
      <c r="D109" s="754" t="s">
        <v>784</v>
      </c>
      <c r="E109" s="752"/>
      <c r="F109" s="752"/>
      <c r="G109" s="752"/>
      <c r="H109" s="752"/>
      <c r="I109" s="752"/>
      <c r="J109" s="753"/>
      <c r="K109" s="760" t="s">
        <v>785</v>
      </c>
      <c r="L109" s="761"/>
      <c r="M109" s="761"/>
      <c r="N109" s="761"/>
      <c r="O109" s="761"/>
      <c r="P109" s="762"/>
    </row>
    <row r="110" spans="1:19" x14ac:dyDescent="0.2">
      <c r="C110" s="157">
        <v>1</v>
      </c>
      <c r="D110" s="148">
        <v>2</v>
      </c>
      <c r="E110" s="87">
        <v>3</v>
      </c>
      <c r="F110" s="88" t="s">
        <v>36</v>
      </c>
      <c r="G110" s="87">
        <v>4</v>
      </c>
      <c r="H110" s="88" t="s">
        <v>37</v>
      </c>
      <c r="I110" s="87">
        <v>5</v>
      </c>
      <c r="J110" s="149" t="s">
        <v>38</v>
      </c>
      <c r="K110" s="87" t="s">
        <v>543</v>
      </c>
      <c r="L110" s="88" t="s">
        <v>544</v>
      </c>
      <c r="M110" s="88" t="s">
        <v>545</v>
      </c>
      <c r="N110" s="87" t="s">
        <v>39</v>
      </c>
      <c r="O110" s="88" t="s">
        <v>40</v>
      </c>
      <c r="P110" s="149" t="s">
        <v>362</v>
      </c>
    </row>
    <row r="111" spans="1:19" ht="25.5" x14ac:dyDescent="0.2">
      <c r="A111" s="1"/>
      <c r="B111" s="2" t="s">
        <v>150</v>
      </c>
      <c r="C111" s="158" t="s">
        <v>13</v>
      </c>
      <c r="D111" s="112" t="s">
        <v>350</v>
      </c>
      <c r="E111" s="89" t="s">
        <v>15</v>
      </c>
      <c r="F111" s="89" t="s">
        <v>18</v>
      </c>
      <c r="G111" s="89" t="s">
        <v>16</v>
      </c>
      <c r="H111" s="89" t="s">
        <v>18</v>
      </c>
      <c r="I111" s="89" t="s">
        <v>17</v>
      </c>
      <c r="J111" s="113" t="s">
        <v>18</v>
      </c>
      <c r="K111" s="89" t="s">
        <v>16</v>
      </c>
      <c r="L111" s="89" t="s">
        <v>18</v>
      </c>
      <c r="M111" s="89" t="s">
        <v>764</v>
      </c>
      <c r="N111" s="557" t="s">
        <v>17</v>
      </c>
      <c r="O111" s="89" t="s">
        <v>18</v>
      </c>
      <c r="P111" s="580" t="s">
        <v>764</v>
      </c>
      <c r="Q111" s="58" t="s">
        <v>163</v>
      </c>
      <c r="S111" s="358"/>
    </row>
    <row r="112" spans="1:19" ht="15" customHeight="1" x14ac:dyDescent="0.2">
      <c r="A112" s="81"/>
      <c r="B112" s="240" t="s">
        <v>429</v>
      </c>
      <c r="C112" s="186">
        <v>2000000</v>
      </c>
      <c r="D112" s="464">
        <v>3202937.88</v>
      </c>
      <c r="E112" s="82">
        <v>3202937.8</v>
      </c>
      <c r="F112" s="362">
        <f>+E112/D112</f>
        <v>0.99999997502293114</v>
      </c>
      <c r="G112" s="82">
        <v>3202937.8</v>
      </c>
      <c r="H112" s="362">
        <f>+G112/D112</f>
        <v>0.99999997502293114</v>
      </c>
      <c r="I112" s="82">
        <v>3202937.8</v>
      </c>
      <c r="J112" s="278">
        <f>I112/D112</f>
        <v>0.99999997502293114</v>
      </c>
      <c r="K112" s="598">
        <v>3702332.32</v>
      </c>
      <c r="L112" s="362">
        <v>0.57559080188462541</v>
      </c>
      <c r="M112" s="653">
        <f t="shared" si="15"/>
        <v>-0.1348864652970968</v>
      </c>
      <c r="N112" s="598">
        <v>3702332.32</v>
      </c>
      <c r="O112" s="362">
        <v>0.57559080188462541</v>
      </c>
      <c r="P112" s="653">
        <f>+I112/N112-1</f>
        <v>-0.1348864652970968</v>
      </c>
      <c r="Q112" s="122" t="s">
        <v>450</v>
      </c>
      <c r="S112" s="358"/>
    </row>
    <row r="113" spans="1:19" ht="15" customHeight="1" x14ac:dyDescent="0.2">
      <c r="A113" s="70"/>
      <c r="B113" s="241" t="s">
        <v>396</v>
      </c>
      <c r="C113" s="186">
        <v>105000</v>
      </c>
      <c r="D113" s="464">
        <v>87568.43</v>
      </c>
      <c r="E113" s="82">
        <v>87568.43</v>
      </c>
      <c r="F113" s="362">
        <f>+E113/D113</f>
        <v>1</v>
      </c>
      <c r="G113" s="82">
        <v>87568.43</v>
      </c>
      <c r="H113" s="362">
        <f>+G113/D113</f>
        <v>1</v>
      </c>
      <c r="I113" s="82">
        <v>3917.29</v>
      </c>
      <c r="J113" s="278">
        <f>I113/D113</f>
        <v>4.4734043992795125E-2</v>
      </c>
      <c r="K113" s="598">
        <v>109275.87</v>
      </c>
      <c r="L113" s="362">
        <v>1</v>
      </c>
      <c r="M113" s="653">
        <f t="shared" si="15"/>
        <v>-0.1986480638406265</v>
      </c>
      <c r="N113" s="598">
        <v>33052.71</v>
      </c>
      <c r="O113" s="362">
        <v>0.30247034409334833</v>
      </c>
      <c r="P113" s="592" t="s">
        <v>129</v>
      </c>
      <c r="Q113" s="122">
        <v>46101</v>
      </c>
      <c r="S113" s="358"/>
    </row>
    <row r="114" spans="1:19" ht="15" customHeight="1" x14ac:dyDescent="0.2">
      <c r="A114" s="70"/>
      <c r="B114" s="241" t="s">
        <v>411</v>
      </c>
      <c r="C114" s="186">
        <v>0</v>
      </c>
      <c r="D114" s="464">
        <v>0</v>
      </c>
      <c r="E114" s="82">
        <v>0</v>
      </c>
      <c r="F114" s="420" t="s">
        <v>129</v>
      </c>
      <c r="G114" s="82">
        <v>0</v>
      </c>
      <c r="H114" s="362" t="s">
        <v>129</v>
      </c>
      <c r="I114" s="82">
        <v>0</v>
      </c>
      <c r="J114" s="278" t="s">
        <v>129</v>
      </c>
      <c r="K114" s="394"/>
      <c r="L114" s="362" t="s">
        <v>129</v>
      </c>
      <c r="M114" s="587" t="s">
        <v>129</v>
      </c>
      <c r="N114" s="394"/>
      <c r="O114" s="362" t="s">
        <v>129</v>
      </c>
      <c r="P114" s="587" t="s">
        <v>129</v>
      </c>
      <c r="Q114" s="122">
        <v>46102</v>
      </c>
      <c r="S114" s="358"/>
    </row>
    <row r="115" spans="1:19" ht="15" customHeight="1" x14ac:dyDescent="0.2">
      <c r="A115" s="81"/>
      <c r="B115" s="240" t="s">
        <v>426</v>
      </c>
      <c r="C115" s="186">
        <v>0</v>
      </c>
      <c r="D115" s="464">
        <v>0</v>
      </c>
      <c r="E115" s="82">
        <v>0</v>
      </c>
      <c r="F115" s="420" t="s">
        <v>129</v>
      </c>
      <c r="G115" s="82">
        <v>0</v>
      </c>
      <c r="H115" s="362" t="s">
        <v>129</v>
      </c>
      <c r="I115" s="82">
        <v>0</v>
      </c>
      <c r="J115" s="278" t="s">
        <v>129</v>
      </c>
      <c r="K115" s="577"/>
      <c r="L115" s="362" t="s">
        <v>129</v>
      </c>
      <c r="M115" s="587" t="s">
        <v>129</v>
      </c>
      <c r="N115" s="577"/>
      <c r="O115" s="362" t="s">
        <v>129</v>
      </c>
      <c r="P115" s="587" t="s">
        <v>129</v>
      </c>
      <c r="Q115" s="122">
        <v>462</v>
      </c>
      <c r="S115" s="358"/>
    </row>
    <row r="116" spans="1:19" ht="15" customHeight="1" x14ac:dyDescent="0.2">
      <c r="A116" s="81"/>
      <c r="B116" s="81" t="s">
        <v>319</v>
      </c>
      <c r="C116" s="186">
        <v>0</v>
      </c>
      <c r="D116" s="464">
        <v>0</v>
      </c>
      <c r="E116" s="82">
        <v>0</v>
      </c>
      <c r="F116" s="78" t="s">
        <v>129</v>
      </c>
      <c r="G116" s="82">
        <v>0</v>
      </c>
      <c r="H116" s="78" t="s">
        <v>129</v>
      </c>
      <c r="I116" s="82">
        <v>0</v>
      </c>
      <c r="J116" s="172" t="s">
        <v>129</v>
      </c>
      <c r="K116" s="577"/>
      <c r="L116" s="78" t="s">
        <v>129</v>
      </c>
      <c r="M116" s="587" t="s">
        <v>129</v>
      </c>
      <c r="N116" s="577"/>
      <c r="O116" s="78" t="s">
        <v>129</v>
      </c>
      <c r="P116" s="587" t="s">
        <v>129</v>
      </c>
      <c r="Q116" s="60">
        <v>463</v>
      </c>
      <c r="S116" s="358"/>
    </row>
    <row r="117" spans="1:19" ht="15" customHeight="1" x14ac:dyDescent="0.2">
      <c r="A117" s="70"/>
      <c r="B117" s="70" t="s">
        <v>320</v>
      </c>
      <c r="C117" s="186">
        <v>0</v>
      </c>
      <c r="D117" s="464">
        <v>398251.18</v>
      </c>
      <c r="E117" s="82">
        <v>398251.18</v>
      </c>
      <c r="F117" s="420">
        <f>+E117/D117</f>
        <v>1</v>
      </c>
      <c r="G117" s="82">
        <v>398251.18</v>
      </c>
      <c r="H117" s="420">
        <f>+G117/D117</f>
        <v>1</v>
      </c>
      <c r="I117" s="82">
        <v>398251.18</v>
      </c>
      <c r="J117" s="434">
        <f>I117/D117</f>
        <v>1</v>
      </c>
      <c r="K117" s="394">
        <v>3588230.96</v>
      </c>
      <c r="L117" s="420">
        <v>0.68814366729411813</v>
      </c>
      <c r="M117" s="587">
        <f t="shared" si="15"/>
        <v>-0.88901183217035729</v>
      </c>
      <c r="N117" s="394">
        <v>3588230.96</v>
      </c>
      <c r="O117" s="420">
        <v>0.68814366729411813</v>
      </c>
      <c r="P117" s="587">
        <f>+I117/N117-1</f>
        <v>-0.88901183217035729</v>
      </c>
      <c r="Q117" s="60">
        <v>46401</v>
      </c>
      <c r="S117" s="358"/>
    </row>
    <row r="118" spans="1:19" ht="15" customHeight="1" x14ac:dyDescent="0.2">
      <c r="A118" s="70"/>
      <c r="B118" s="70" t="s">
        <v>321</v>
      </c>
      <c r="C118" s="186">
        <v>1997000</v>
      </c>
      <c r="D118" s="464">
        <v>926729.44</v>
      </c>
      <c r="E118" s="82">
        <v>110000</v>
      </c>
      <c r="F118" s="420">
        <f t="shared" ref="F118:F126" si="26">+E118/D118</f>
        <v>0.11869699531720931</v>
      </c>
      <c r="G118" s="82">
        <v>110000</v>
      </c>
      <c r="H118" s="420">
        <f t="shared" ref="H118:H122" si="27">+G118/D118</f>
        <v>0.11869699531720931</v>
      </c>
      <c r="I118" s="82">
        <v>0</v>
      </c>
      <c r="J118" s="434">
        <f t="shared" ref="J118:J125" si="28">I118/D118</f>
        <v>0</v>
      </c>
      <c r="K118" s="394">
        <v>110000</v>
      </c>
      <c r="L118" s="420">
        <v>5.2206929283341245E-2</v>
      </c>
      <c r="M118" s="587">
        <f t="shared" si="15"/>
        <v>0</v>
      </c>
      <c r="N118" s="394">
        <v>24208.2</v>
      </c>
      <c r="O118" s="420">
        <v>1.1489416231608924E-2</v>
      </c>
      <c r="P118" s="587" t="s">
        <v>129</v>
      </c>
      <c r="Q118" s="60">
        <v>46410</v>
      </c>
      <c r="S118" s="358"/>
    </row>
    <row r="119" spans="1:19" ht="15" customHeight="1" x14ac:dyDescent="0.2">
      <c r="A119" s="72"/>
      <c r="B119" s="72" t="s">
        <v>322</v>
      </c>
      <c r="C119" s="185">
        <v>108534406.23999999</v>
      </c>
      <c r="D119" s="490">
        <v>108529136.23999999</v>
      </c>
      <c r="E119" s="82">
        <v>108498218.28</v>
      </c>
      <c r="F119" s="421">
        <f t="shared" si="26"/>
        <v>0.99971511834451887</v>
      </c>
      <c r="G119" s="82">
        <v>108498218.28</v>
      </c>
      <c r="H119" s="421">
        <f t="shared" si="27"/>
        <v>0.99971511834451887</v>
      </c>
      <c r="I119" s="82">
        <v>95289465.310000002</v>
      </c>
      <c r="J119" s="435">
        <f t="shared" si="28"/>
        <v>0.87800814243354941</v>
      </c>
      <c r="K119" s="576">
        <v>93064859.920000002</v>
      </c>
      <c r="L119" s="421">
        <v>0.77022604055312804</v>
      </c>
      <c r="M119" s="583">
        <f t="shared" si="15"/>
        <v>0.16583443389123187</v>
      </c>
      <c r="N119" s="576">
        <v>82700256.010000005</v>
      </c>
      <c r="O119" s="421">
        <v>0.68444621089064162</v>
      </c>
      <c r="P119" s="583">
        <f>+I119/N119-1</f>
        <v>0.15222696890415577</v>
      </c>
      <c r="Q119" s="60" t="s">
        <v>328</v>
      </c>
      <c r="S119" s="358"/>
    </row>
    <row r="120" spans="1:19" ht="15" customHeight="1" x14ac:dyDescent="0.2">
      <c r="A120" s="63"/>
      <c r="B120" s="63" t="s">
        <v>323</v>
      </c>
      <c r="C120" s="489">
        <v>0</v>
      </c>
      <c r="D120" s="491">
        <v>0</v>
      </c>
      <c r="E120" s="64">
        <v>0</v>
      </c>
      <c r="F120" s="423" t="s">
        <v>129</v>
      </c>
      <c r="G120" s="64">
        <v>0</v>
      </c>
      <c r="H120" s="423" t="s">
        <v>129</v>
      </c>
      <c r="I120" s="64">
        <v>0</v>
      </c>
      <c r="J120" s="437" t="s">
        <v>129</v>
      </c>
      <c r="K120" s="596">
        <v>0</v>
      </c>
      <c r="L120" s="423" t="s">
        <v>129</v>
      </c>
      <c r="M120" s="583" t="s">
        <v>129</v>
      </c>
      <c r="N120" s="596">
        <v>0</v>
      </c>
      <c r="O120" s="423" t="s">
        <v>129</v>
      </c>
      <c r="P120" s="583" t="s">
        <v>129</v>
      </c>
      <c r="Q120" s="60">
        <v>465</v>
      </c>
      <c r="S120" s="358"/>
    </row>
    <row r="121" spans="1:19" ht="15" customHeight="1" x14ac:dyDescent="0.2">
      <c r="A121" s="68"/>
      <c r="B121" s="68" t="s">
        <v>324</v>
      </c>
      <c r="C121" s="186">
        <v>132984242.02</v>
      </c>
      <c r="D121" s="464">
        <v>136665156.41999999</v>
      </c>
      <c r="E121" s="71">
        <v>136665156.41999999</v>
      </c>
      <c r="F121" s="362">
        <f t="shared" si="26"/>
        <v>1</v>
      </c>
      <c r="G121" s="71">
        <v>136665156.41999999</v>
      </c>
      <c r="H121" s="362">
        <f t="shared" si="27"/>
        <v>1</v>
      </c>
      <c r="I121" s="71">
        <v>99719278.010000005</v>
      </c>
      <c r="J121" s="239">
        <f t="shared" si="28"/>
        <v>0.72966131691637814</v>
      </c>
      <c r="K121" s="575">
        <v>110924325</v>
      </c>
      <c r="L121" s="238">
        <v>0.8602475525773301</v>
      </c>
      <c r="M121" s="586">
        <f t="shared" si="15"/>
        <v>0.2320575889914136</v>
      </c>
      <c r="N121" s="575">
        <v>107451164.08</v>
      </c>
      <c r="O121" s="238">
        <v>0.83331226871477571</v>
      </c>
      <c r="P121" s="586">
        <f>+I121/N121-1</f>
        <v>-7.1957210852024001E-2</v>
      </c>
      <c r="Q121" s="60">
        <v>46701</v>
      </c>
      <c r="S121" s="358"/>
    </row>
    <row r="122" spans="1:19" ht="15" customHeight="1" x14ac:dyDescent="0.2">
      <c r="A122" s="70"/>
      <c r="B122" s="70" t="s">
        <v>325</v>
      </c>
      <c r="C122" s="186">
        <v>69600900.939999998</v>
      </c>
      <c r="D122" s="464">
        <v>71249409.950000003</v>
      </c>
      <c r="E122" s="71">
        <v>71237894.950000003</v>
      </c>
      <c r="F122" s="420">
        <f t="shared" si="26"/>
        <v>0.9998383846265102</v>
      </c>
      <c r="G122" s="71">
        <v>71237894.950000003</v>
      </c>
      <c r="H122" s="420">
        <f t="shared" si="27"/>
        <v>0.9998383846265102</v>
      </c>
      <c r="I122" s="71">
        <v>57969910.68</v>
      </c>
      <c r="J122" s="434">
        <f t="shared" si="28"/>
        <v>0.81361951938522681</v>
      </c>
      <c r="K122" s="394">
        <v>66687311.920000002</v>
      </c>
      <c r="L122" s="420">
        <v>0.97514158763852754</v>
      </c>
      <c r="M122" s="587">
        <f t="shared" si="15"/>
        <v>6.8237613707672118E-2</v>
      </c>
      <c r="N122" s="394">
        <v>62742665.369999997</v>
      </c>
      <c r="O122" s="420">
        <v>0.91746061672078649</v>
      </c>
      <c r="P122" s="587">
        <f>+I122/N122-1</f>
        <v>-7.6068727107058143E-2</v>
      </c>
      <c r="Q122" s="60">
        <v>46703</v>
      </c>
      <c r="S122" s="358"/>
    </row>
    <row r="123" spans="1:19" ht="15" customHeight="1" x14ac:dyDescent="0.2">
      <c r="A123" s="70"/>
      <c r="B123" s="70" t="s">
        <v>336</v>
      </c>
      <c r="C123" s="186">
        <v>0</v>
      </c>
      <c r="D123" s="464">
        <v>0</v>
      </c>
      <c r="E123" s="71">
        <v>0</v>
      </c>
      <c r="F123" s="420" t="s">
        <v>129</v>
      </c>
      <c r="G123" s="71">
        <v>0</v>
      </c>
      <c r="H123" s="420" t="s">
        <v>129</v>
      </c>
      <c r="I123" s="71">
        <v>0</v>
      </c>
      <c r="J123" s="434" t="s">
        <v>129</v>
      </c>
      <c r="K123" s="394"/>
      <c r="L123" s="420" t="s">
        <v>129</v>
      </c>
      <c r="M123" s="587" t="s">
        <v>129</v>
      </c>
      <c r="N123" s="394"/>
      <c r="O123" s="420" t="s">
        <v>129</v>
      </c>
      <c r="P123" s="587" t="s">
        <v>129</v>
      </c>
      <c r="Q123" s="60" t="s">
        <v>393</v>
      </c>
      <c r="S123" s="358"/>
    </row>
    <row r="124" spans="1:19" ht="15" customHeight="1" x14ac:dyDescent="0.2">
      <c r="A124" s="70"/>
      <c r="B124" s="70" t="s">
        <v>337</v>
      </c>
      <c r="C124" s="186">
        <v>1142000</v>
      </c>
      <c r="D124" s="464">
        <v>1142000</v>
      </c>
      <c r="E124" s="71">
        <v>1142000</v>
      </c>
      <c r="F124" s="420">
        <f t="shared" si="26"/>
        <v>1</v>
      </c>
      <c r="G124" s="71">
        <v>1142000</v>
      </c>
      <c r="H124" s="420">
        <f t="shared" ref="H124:H126" si="29">+G124/D124</f>
        <v>1</v>
      </c>
      <c r="I124" s="71">
        <v>1045000</v>
      </c>
      <c r="J124" s="434">
        <f t="shared" si="28"/>
        <v>0.91506129597197894</v>
      </c>
      <c r="K124" s="394">
        <v>1627000</v>
      </c>
      <c r="L124" s="420">
        <v>0.80783866662429693</v>
      </c>
      <c r="M124" s="587">
        <f t="shared" si="15"/>
        <v>-0.29809465273509528</v>
      </c>
      <c r="N124" s="394">
        <v>1627000</v>
      </c>
      <c r="O124" s="420">
        <v>0.80783866662429693</v>
      </c>
      <c r="P124" s="587">
        <f>+I124/N124-1</f>
        <v>-0.35771358328211433</v>
      </c>
      <c r="Q124" s="60" t="s">
        <v>394</v>
      </c>
      <c r="S124" s="358"/>
    </row>
    <row r="125" spans="1:19" ht="15" customHeight="1" x14ac:dyDescent="0.2">
      <c r="A125" s="70"/>
      <c r="B125" s="70" t="s">
        <v>335</v>
      </c>
      <c r="C125" s="186">
        <v>421003.62</v>
      </c>
      <c r="D125" s="464">
        <v>421003.62</v>
      </c>
      <c r="E125" s="71">
        <v>421003.62</v>
      </c>
      <c r="F125" s="420">
        <f t="shared" si="26"/>
        <v>1</v>
      </c>
      <c r="G125" s="71">
        <v>421003.62</v>
      </c>
      <c r="H125" s="420">
        <f t="shared" si="29"/>
        <v>1</v>
      </c>
      <c r="I125" s="71">
        <v>0</v>
      </c>
      <c r="J125" s="434">
        <f t="shared" si="28"/>
        <v>0</v>
      </c>
      <c r="K125" s="394">
        <v>271003.62</v>
      </c>
      <c r="L125" s="420">
        <v>1</v>
      </c>
      <c r="M125" s="587">
        <f t="shared" si="15"/>
        <v>0.55349814146394061</v>
      </c>
      <c r="N125" s="394">
        <v>271003.62</v>
      </c>
      <c r="O125" s="420">
        <v>1</v>
      </c>
      <c r="P125" s="587" t="s">
        <v>129</v>
      </c>
      <c r="Q125" s="60" t="s">
        <v>389</v>
      </c>
      <c r="S125" s="358"/>
    </row>
    <row r="126" spans="1:19" ht="15" customHeight="1" x14ac:dyDescent="0.2">
      <c r="A126" s="70"/>
      <c r="B126" s="70" t="s">
        <v>332</v>
      </c>
      <c r="C126" s="186">
        <v>17276353.23</v>
      </c>
      <c r="D126" s="464">
        <v>17276353.23</v>
      </c>
      <c r="E126" s="71">
        <v>17276353.23</v>
      </c>
      <c r="F126" s="420">
        <f t="shared" si="26"/>
        <v>1</v>
      </c>
      <c r="G126" s="71">
        <v>17276353.23</v>
      </c>
      <c r="H126" s="420">
        <f t="shared" si="29"/>
        <v>1</v>
      </c>
      <c r="I126" s="71">
        <v>12957264.9</v>
      </c>
      <c r="J126" s="434">
        <f>I126/D126</f>
        <v>0.74999999869764178</v>
      </c>
      <c r="K126" s="394">
        <v>18336731.300000001</v>
      </c>
      <c r="L126" s="420">
        <v>0.98832874286703287</v>
      </c>
      <c r="M126" s="587">
        <f t="shared" si="15"/>
        <v>-5.7828085750484925E-2</v>
      </c>
      <c r="N126" s="394">
        <v>18234654.68</v>
      </c>
      <c r="O126" s="420">
        <v>0.98282693036456592</v>
      </c>
      <c r="P126" s="587">
        <f>+I126/N126-1</f>
        <v>-0.28941539462155585</v>
      </c>
      <c r="Q126" s="60" t="s">
        <v>386</v>
      </c>
      <c r="S126" s="358"/>
    </row>
    <row r="127" spans="1:19" ht="15" customHeight="1" x14ac:dyDescent="0.2">
      <c r="A127" s="70"/>
      <c r="B127" s="70" t="s">
        <v>334</v>
      </c>
      <c r="C127" s="186">
        <v>0</v>
      </c>
      <c r="D127" s="464">
        <v>0</v>
      </c>
      <c r="E127" s="71">
        <v>0</v>
      </c>
      <c r="F127" s="130" t="s">
        <v>129</v>
      </c>
      <c r="G127" s="71">
        <v>0</v>
      </c>
      <c r="H127" s="130" t="s">
        <v>129</v>
      </c>
      <c r="I127" s="71">
        <v>0</v>
      </c>
      <c r="J127" s="194" t="s">
        <v>129</v>
      </c>
      <c r="K127" s="394"/>
      <c r="L127" s="130" t="s">
        <v>129</v>
      </c>
      <c r="M127" s="587" t="s">
        <v>129</v>
      </c>
      <c r="N127" s="394"/>
      <c r="O127" s="130" t="s">
        <v>129</v>
      </c>
      <c r="P127" s="587" t="s">
        <v>129</v>
      </c>
      <c r="Q127" s="60" t="s">
        <v>387</v>
      </c>
      <c r="S127" s="358"/>
    </row>
    <row r="128" spans="1:19" ht="15" customHeight="1" x14ac:dyDescent="0.2">
      <c r="A128" s="70"/>
      <c r="B128" s="70" t="s">
        <v>333</v>
      </c>
      <c r="C128" s="186">
        <v>2248848</v>
      </c>
      <c r="D128" s="464">
        <v>2889577.19</v>
      </c>
      <c r="E128" s="71">
        <v>2889577.19</v>
      </c>
      <c r="F128" s="420">
        <f t="shared" ref="F128:F142" si="30">+E128/D128</f>
        <v>1</v>
      </c>
      <c r="G128" s="71">
        <v>2889577.19</v>
      </c>
      <c r="H128" s="420">
        <f t="shared" ref="H128:H142" si="31">+G128/D128</f>
        <v>1</v>
      </c>
      <c r="I128" s="71">
        <v>2248848</v>
      </c>
      <c r="J128" s="434">
        <f t="shared" ref="J128:J142" si="32">I128/D128</f>
        <v>0.77826195741806781</v>
      </c>
      <c r="K128" s="394">
        <v>2248848</v>
      </c>
      <c r="L128" s="420">
        <v>1</v>
      </c>
      <c r="M128" s="587">
        <f t="shared" si="15"/>
        <v>0.28491440506428178</v>
      </c>
      <c r="N128" s="394">
        <v>2248848</v>
      </c>
      <c r="O128" s="420">
        <v>1</v>
      </c>
      <c r="P128" s="587">
        <f>+I128/N128-1</f>
        <v>0</v>
      </c>
      <c r="Q128" s="60" t="s">
        <v>388</v>
      </c>
      <c r="S128" s="358"/>
    </row>
    <row r="129" spans="1:19" ht="15" customHeight="1" x14ac:dyDescent="0.2">
      <c r="A129" s="70"/>
      <c r="B129" s="70" t="s">
        <v>331</v>
      </c>
      <c r="C129" s="186">
        <v>1237126</v>
      </c>
      <c r="D129" s="464">
        <v>1542125.71</v>
      </c>
      <c r="E129" s="71">
        <v>1542123.71</v>
      </c>
      <c r="F129" s="420">
        <f t="shared" si="30"/>
        <v>0.99999870308886818</v>
      </c>
      <c r="G129" s="71">
        <v>1542123.71</v>
      </c>
      <c r="H129" s="420">
        <f t="shared" si="31"/>
        <v>0.99999870308886818</v>
      </c>
      <c r="I129" s="71">
        <v>875672</v>
      </c>
      <c r="J129" s="434">
        <f t="shared" si="32"/>
        <v>0.56783438232152939</v>
      </c>
      <c r="K129" s="394">
        <v>2007381.98</v>
      </c>
      <c r="L129" s="420">
        <v>0.77879428790192151</v>
      </c>
      <c r="M129" s="587">
        <f t="shared" si="15"/>
        <v>-0.23177366073596017</v>
      </c>
      <c r="N129" s="394">
        <v>1415267</v>
      </c>
      <c r="O129" s="420">
        <v>0.54907429997757018</v>
      </c>
      <c r="P129" s="587">
        <f>+I129/N129-1</f>
        <v>-0.38126728030823864</v>
      </c>
      <c r="Q129" s="60" t="s">
        <v>392</v>
      </c>
      <c r="S129" s="358"/>
    </row>
    <row r="130" spans="1:19" ht="15" customHeight="1" x14ac:dyDescent="0.2">
      <c r="A130" s="70"/>
      <c r="B130" s="70" t="s">
        <v>329</v>
      </c>
      <c r="C130" s="186">
        <v>185101.56</v>
      </c>
      <c r="D130" s="464">
        <v>304476.56</v>
      </c>
      <c r="E130" s="71">
        <v>304476.56</v>
      </c>
      <c r="F130" s="420">
        <f t="shared" si="30"/>
        <v>1</v>
      </c>
      <c r="G130" s="71">
        <v>304476.56</v>
      </c>
      <c r="H130" s="420">
        <f t="shared" si="31"/>
        <v>1</v>
      </c>
      <c r="I130" s="71">
        <v>185101.56</v>
      </c>
      <c r="J130" s="434">
        <f t="shared" si="32"/>
        <v>0.60793369446896006</v>
      </c>
      <c r="K130" s="394">
        <v>275101.56</v>
      </c>
      <c r="L130" s="420">
        <v>0.91608435200936023</v>
      </c>
      <c r="M130" s="587">
        <f t="shared" si="15"/>
        <v>0.10677874745603044</v>
      </c>
      <c r="N130" s="394">
        <v>251101.56</v>
      </c>
      <c r="O130" s="420">
        <v>0.83616468725636994</v>
      </c>
      <c r="P130" s="587">
        <f t="shared" ref="P130:P131" si="33">+I130/N130-1</f>
        <v>-0.2628418557017328</v>
      </c>
      <c r="Q130" s="60" t="s">
        <v>390</v>
      </c>
      <c r="S130" s="358"/>
    </row>
    <row r="131" spans="1:19" ht="15" customHeight="1" x14ac:dyDescent="0.2">
      <c r="A131" s="70"/>
      <c r="B131" s="70" t="s">
        <v>330</v>
      </c>
      <c r="C131" s="186">
        <v>1108512.45</v>
      </c>
      <c r="D131" s="464">
        <v>1108512.45</v>
      </c>
      <c r="E131" s="71">
        <v>1108512.45</v>
      </c>
      <c r="F131" s="420">
        <f t="shared" si="30"/>
        <v>1</v>
      </c>
      <c r="G131" s="71">
        <v>1108512.45</v>
      </c>
      <c r="H131" s="420">
        <f t="shared" si="31"/>
        <v>1</v>
      </c>
      <c r="I131" s="71">
        <v>1108512.45</v>
      </c>
      <c r="J131" s="434">
        <f t="shared" si="32"/>
        <v>1</v>
      </c>
      <c r="K131" s="394">
        <v>1086479.3999999999</v>
      </c>
      <c r="L131" s="420">
        <v>1</v>
      </c>
      <c r="M131" s="587">
        <f t="shared" si="15"/>
        <v>2.0279307642648403E-2</v>
      </c>
      <c r="N131" s="394">
        <v>1086479.3999999999</v>
      </c>
      <c r="O131" s="420">
        <v>1</v>
      </c>
      <c r="P131" s="587">
        <f t="shared" si="33"/>
        <v>2.0279307642648403E-2</v>
      </c>
      <c r="Q131" s="60" t="s">
        <v>391</v>
      </c>
      <c r="S131" s="358"/>
    </row>
    <row r="132" spans="1:19" ht="15" customHeight="1" x14ac:dyDescent="0.2">
      <c r="A132" s="70"/>
      <c r="B132" s="70" t="s">
        <v>327</v>
      </c>
      <c r="C132" s="186">
        <v>11341014</v>
      </c>
      <c r="D132" s="464">
        <v>11341014</v>
      </c>
      <c r="E132" s="71">
        <v>11341014</v>
      </c>
      <c r="F132" s="420">
        <f t="shared" si="30"/>
        <v>1</v>
      </c>
      <c r="G132" s="71">
        <v>11341014</v>
      </c>
      <c r="H132" s="420">
        <f t="shared" si="31"/>
        <v>1</v>
      </c>
      <c r="I132" s="71">
        <v>2540000</v>
      </c>
      <c r="J132" s="434">
        <f t="shared" si="32"/>
        <v>0.22396586407529345</v>
      </c>
      <c r="K132" s="394">
        <v>10541014</v>
      </c>
      <c r="L132" s="420">
        <v>0.99060239935780559</v>
      </c>
      <c r="M132" s="587">
        <f t="shared" si="15"/>
        <v>7.5894026893427835E-2</v>
      </c>
      <c r="N132" s="394">
        <v>9905000</v>
      </c>
      <c r="O132" s="420">
        <v>0.93083234360935907</v>
      </c>
      <c r="P132" s="587">
        <f>+I132/N132-1</f>
        <v>-0.74356385663806157</v>
      </c>
      <c r="Q132" s="60">
        <v>46743</v>
      </c>
      <c r="S132" s="358"/>
    </row>
    <row r="133" spans="1:19" ht="15" customHeight="1" x14ac:dyDescent="0.2">
      <c r="A133" s="70"/>
      <c r="B133" s="70" t="s">
        <v>326</v>
      </c>
      <c r="C133" s="186">
        <v>1136412.6100000001</v>
      </c>
      <c r="D133" s="464">
        <v>1539739.52</v>
      </c>
      <c r="E133" s="71">
        <v>1305798.8799999999</v>
      </c>
      <c r="F133" s="420">
        <f t="shared" si="30"/>
        <v>0.84806479475177721</v>
      </c>
      <c r="G133" s="71">
        <v>1305798.8799999999</v>
      </c>
      <c r="H133" s="420">
        <f t="shared" si="31"/>
        <v>0.84806479475177721</v>
      </c>
      <c r="I133" s="71">
        <v>1233878.17</v>
      </c>
      <c r="J133" s="434">
        <f t="shared" si="32"/>
        <v>0.80135513440611039</v>
      </c>
      <c r="K133" s="394">
        <v>1172912.6100000001</v>
      </c>
      <c r="L133" s="420">
        <v>1</v>
      </c>
      <c r="M133" s="587">
        <f t="shared" si="15"/>
        <v>0.11329596840126022</v>
      </c>
      <c r="N133" s="394">
        <v>1172912.6100000001</v>
      </c>
      <c r="O133" s="420">
        <v>1</v>
      </c>
      <c r="P133" s="587">
        <f t="shared" ref="P133:P138" si="34">+I133/N133-1</f>
        <v>5.1977921867512267E-2</v>
      </c>
      <c r="Q133" s="60">
        <v>46746</v>
      </c>
      <c r="S133" s="358"/>
    </row>
    <row r="134" spans="1:19" ht="15" customHeight="1" x14ac:dyDescent="0.2">
      <c r="A134" s="70"/>
      <c r="B134" s="70" t="s">
        <v>338</v>
      </c>
      <c r="C134" s="186">
        <v>1490399</v>
      </c>
      <c r="D134" s="464">
        <v>1638399</v>
      </c>
      <c r="E134" s="71">
        <v>1490399</v>
      </c>
      <c r="F134" s="420">
        <f t="shared" si="30"/>
        <v>0.9096679136156699</v>
      </c>
      <c r="G134" s="71">
        <v>1490399</v>
      </c>
      <c r="H134" s="420">
        <f t="shared" si="31"/>
        <v>0.9096679136156699</v>
      </c>
      <c r="I134" s="71">
        <v>1490399</v>
      </c>
      <c r="J134" s="434">
        <f t="shared" si="32"/>
        <v>0.9096679136156699</v>
      </c>
      <c r="K134" s="394">
        <v>1978399</v>
      </c>
      <c r="L134" s="420">
        <v>1</v>
      </c>
      <c r="M134" s="587">
        <f t="shared" si="15"/>
        <v>-0.24666409556414048</v>
      </c>
      <c r="N134" s="394">
        <v>1978399</v>
      </c>
      <c r="O134" s="420">
        <v>1</v>
      </c>
      <c r="P134" s="587">
        <f t="shared" si="34"/>
        <v>-0.24666409556414048</v>
      </c>
      <c r="Q134" s="60" t="s">
        <v>395</v>
      </c>
      <c r="S134" s="358"/>
    </row>
    <row r="135" spans="1:19" ht="15" customHeight="1" x14ac:dyDescent="0.2">
      <c r="A135" s="72"/>
      <c r="B135" s="72" t="s">
        <v>339</v>
      </c>
      <c r="C135" s="176">
        <v>6277211.96</v>
      </c>
      <c r="D135" s="493">
        <v>6094870.8399999999</v>
      </c>
      <c r="E135" s="73">
        <v>4246820.24</v>
      </c>
      <c r="F135" s="508">
        <f t="shared" si="30"/>
        <v>0.69678592893692892</v>
      </c>
      <c r="G135" s="71">
        <v>4246820.24</v>
      </c>
      <c r="H135" s="421">
        <f t="shared" si="31"/>
        <v>0.69678592893692892</v>
      </c>
      <c r="I135" s="71">
        <v>3878707.6900000004</v>
      </c>
      <c r="J135" s="435">
        <f t="shared" si="32"/>
        <v>0.63638882460715118</v>
      </c>
      <c r="K135" s="576">
        <v>7215288.3499999596</v>
      </c>
      <c r="L135" s="421">
        <v>0.9937305914628638</v>
      </c>
      <c r="M135" s="583">
        <f t="shared" si="15"/>
        <v>-0.41141364918561796</v>
      </c>
      <c r="N135" s="576">
        <v>7072044.8499999596</v>
      </c>
      <c r="O135" s="421">
        <v>0.97400228109281306</v>
      </c>
      <c r="P135" s="583">
        <f t="shared" si="34"/>
        <v>-0.4515436804674644</v>
      </c>
      <c r="Q135" s="60" t="s">
        <v>340</v>
      </c>
      <c r="S135" s="358"/>
    </row>
    <row r="136" spans="1:19" ht="15" customHeight="1" x14ac:dyDescent="0.2">
      <c r="A136" s="68"/>
      <c r="B136" s="68" t="s">
        <v>341</v>
      </c>
      <c r="C136" s="488">
        <v>3977488.74</v>
      </c>
      <c r="D136" s="494">
        <v>4346066.46</v>
      </c>
      <c r="E136" s="82">
        <v>4003566.46</v>
      </c>
      <c r="F136" s="238">
        <f t="shared" si="30"/>
        <v>0.92119310573083135</v>
      </c>
      <c r="G136" s="69">
        <v>2370102.69</v>
      </c>
      <c r="H136" s="420">
        <f t="shared" si="31"/>
        <v>0.54534432729314497</v>
      </c>
      <c r="I136" s="69">
        <v>2260102.69</v>
      </c>
      <c r="J136" s="434">
        <f t="shared" si="32"/>
        <v>0.52003408387822947</v>
      </c>
      <c r="K136" s="575">
        <v>759400</v>
      </c>
      <c r="L136" s="238">
        <v>0.25660606879772929</v>
      </c>
      <c r="M136" s="717">
        <f t="shared" si="15"/>
        <v>2.1210201343165656</v>
      </c>
      <c r="N136" s="575">
        <v>544400</v>
      </c>
      <c r="O136" s="238">
        <v>0.18395620733932555</v>
      </c>
      <c r="P136" s="593">
        <f t="shared" si="34"/>
        <v>3.1515479243203526</v>
      </c>
      <c r="Q136" s="60">
        <v>47</v>
      </c>
      <c r="S136" s="358"/>
    </row>
    <row r="137" spans="1:19" ht="15" customHeight="1" x14ac:dyDescent="0.2">
      <c r="A137" s="70"/>
      <c r="B137" s="70" t="s">
        <v>342</v>
      </c>
      <c r="C137" s="186">
        <v>92249396.719999999</v>
      </c>
      <c r="D137" s="464">
        <v>90639005.879999995</v>
      </c>
      <c r="E137" s="71">
        <v>71534096.25</v>
      </c>
      <c r="F137" s="420">
        <f t="shared" si="30"/>
        <v>0.7892197796686603</v>
      </c>
      <c r="G137" s="82">
        <v>62847991.780000001</v>
      </c>
      <c r="H137" s="420">
        <f t="shared" si="31"/>
        <v>0.69338792024271045</v>
      </c>
      <c r="I137" s="71">
        <v>50723543.909999996</v>
      </c>
      <c r="J137" s="434">
        <f t="shared" si="32"/>
        <v>0.55962158253538863</v>
      </c>
      <c r="K137" s="394">
        <v>59381772.090000004</v>
      </c>
      <c r="L137" s="420">
        <v>0.66866368753310956</v>
      </c>
      <c r="M137" s="584">
        <f t="shared" si="15"/>
        <v>5.8371779217813557E-2</v>
      </c>
      <c r="N137" s="394">
        <v>48095905.640000001</v>
      </c>
      <c r="O137" s="420">
        <v>0.54158009248603545</v>
      </c>
      <c r="P137" s="587">
        <f t="shared" si="34"/>
        <v>5.4633304748807232E-2</v>
      </c>
      <c r="Q137" s="60">
        <v>48</v>
      </c>
      <c r="S137" s="358"/>
    </row>
    <row r="138" spans="1:19" ht="15" customHeight="1" x14ac:dyDescent="0.2">
      <c r="A138" s="72"/>
      <c r="B138" s="72" t="s">
        <v>343</v>
      </c>
      <c r="C138" s="176">
        <v>125828.35</v>
      </c>
      <c r="D138" s="493">
        <v>182911.14</v>
      </c>
      <c r="E138" s="73">
        <v>133254.35999999999</v>
      </c>
      <c r="F138" s="421">
        <f t="shared" si="30"/>
        <v>0.72851965167348465</v>
      </c>
      <c r="G138" s="73">
        <v>133254.35999999999</v>
      </c>
      <c r="H138" s="421">
        <f t="shared" si="31"/>
        <v>0.72851965167348465</v>
      </c>
      <c r="I138" s="73">
        <v>98254.36</v>
      </c>
      <c r="J138" s="435">
        <f t="shared" si="32"/>
        <v>0.53716990665522069</v>
      </c>
      <c r="K138" s="576">
        <v>392405.33</v>
      </c>
      <c r="L138" s="421">
        <v>6.5950914453227427E-2</v>
      </c>
      <c r="M138" s="638">
        <f t="shared" si="15"/>
        <v>-0.6604165391943071</v>
      </c>
      <c r="N138" s="576">
        <v>392405.33</v>
      </c>
      <c r="O138" s="421">
        <v>6.5950914453227427E-2</v>
      </c>
      <c r="P138" s="583">
        <f t="shared" si="34"/>
        <v>-0.74961002695860435</v>
      </c>
      <c r="Q138" s="60">
        <v>49</v>
      </c>
      <c r="S138" s="358"/>
    </row>
    <row r="139" spans="1:19" ht="15" customHeight="1" x14ac:dyDescent="0.2">
      <c r="A139" s="61"/>
      <c r="B139" s="61" t="s">
        <v>453</v>
      </c>
      <c r="C139" s="489">
        <v>13647818.9</v>
      </c>
      <c r="D139" s="491">
        <v>6908292.3700000001</v>
      </c>
      <c r="E139" s="62">
        <v>0</v>
      </c>
      <c r="F139" s="422">
        <f>+E139/D139</f>
        <v>0</v>
      </c>
      <c r="G139" s="62">
        <v>0</v>
      </c>
      <c r="H139" s="422">
        <f>+G139/D139</f>
        <v>0</v>
      </c>
      <c r="I139" s="62">
        <v>0</v>
      </c>
      <c r="J139" s="438">
        <f>I139/D139</f>
        <v>0</v>
      </c>
      <c r="K139" s="574">
        <v>0</v>
      </c>
      <c r="L139" s="422">
        <v>0</v>
      </c>
      <c r="M139" s="245" t="s">
        <v>129</v>
      </c>
      <c r="N139" s="574">
        <v>0</v>
      </c>
      <c r="O139" s="422">
        <v>0</v>
      </c>
      <c r="P139" s="245" t="s">
        <v>129</v>
      </c>
      <c r="Q139" s="60">
        <v>5</v>
      </c>
      <c r="S139" s="357"/>
    </row>
    <row r="140" spans="1:19" ht="15" customHeight="1" x14ac:dyDescent="0.2">
      <c r="A140" s="75"/>
      <c r="B140" s="76" t="s">
        <v>345</v>
      </c>
      <c r="C140" s="193">
        <f>SUM(C112:C139)</f>
        <v>469086064.34000003</v>
      </c>
      <c r="D140" s="196">
        <f>SUM(D112:D139)</f>
        <v>468433537.50999987</v>
      </c>
      <c r="E140" s="77">
        <f>SUM(E112:E139)</f>
        <v>438939023.00999999</v>
      </c>
      <c r="F140" s="424">
        <f>+E140/D140</f>
        <v>0.93703586071829825</v>
      </c>
      <c r="G140" s="77">
        <f>SUM(G112:G139)</f>
        <v>428619454.76999998</v>
      </c>
      <c r="H140" s="424">
        <f t="shared" si="31"/>
        <v>0.91500590894572753</v>
      </c>
      <c r="I140" s="77">
        <f>SUM(I112:I139)</f>
        <v>337229045</v>
      </c>
      <c r="J140" s="439">
        <f t="shared" si="32"/>
        <v>0.71990798693144598</v>
      </c>
      <c r="K140" s="599">
        <v>385480073.22999996</v>
      </c>
      <c r="L140" s="424">
        <v>0.79665863120815061</v>
      </c>
      <c r="M140" s="594">
        <f t="shared" si="15"/>
        <v>0.11191079522873437</v>
      </c>
      <c r="N140" s="599">
        <v>354537331.33999991</v>
      </c>
      <c r="O140" s="424">
        <v>0.73271031296341893</v>
      </c>
      <c r="P140" s="594">
        <f>+I140/N140-1</f>
        <v>-4.8819362053022619E-2</v>
      </c>
      <c r="S140" s="357"/>
    </row>
    <row r="141" spans="1:19" ht="21" customHeight="1" thickBot="1" x14ac:dyDescent="0.25">
      <c r="A141" s="9"/>
      <c r="B141" s="2" t="s">
        <v>3</v>
      </c>
      <c r="C141" s="162">
        <f>C107+C140</f>
        <v>1089753389.8699999</v>
      </c>
      <c r="D141" s="152">
        <f>D107+D140</f>
        <v>1121533775.6399999</v>
      </c>
      <c r="E141" s="84">
        <f>E107+E140</f>
        <v>1005005844.0899999</v>
      </c>
      <c r="F141" s="90">
        <f>+E141/D141</f>
        <v>0.89609948975143117</v>
      </c>
      <c r="G141" s="84">
        <f>G107+G140</f>
        <v>994686275.8499999</v>
      </c>
      <c r="H141" s="90">
        <f t="shared" si="31"/>
        <v>0.88689819018815119</v>
      </c>
      <c r="I141" s="84">
        <f>I107+I140</f>
        <v>800155458.58999991</v>
      </c>
      <c r="J141" s="170">
        <f t="shared" si="32"/>
        <v>0.71344749125668872</v>
      </c>
      <c r="K141" s="561">
        <f>K107+K140</f>
        <v>916935716.86999989</v>
      </c>
      <c r="L141" s="90">
        <v>0.84025723571567779</v>
      </c>
      <c r="M141" s="213">
        <f t="shared" si="15"/>
        <v>8.4793903814113447E-2</v>
      </c>
      <c r="N141" s="561">
        <f>N107+N140</f>
        <v>824225134.50999975</v>
      </c>
      <c r="O141" s="90">
        <v>0.75529954869120242</v>
      </c>
      <c r="P141" s="213">
        <f>+I141/N141-1</f>
        <v>-2.9202792916900311E-2</v>
      </c>
      <c r="S141" s="357"/>
    </row>
    <row r="142" spans="1:19" s="6" customFormat="1" ht="19.5" customHeight="1" thickBot="1" x14ac:dyDescent="0.25">
      <c r="A142" s="5"/>
      <c r="B142" s="4" t="s">
        <v>292</v>
      </c>
      <c r="C142" s="163">
        <f>+C11+C61+C65+C141</f>
        <v>2151399911.2599998</v>
      </c>
      <c r="D142" s="154">
        <f>+D11+D61+D65+D141</f>
        <v>2174749599.9499998</v>
      </c>
      <c r="E142" s="155">
        <f>+E11+E61+E65+E141</f>
        <v>1938398641.1799998</v>
      </c>
      <c r="F142" s="181">
        <f t="shared" si="30"/>
        <v>0.89132038061971186</v>
      </c>
      <c r="G142" s="155">
        <f>+G11+G61+G65+G141</f>
        <v>1906325922.9000001</v>
      </c>
      <c r="H142" s="181">
        <f t="shared" si="31"/>
        <v>0.87657260539044535</v>
      </c>
      <c r="I142" s="155">
        <f>+I11+I61+I65+I141</f>
        <v>1501905166.3699999</v>
      </c>
      <c r="J142" s="173">
        <f t="shared" si="32"/>
        <v>0.6906106185303037</v>
      </c>
      <c r="K142" s="569">
        <f>K141+K65+K61+K11</f>
        <v>1832776955.4700003</v>
      </c>
      <c r="L142" s="181">
        <v>0.84681676572578934</v>
      </c>
      <c r="M142" s="600">
        <f t="shared" si="15"/>
        <v>4.0129797142248957E-2</v>
      </c>
      <c r="N142" s="569">
        <f>N141+N65+N61+N11</f>
        <v>1535255568.3899999</v>
      </c>
      <c r="O142" s="181">
        <v>0.70934990267440012</v>
      </c>
      <c r="P142" s="600">
        <f>+I142/N142-1</f>
        <v>-2.1723029511610314E-2</v>
      </c>
      <c r="Q142" s="14"/>
      <c r="S142" s="359"/>
    </row>
    <row r="143" spans="1:19" x14ac:dyDescent="0.2">
      <c r="S143" s="358"/>
    </row>
    <row r="144" spans="1:19" x14ac:dyDescent="0.2">
      <c r="S144" s="358"/>
    </row>
    <row r="145" spans="2:19" x14ac:dyDescent="0.2">
      <c r="B145" s="477"/>
      <c r="S145" s="358"/>
    </row>
    <row r="146" spans="2:19" x14ac:dyDescent="0.2">
      <c r="B146" s="478"/>
      <c r="D146" s="350"/>
      <c r="E146" s="350"/>
      <c r="F146" s="425"/>
      <c r="G146" s="350"/>
      <c r="H146" s="425"/>
      <c r="I146" s="350"/>
      <c r="J146" s="425"/>
      <c r="K146" s="425"/>
      <c r="L146" s="425"/>
      <c r="M146" s="425"/>
      <c r="N146" s="350"/>
      <c r="S146" s="357"/>
    </row>
    <row r="147" spans="2:19" x14ac:dyDescent="0.2">
      <c r="B147" s="479"/>
      <c r="D147" s="46"/>
      <c r="S147" s="358"/>
    </row>
    <row r="148" spans="2:19" x14ac:dyDescent="0.2">
      <c r="B148" s="254"/>
      <c r="I148" s="351"/>
      <c r="N148" s="351"/>
      <c r="S148" s="358"/>
    </row>
    <row r="149" spans="2:19" x14ac:dyDescent="0.2">
      <c r="B149" s="480"/>
      <c r="S149" s="358"/>
    </row>
    <row r="150" spans="2:19" x14ac:dyDescent="0.2">
      <c r="B150" s="254"/>
      <c r="C150" s="254"/>
      <c r="S150" s="358"/>
    </row>
    <row r="151" spans="2:19" x14ac:dyDescent="0.2">
      <c r="S151" s="358"/>
    </row>
    <row r="152" spans="2:19" x14ac:dyDescent="0.2">
      <c r="B152" s="254"/>
      <c r="C152" s="254"/>
      <c r="S152" s="358"/>
    </row>
    <row r="153" spans="2:19" x14ac:dyDescent="0.2">
      <c r="S153" s="358"/>
    </row>
    <row r="154" spans="2:19" x14ac:dyDescent="0.2">
      <c r="C154" s="46"/>
      <c r="D154" s="342"/>
      <c r="S154" s="358"/>
    </row>
    <row r="155" spans="2:19" x14ac:dyDescent="0.2">
      <c r="S155" s="358"/>
    </row>
    <row r="156" spans="2:19" x14ac:dyDescent="0.2">
      <c r="S156" s="358"/>
    </row>
    <row r="157" spans="2:19" x14ac:dyDescent="0.2">
      <c r="S157" s="357"/>
    </row>
    <row r="158" spans="2:19" x14ac:dyDescent="0.2">
      <c r="S158" s="357"/>
    </row>
    <row r="159" spans="2:19" x14ac:dyDescent="0.2">
      <c r="S159" s="357"/>
    </row>
    <row r="160" spans="2:19" x14ac:dyDescent="0.2">
      <c r="S160" s="357"/>
    </row>
    <row r="161" spans="19:19" x14ac:dyDescent="0.2">
      <c r="S161" s="357"/>
    </row>
    <row r="162" spans="19:19" x14ac:dyDescent="0.2">
      <c r="S162" s="358"/>
    </row>
    <row r="163" spans="19:19" x14ac:dyDescent="0.2">
      <c r="S163" s="358"/>
    </row>
    <row r="164" spans="19:19" x14ac:dyDescent="0.2">
      <c r="S164" s="358"/>
    </row>
    <row r="165" spans="19:19" x14ac:dyDescent="0.2">
      <c r="S165" s="358"/>
    </row>
    <row r="166" spans="19:19" x14ac:dyDescent="0.2">
      <c r="S166" s="358"/>
    </row>
    <row r="167" spans="19:19" x14ac:dyDescent="0.2">
      <c r="S167" s="357"/>
    </row>
    <row r="168" spans="19:19" x14ac:dyDescent="0.2">
      <c r="S168" s="357"/>
    </row>
    <row r="169" spans="19:19" x14ac:dyDescent="0.2">
      <c r="S169" s="358"/>
    </row>
    <row r="170" spans="19:19" x14ac:dyDescent="0.2">
      <c r="S170" s="357"/>
    </row>
    <row r="171" spans="19:19" x14ac:dyDescent="0.2">
      <c r="S171" s="358"/>
    </row>
    <row r="172" spans="19:19" x14ac:dyDescent="0.2">
      <c r="S172" s="357"/>
    </row>
    <row r="173" spans="19:19" x14ac:dyDescent="0.2">
      <c r="S173" s="358"/>
    </row>
    <row r="174" spans="19:19" x14ac:dyDescent="0.2">
      <c r="S174" s="358"/>
    </row>
    <row r="175" spans="19:19" x14ac:dyDescent="0.2">
      <c r="S175" s="358"/>
    </row>
    <row r="176" spans="19:19" x14ac:dyDescent="0.2">
      <c r="S176" s="357"/>
    </row>
    <row r="177" spans="19:19" x14ac:dyDescent="0.2">
      <c r="S177" s="358"/>
    </row>
    <row r="178" spans="19:19" x14ac:dyDescent="0.2">
      <c r="S178" s="358"/>
    </row>
    <row r="179" spans="19:19" x14ac:dyDescent="0.2">
      <c r="S179" s="358"/>
    </row>
    <row r="180" spans="19:19" x14ac:dyDescent="0.2">
      <c r="S180" s="358"/>
    </row>
    <row r="181" spans="19:19" x14ac:dyDescent="0.2">
      <c r="S181" s="358"/>
    </row>
    <row r="182" spans="19:19" x14ac:dyDescent="0.2">
      <c r="S182" s="358"/>
    </row>
    <row r="183" spans="19:19" x14ac:dyDescent="0.2">
      <c r="S183" s="358"/>
    </row>
    <row r="184" spans="19:19" x14ac:dyDescent="0.2">
      <c r="S184" s="358"/>
    </row>
    <row r="185" spans="19:19" x14ac:dyDescent="0.2">
      <c r="S185" s="358"/>
    </row>
    <row r="186" spans="19:19" x14ac:dyDescent="0.2">
      <c r="S186" s="358"/>
    </row>
    <row r="187" spans="19:19" x14ac:dyDescent="0.2">
      <c r="S187" s="358"/>
    </row>
    <row r="188" spans="19:19" x14ac:dyDescent="0.2">
      <c r="S188" s="358"/>
    </row>
    <row r="189" spans="19:19" x14ac:dyDescent="0.2">
      <c r="S189" s="358"/>
    </row>
    <row r="190" spans="19:19" x14ac:dyDescent="0.2">
      <c r="S190" s="358"/>
    </row>
    <row r="191" spans="19:19" x14ac:dyDescent="0.2">
      <c r="S191" s="358"/>
    </row>
    <row r="192" spans="19:19" x14ac:dyDescent="0.2">
      <c r="S192" s="358"/>
    </row>
    <row r="193" spans="19:19" x14ac:dyDescent="0.2">
      <c r="S193" s="357"/>
    </row>
    <row r="194" spans="19:19" x14ac:dyDescent="0.2">
      <c r="S194" s="358"/>
    </row>
    <row r="195" spans="19:19" x14ac:dyDescent="0.2">
      <c r="S195" s="358"/>
    </row>
    <row r="196" spans="19:19" x14ac:dyDescent="0.2">
      <c r="S196" s="358"/>
    </row>
    <row r="197" spans="19:19" x14ac:dyDescent="0.2">
      <c r="S197" s="358"/>
    </row>
    <row r="198" spans="19:19" x14ac:dyDescent="0.2">
      <c r="S198" s="358"/>
    </row>
    <row r="199" spans="19:19" x14ac:dyDescent="0.2">
      <c r="S199" s="358"/>
    </row>
    <row r="200" spans="19:19" x14ac:dyDescent="0.2">
      <c r="S200" s="358"/>
    </row>
    <row r="201" spans="19:19" x14ac:dyDescent="0.2">
      <c r="S201" s="358"/>
    </row>
    <row r="202" spans="19:19" x14ac:dyDescent="0.2">
      <c r="S202" s="358"/>
    </row>
    <row r="203" spans="19:19" x14ac:dyDescent="0.2">
      <c r="S203" s="358"/>
    </row>
    <row r="204" spans="19:19" x14ac:dyDescent="0.2">
      <c r="S204" s="358"/>
    </row>
    <row r="205" spans="19:19" x14ac:dyDescent="0.2">
      <c r="S205" s="358"/>
    </row>
    <row r="206" spans="19:19" x14ac:dyDescent="0.2">
      <c r="S206" s="358"/>
    </row>
    <row r="207" spans="19:19" x14ac:dyDescent="0.2">
      <c r="S207" s="358"/>
    </row>
    <row r="208" spans="19:19" x14ac:dyDescent="0.2">
      <c r="S208" s="358"/>
    </row>
    <row r="209" spans="19:19" x14ac:dyDescent="0.2">
      <c r="S209" s="358"/>
    </row>
    <row r="210" spans="19:19" x14ac:dyDescent="0.2">
      <c r="S210" s="358"/>
    </row>
    <row r="211" spans="19:19" x14ac:dyDescent="0.2">
      <c r="S211" s="358"/>
    </row>
    <row r="212" spans="19:19" x14ac:dyDescent="0.2">
      <c r="S212" s="358"/>
    </row>
    <row r="213" spans="19:19" x14ac:dyDescent="0.2">
      <c r="S213" s="358"/>
    </row>
    <row r="214" spans="19:19" x14ac:dyDescent="0.2">
      <c r="S214" s="358"/>
    </row>
    <row r="215" spans="19:19" x14ac:dyDescent="0.2">
      <c r="S215" s="357"/>
    </row>
    <row r="216" spans="19:19" x14ac:dyDescent="0.2">
      <c r="S216" s="357"/>
    </row>
    <row r="217" spans="19:19" x14ac:dyDescent="0.2">
      <c r="S217" s="357"/>
    </row>
    <row r="218" spans="19:19" x14ac:dyDescent="0.2">
      <c r="S218" s="358"/>
    </row>
    <row r="219" spans="19:19" x14ac:dyDescent="0.2">
      <c r="S219" s="358"/>
    </row>
    <row r="220" spans="19:19" x14ac:dyDescent="0.2">
      <c r="S220" s="358"/>
    </row>
    <row r="221" spans="19:19" x14ac:dyDescent="0.2">
      <c r="S221" s="358"/>
    </row>
    <row r="222" spans="19:19" x14ac:dyDescent="0.2">
      <c r="S222" s="358"/>
    </row>
    <row r="223" spans="19:19" x14ac:dyDescent="0.2">
      <c r="S223" s="358"/>
    </row>
    <row r="224" spans="19:19" x14ac:dyDescent="0.2">
      <c r="S224" s="358"/>
    </row>
    <row r="225" spans="19:19" x14ac:dyDescent="0.2">
      <c r="S225" s="357"/>
    </row>
    <row r="226" spans="19:19" x14ac:dyDescent="0.2">
      <c r="S226" s="357"/>
    </row>
    <row r="227" spans="19:19" x14ac:dyDescent="0.2">
      <c r="S227" s="357"/>
    </row>
    <row r="228" spans="19:19" x14ac:dyDescent="0.2">
      <c r="S228" s="358"/>
    </row>
    <row r="229" spans="19:19" x14ac:dyDescent="0.2">
      <c r="S229" s="358"/>
    </row>
  </sheetData>
  <sortState ref="B16:Q18">
    <sortCondition ref="Q16:Q18"/>
  </sortState>
  <mergeCells count="8">
    <mergeCell ref="D109:J109"/>
    <mergeCell ref="K109:P109"/>
    <mergeCell ref="D2:J2"/>
    <mergeCell ref="D68:J68"/>
    <mergeCell ref="K2:P2"/>
    <mergeCell ref="K68:P68"/>
    <mergeCell ref="D44:J44"/>
    <mergeCell ref="K44:P44"/>
  </mergeCells>
  <hyperlinks>
    <hyperlink ref="B9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2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rowBreaks count="3" manualBreakCount="3">
    <brk id="42" max="15" man="1"/>
    <brk id="66" max="15" man="1"/>
    <brk id="10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zoomScale="85" zoomScaleNormal="85" workbookViewId="0">
      <selection activeCell="C41" sqref="C41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7" customWidth="1"/>
    <col min="7" max="7" width="12.28515625" customWidth="1"/>
    <col min="8" max="8" width="8.140625" style="97" customWidth="1"/>
    <col min="9" max="9" width="12.5703125" customWidth="1"/>
    <col min="10" max="10" width="8.42578125" style="97" customWidth="1"/>
    <col min="11" max="11" width="11.140625" customWidth="1"/>
    <col min="12" max="12" width="6.28515625" style="97" bestFit="1" customWidth="1"/>
    <col min="13" max="13" width="6.85546875" style="97" bestFit="1" customWidth="1"/>
    <col min="14" max="14" width="15.42578125" style="60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58"/>
    </row>
    <row r="56" spans="3:16" x14ac:dyDescent="0.2">
      <c r="P56" s="358"/>
    </row>
    <row r="57" spans="3:16" x14ac:dyDescent="0.2">
      <c r="C57" s="46"/>
      <c r="D57" s="342"/>
      <c r="P57" s="358"/>
    </row>
    <row r="58" spans="3:16" x14ac:dyDescent="0.2">
      <c r="P58" s="358"/>
    </row>
    <row r="59" spans="3:16" x14ac:dyDescent="0.2">
      <c r="P59" s="358"/>
    </row>
    <row r="60" spans="3:16" x14ac:dyDescent="0.2">
      <c r="P60" s="357"/>
    </row>
    <row r="61" spans="3:16" x14ac:dyDescent="0.2">
      <c r="P61" s="357"/>
    </row>
    <row r="62" spans="3:16" x14ac:dyDescent="0.2">
      <c r="P62" s="357"/>
    </row>
    <row r="63" spans="3:16" x14ac:dyDescent="0.2">
      <c r="P63" s="357"/>
    </row>
    <row r="64" spans="3:16" x14ac:dyDescent="0.2">
      <c r="P64" s="357"/>
    </row>
    <row r="65" spans="16:16" customFormat="1" x14ac:dyDescent="0.2">
      <c r="P65" s="358"/>
    </row>
    <row r="66" spans="16:16" customFormat="1" x14ac:dyDescent="0.2">
      <c r="P66" s="358"/>
    </row>
    <row r="67" spans="16:16" customFormat="1" x14ac:dyDescent="0.2">
      <c r="P67" s="358"/>
    </row>
    <row r="68" spans="16:16" customFormat="1" x14ac:dyDescent="0.2">
      <c r="P68" s="358"/>
    </row>
    <row r="69" spans="16:16" customFormat="1" x14ac:dyDescent="0.2">
      <c r="P69" s="358"/>
    </row>
    <row r="70" spans="16:16" customFormat="1" x14ac:dyDescent="0.2">
      <c r="P70" s="357"/>
    </row>
    <row r="71" spans="16:16" customFormat="1" x14ac:dyDescent="0.2">
      <c r="P71" s="357"/>
    </row>
    <row r="72" spans="16:16" customFormat="1" x14ac:dyDescent="0.2">
      <c r="P72" s="358"/>
    </row>
    <row r="73" spans="16:16" customFormat="1" x14ac:dyDescent="0.2">
      <c r="P73" s="357"/>
    </row>
    <row r="74" spans="16:16" customFormat="1" x14ac:dyDescent="0.2">
      <c r="P74" s="358"/>
    </row>
    <row r="75" spans="16:16" customFormat="1" x14ac:dyDescent="0.2">
      <c r="P75" s="357"/>
    </row>
    <row r="76" spans="16:16" customFormat="1" x14ac:dyDescent="0.2">
      <c r="P76" s="358"/>
    </row>
    <row r="77" spans="16:16" customFormat="1" x14ac:dyDescent="0.2">
      <c r="P77" s="358"/>
    </row>
    <row r="78" spans="16:16" customFormat="1" x14ac:dyDescent="0.2">
      <c r="P78" s="358"/>
    </row>
    <row r="79" spans="16:16" customFormat="1" x14ac:dyDescent="0.2">
      <c r="P79" s="357"/>
    </row>
    <row r="80" spans="16:16" customFormat="1" x14ac:dyDescent="0.2">
      <c r="P80" s="358"/>
    </row>
    <row r="81" spans="16:16" customFormat="1" x14ac:dyDescent="0.2">
      <c r="P81" s="358"/>
    </row>
    <row r="82" spans="16:16" customFormat="1" x14ac:dyDescent="0.2">
      <c r="P82" s="358"/>
    </row>
    <row r="83" spans="16:16" customFormat="1" x14ac:dyDescent="0.2">
      <c r="P83" s="358"/>
    </row>
    <row r="84" spans="16:16" customFormat="1" x14ac:dyDescent="0.2">
      <c r="P84" s="358"/>
    </row>
    <row r="85" spans="16:16" customFormat="1" x14ac:dyDescent="0.2">
      <c r="P85" s="358"/>
    </row>
    <row r="86" spans="16:16" customFormat="1" x14ac:dyDescent="0.2">
      <c r="P86" s="358"/>
    </row>
    <row r="87" spans="16:16" customFormat="1" x14ac:dyDescent="0.2">
      <c r="P87" s="358"/>
    </row>
    <row r="88" spans="16:16" customFormat="1" x14ac:dyDescent="0.2">
      <c r="P88" s="358"/>
    </row>
    <row r="89" spans="16:16" customFormat="1" x14ac:dyDescent="0.2">
      <c r="P89" s="358"/>
    </row>
    <row r="90" spans="16:16" customFormat="1" x14ac:dyDescent="0.2">
      <c r="P90" s="358"/>
    </row>
    <row r="91" spans="16:16" customFormat="1" x14ac:dyDescent="0.2">
      <c r="P91" s="358"/>
    </row>
    <row r="92" spans="16:16" customFormat="1" x14ac:dyDescent="0.2">
      <c r="P92" s="358"/>
    </row>
    <row r="93" spans="16:16" customFormat="1" x14ac:dyDescent="0.2">
      <c r="P93" s="358"/>
    </row>
    <row r="94" spans="16:16" customFormat="1" x14ac:dyDescent="0.2">
      <c r="P94" s="358"/>
    </row>
    <row r="95" spans="16:16" customFormat="1" x14ac:dyDescent="0.2">
      <c r="P95" s="358"/>
    </row>
    <row r="96" spans="16:16" customFormat="1" x14ac:dyDescent="0.2">
      <c r="P96" s="357"/>
    </row>
    <row r="97" spans="16:16" customFormat="1" x14ac:dyDescent="0.2">
      <c r="P97" s="358"/>
    </row>
    <row r="98" spans="16:16" customFormat="1" x14ac:dyDescent="0.2">
      <c r="P98" s="358"/>
    </row>
    <row r="99" spans="16:16" customFormat="1" x14ac:dyDescent="0.2">
      <c r="P99" s="358"/>
    </row>
    <row r="100" spans="16:16" customFormat="1" x14ac:dyDescent="0.2">
      <c r="P100" s="358"/>
    </row>
    <row r="101" spans="16:16" customFormat="1" x14ac:dyDescent="0.2">
      <c r="P101" s="358"/>
    </row>
    <row r="102" spans="16:16" customFormat="1" x14ac:dyDescent="0.2">
      <c r="P102" s="358"/>
    </row>
    <row r="103" spans="16:16" customFormat="1" x14ac:dyDescent="0.2">
      <c r="P103" s="358"/>
    </row>
    <row r="104" spans="16:16" customFormat="1" x14ac:dyDescent="0.2">
      <c r="P104" s="358"/>
    </row>
    <row r="105" spans="16:16" customFormat="1" x14ac:dyDescent="0.2">
      <c r="P105" s="358"/>
    </row>
    <row r="106" spans="16:16" customFormat="1" x14ac:dyDescent="0.2">
      <c r="P106" s="358"/>
    </row>
    <row r="107" spans="16:16" customFormat="1" x14ac:dyDescent="0.2">
      <c r="P107" s="358"/>
    </row>
    <row r="108" spans="16:16" customFormat="1" x14ac:dyDescent="0.2">
      <c r="P108" s="358"/>
    </row>
    <row r="109" spans="16:16" customFormat="1" x14ac:dyDescent="0.2">
      <c r="P109" s="358"/>
    </row>
    <row r="110" spans="16:16" customFormat="1" x14ac:dyDescent="0.2">
      <c r="P110" s="358"/>
    </row>
    <row r="111" spans="16:16" customFormat="1" x14ac:dyDescent="0.2">
      <c r="P111" s="358"/>
    </row>
    <row r="112" spans="16:16" customFormat="1" x14ac:dyDescent="0.2">
      <c r="P112" s="358"/>
    </row>
    <row r="113" spans="16:16" customFormat="1" x14ac:dyDescent="0.2">
      <c r="P113" s="358"/>
    </row>
    <row r="114" spans="16:16" customFormat="1" x14ac:dyDescent="0.2">
      <c r="P114" s="358"/>
    </row>
    <row r="115" spans="16:16" customFormat="1" x14ac:dyDescent="0.2">
      <c r="P115" s="358"/>
    </row>
    <row r="116" spans="16:16" customFormat="1" x14ac:dyDescent="0.2">
      <c r="P116" s="358"/>
    </row>
    <row r="117" spans="16:16" customFormat="1" x14ac:dyDescent="0.2">
      <c r="P117" s="358"/>
    </row>
    <row r="118" spans="16:16" customFormat="1" x14ac:dyDescent="0.2">
      <c r="P118" s="357"/>
    </row>
    <row r="119" spans="16:16" customFormat="1" x14ac:dyDescent="0.2">
      <c r="P119" s="357"/>
    </row>
    <row r="120" spans="16:16" customFormat="1" x14ac:dyDescent="0.2">
      <c r="P120" s="357"/>
    </row>
    <row r="121" spans="16:16" customFormat="1" x14ac:dyDescent="0.2">
      <c r="P121" s="358"/>
    </row>
    <row r="122" spans="16:16" customFormat="1" x14ac:dyDescent="0.2">
      <c r="P122" s="358"/>
    </row>
    <row r="123" spans="16:16" customFormat="1" x14ac:dyDescent="0.2">
      <c r="P123" s="358"/>
    </row>
    <row r="124" spans="16:16" customFormat="1" x14ac:dyDescent="0.2">
      <c r="P124" s="358"/>
    </row>
    <row r="125" spans="16:16" customFormat="1" x14ac:dyDescent="0.2">
      <c r="P125" s="358"/>
    </row>
    <row r="126" spans="16:16" customFormat="1" x14ac:dyDescent="0.2">
      <c r="P126" s="358"/>
    </row>
    <row r="127" spans="16:16" customFormat="1" x14ac:dyDescent="0.2">
      <c r="P127" s="358"/>
    </row>
    <row r="128" spans="16:16" customFormat="1" x14ac:dyDescent="0.2">
      <c r="P128" s="357"/>
    </row>
    <row r="129" spans="16:16" customFormat="1" x14ac:dyDescent="0.2">
      <c r="P129" s="357"/>
    </row>
    <row r="130" spans="16:16" customFormat="1" x14ac:dyDescent="0.2">
      <c r="P130" s="357"/>
    </row>
    <row r="131" spans="16:16" customFormat="1" x14ac:dyDescent="0.2">
      <c r="P131" s="358"/>
    </row>
    <row r="132" spans="16:16" customFormat="1" x14ac:dyDescent="0.2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05"/>
  <sheetViews>
    <sheetView topLeftCell="A198" zoomScaleNormal="100" workbookViewId="0">
      <pane xSplit="1" topLeftCell="F1" activePane="topRight" state="frozen"/>
      <selection activeCell="C41" sqref="C41"/>
      <selection pane="topRight" activeCell="N195" sqref="N195"/>
    </sheetView>
  </sheetViews>
  <sheetFormatPr defaultColWidth="11.42578125" defaultRowHeight="12.75" x14ac:dyDescent="0.2"/>
  <cols>
    <col min="1" max="1" width="6.85546875" customWidth="1"/>
    <col min="2" max="2" width="43.7109375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">
      <c r="A2" s="8" t="s">
        <v>533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2"/>
      <c r="R2"/>
    </row>
    <row r="3" spans="1:19" ht="12.75" customHeight="1" x14ac:dyDescent="0.2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06" t="s">
        <v>764</v>
      </c>
      <c r="N4" s="557" t="s">
        <v>17</v>
      </c>
      <c r="O4" s="89" t="s">
        <v>18</v>
      </c>
      <c r="P4" s="641" t="s">
        <v>764</v>
      </c>
      <c r="R4"/>
    </row>
    <row r="5" spans="1:19" ht="14.1" customHeight="1" x14ac:dyDescent="0.2">
      <c r="A5" s="17" t="s">
        <v>53</v>
      </c>
      <c r="B5" s="13" t="s">
        <v>96</v>
      </c>
      <c r="C5" s="524">
        <v>155185000</v>
      </c>
      <c r="D5" s="511">
        <v>155185000</v>
      </c>
      <c r="E5" s="180">
        <v>144594735.44999999</v>
      </c>
      <c r="F5" s="78">
        <f t="shared" ref="F5:F33" si="0">+E5/D5</f>
        <v>0.93175716370783246</v>
      </c>
      <c r="G5" s="180">
        <v>144594735.44999999</v>
      </c>
      <c r="H5" s="78">
        <f t="shared" ref="H5:H32" si="1">+G5/D5</f>
        <v>0.93175716370783246</v>
      </c>
      <c r="I5" s="180">
        <v>144594735.44999999</v>
      </c>
      <c r="J5" s="172">
        <f t="shared" ref="J5:J32" si="2">+I5/D5</f>
        <v>0.93175716370783246</v>
      </c>
      <c r="K5" s="642">
        <v>175686279.28</v>
      </c>
      <c r="L5" s="78">
        <v>0.93465008167059616</v>
      </c>
      <c r="M5" s="245">
        <f>+G5/K5-1</f>
        <v>-0.17697195226297591</v>
      </c>
      <c r="N5" s="607">
        <v>175686279.28</v>
      </c>
      <c r="O5" s="78">
        <v>0.93465008167059616</v>
      </c>
      <c r="P5" s="172">
        <f>+I5/N5-1</f>
        <v>-0.17697195226297591</v>
      </c>
      <c r="R5"/>
    </row>
    <row r="6" spans="1:19" ht="14.1" customHeight="1" x14ac:dyDescent="0.2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144594735.44999999</v>
      </c>
      <c r="F6" s="90">
        <f t="shared" si="0"/>
        <v>0.93175716370783246</v>
      </c>
      <c r="G6" s="203">
        <f>SUBTOTAL(9,G5:G5)</f>
        <v>144594735.44999999</v>
      </c>
      <c r="H6" s="90">
        <f t="shared" si="1"/>
        <v>0.93175716370783246</v>
      </c>
      <c r="I6" s="203">
        <f>SUBTOTAL(9,I5:I5)</f>
        <v>144594735.44999999</v>
      </c>
      <c r="J6" s="170">
        <f t="shared" si="2"/>
        <v>0.93175716370783246</v>
      </c>
      <c r="K6" s="152">
        <f>SUBTOTAL(9,K5:K5)</f>
        <v>175686279.28</v>
      </c>
      <c r="L6" s="90">
        <v>0.93465008167059616</v>
      </c>
      <c r="M6" s="213">
        <f>+G6/K6-1</f>
        <v>-0.17697195226297591</v>
      </c>
      <c r="N6" s="561">
        <f>SUBTOTAL(9,N5:N5)</f>
        <v>175686279.28</v>
      </c>
      <c r="O6" s="90">
        <v>0.93465008167059616</v>
      </c>
      <c r="P6" s="170">
        <f>+I6/N6-1</f>
        <v>-0.17697195226297591</v>
      </c>
      <c r="R6"/>
    </row>
    <row r="7" spans="1:19" ht="14.1" customHeight="1" x14ac:dyDescent="0.2">
      <c r="A7" s="37" t="s">
        <v>54</v>
      </c>
      <c r="B7" s="38" t="s">
        <v>549</v>
      </c>
      <c r="C7" s="198">
        <v>8321253.9400000004</v>
      </c>
      <c r="D7" s="204">
        <v>21662218.59</v>
      </c>
      <c r="E7" s="30">
        <v>9005315.5199999996</v>
      </c>
      <c r="F7" s="48">
        <f t="shared" si="0"/>
        <v>0.41571529169949162</v>
      </c>
      <c r="G7" s="30">
        <v>8779913.3100000005</v>
      </c>
      <c r="H7" s="48">
        <f t="shared" si="1"/>
        <v>0.40530997660844859</v>
      </c>
      <c r="I7" s="30">
        <v>7821898.7000000002</v>
      </c>
      <c r="J7" s="153">
        <f t="shared" si="2"/>
        <v>0.36108483844821182</v>
      </c>
      <c r="K7" s="643">
        <v>8508363.8900000006</v>
      </c>
      <c r="L7" s="48">
        <v>0.81237045462914192</v>
      </c>
      <c r="M7" s="210">
        <f>+G7/K7-1</f>
        <v>3.1915586064573009E-2</v>
      </c>
      <c r="N7" s="608">
        <v>7370516.1100000003</v>
      </c>
      <c r="O7" s="48">
        <v>0.70372983578774917</v>
      </c>
      <c r="P7" s="153">
        <f>+I7/N7-1</f>
        <v>6.1241652994636686E-2</v>
      </c>
    </row>
    <row r="8" spans="1:19" ht="14.1" customHeight="1" x14ac:dyDescent="0.2">
      <c r="A8" s="39" t="s">
        <v>55</v>
      </c>
      <c r="B8" s="40" t="s">
        <v>106</v>
      </c>
      <c r="C8" s="199">
        <v>169539288.22</v>
      </c>
      <c r="D8" s="205">
        <v>166165516.06</v>
      </c>
      <c r="E8" s="32">
        <v>145094664.08000001</v>
      </c>
      <c r="F8" s="280">
        <f t="shared" si="0"/>
        <v>0.87319359347464365</v>
      </c>
      <c r="G8" s="32">
        <v>144168931.93000001</v>
      </c>
      <c r="H8" s="280">
        <f t="shared" si="1"/>
        <v>0.86762244867907889</v>
      </c>
      <c r="I8" s="32">
        <v>139440225.80000001</v>
      </c>
      <c r="J8" s="178">
        <f t="shared" si="2"/>
        <v>0.83916464201663921</v>
      </c>
      <c r="K8" s="644">
        <v>160257272.47999999</v>
      </c>
      <c r="L8" s="280">
        <v>0.8140929878594132</v>
      </c>
      <c r="M8" s="443">
        <f>+G8/K8-1</f>
        <v>-0.10039070490238</v>
      </c>
      <c r="N8" s="609">
        <v>156007297.30000001</v>
      </c>
      <c r="O8" s="280">
        <v>0.79250348406297033</v>
      </c>
      <c r="P8" s="427">
        <f>+I8/N8-1</f>
        <v>-0.1061942087756429</v>
      </c>
      <c r="Q8" s="53" t="s">
        <v>148</v>
      </c>
    </row>
    <row r="9" spans="1:19" ht="14.1" customHeight="1" x14ac:dyDescent="0.2">
      <c r="A9" s="39" t="s">
        <v>56</v>
      </c>
      <c r="B9" s="40" t="s">
        <v>122</v>
      </c>
      <c r="C9" s="199">
        <v>60818645.530000001</v>
      </c>
      <c r="D9" s="205">
        <v>57030682.810000002</v>
      </c>
      <c r="E9" s="32">
        <v>1688905.33</v>
      </c>
      <c r="F9" s="280">
        <f t="shared" si="0"/>
        <v>2.9613977017014782E-2</v>
      </c>
      <c r="G9" s="32">
        <v>1631873.8</v>
      </c>
      <c r="H9" s="280">
        <f t="shared" si="1"/>
        <v>2.8613962162028689E-2</v>
      </c>
      <c r="I9" s="32">
        <v>1113047.83</v>
      </c>
      <c r="J9" s="178">
        <f t="shared" si="2"/>
        <v>1.9516649199311946E-2</v>
      </c>
      <c r="K9" s="644">
        <v>0</v>
      </c>
      <c r="L9" s="280">
        <v>0</v>
      </c>
      <c r="M9" s="224" t="s">
        <v>129</v>
      </c>
      <c r="N9" s="609">
        <v>0</v>
      </c>
      <c r="O9" s="280">
        <v>0</v>
      </c>
      <c r="P9" s="348" t="s">
        <v>129</v>
      </c>
      <c r="R9" s="276"/>
    </row>
    <row r="10" spans="1:19" ht="14.1" customHeight="1" x14ac:dyDescent="0.2">
      <c r="A10" s="39">
        <v>134</v>
      </c>
      <c r="B10" s="40" t="s">
        <v>468</v>
      </c>
      <c r="C10" s="199">
        <v>14713359.07</v>
      </c>
      <c r="D10" s="205">
        <v>15568143.75</v>
      </c>
      <c r="E10" s="32">
        <v>15393640.68</v>
      </c>
      <c r="F10" s="280">
        <f t="shared" si="0"/>
        <v>0.98879101627000332</v>
      </c>
      <c r="G10" s="32">
        <v>14933080.5</v>
      </c>
      <c r="H10" s="280">
        <f t="shared" si="1"/>
        <v>0.95920751631035006</v>
      </c>
      <c r="I10" s="32">
        <v>8587765.1699999999</v>
      </c>
      <c r="J10" s="178">
        <f t="shared" si="2"/>
        <v>0.55162422109572307</v>
      </c>
      <c r="K10" s="644">
        <v>16584952.220000001</v>
      </c>
      <c r="L10" s="280">
        <v>0.82275003719748718</v>
      </c>
      <c r="M10" s="210">
        <f t="shared" ref="M10:M20" si="3">+G10/K10-1</f>
        <v>-9.9600631831063602E-2</v>
      </c>
      <c r="N10" s="609">
        <v>7985580.8300000001</v>
      </c>
      <c r="O10" s="280">
        <v>0.39615048857379465</v>
      </c>
      <c r="P10" s="153">
        <f t="shared" ref="P10:P20" si="4">+I10/N10-1</f>
        <v>7.5408959325504732E-2</v>
      </c>
      <c r="R10" s="276"/>
    </row>
    <row r="11" spans="1:19" ht="14.1" customHeight="1" x14ac:dyDescent="0.2">
      <c r="A11" s="39" t="s">
        <v>57</v>
      </c>
      <c r="B11" s="40" t="s">
        <v>475</v>
      </c>
      <c r="C11" s="199">
        <v>431130.98</v>
      </c>
      <c r="D11" s="205">
        <v>376940.26</v>
      </c>
      <c r="E11" s="32">
        <v>351389.81</v>
      </c>
      <c r="F11" s="280">
        <f t="shared" si="0"/>
        <v>0.93221618194883182</v>
      </c>
      <c r="G11" s="32">
        <v>351389.81</v>
      </c>
      <c r="H11" s="280">
        <f t="shared" si="1"/>
        <v>0.93221618194883182</v>
      </c>
      <c r="I11" s="32">
        <v>351389.81</v>
      </c>
      <c r="J11" s="178">
        <f t="shared" si="2"/>
        <v>0.93221618194883182</v>
      </c>
      <c r="K11" s="644">
        <v>402447.29</v>
      </c>
      <c r="L11" s="280">
        <v>0.84376175655587071</v>
      </c>
      <c r="M11" s="210">
        <f t="shared" si="3"/>
        <v>-0.12686749611359038</v>
      </c>
      <c r="N11" s="609">
        <v>402447.29</v>
      </c>
      <c r="O11" s="280">
        <v>0.84376175655587071</v>
      </c>
      <c r="P11" s="153">
        <f t="shared" si="4"/>
        <v>-0.12686749611359038</v>
      </c>
      <c r="R11" s="275"/>
    </row>
    <row r="12" spans="1:19" ht="14.1" customHeight="1" x14ac:dyDescent="0.2">
      <c r="A12" s="39">
        <v>136</v>
      </c>
      <c r="B12" s="40" t="s">
        <v>741</v>
      </c>
      <c r="C12" s="199">
        <v>41868192.539999999</v>
      </c>
      <c r="D12" s="205">
        <v>45437662.82</v>
      </c>
      <c r="E12" s="32">
        <v>38075108.07</v>
      </c>
      <c r="F12" s="280">
        <f t="shared" si="0"/>
        <v>0.8379636122754256</v>
      </c>
      <c r="G12" s="32">
        <v>37793837.07</v>
      </c>
      <c r="H12" s="280">
        <f t="shared" si="1"/>
        <v>0.83177335110124839</v>
      </c>
      <c r="I12" s="32">
        <v>35802728.369999997</v>
      </c>
      <c r="J12" s="178">
        <f t="shared" si="2"/>
        <v>0.78795268391843742</v>
      </c>
      <c r="K12" s="644">
        <v>40237041.850000001</v>
      </c>
      <c r="L12" s="280">
        <v>0.83580618092798953</v>
      </c>
      <c r="M12" s="211">
        <f t="shared" si="3"/>
        <v>-6.0720288263437561E-2</v>
      </c>
      <c r="N12" s="609">
        <v>37299247.600000001</v>
      </c>
      <c r="O12" s="280">
        <v>0.77478214736214457</v>
      </c>
      <c r="P12" s="178">
        <f t="shared" si="4"/>
        <v>-4.012196830479775E-2</v>
      </c>
      <c r="R12" s="275"/>
    </row>
    <row r="13" spans="1:19" ht="14.1" customHeight="1" x14ac:dyDescent="0.2">
      <c r="A13" s="39" t="s">
        <v>58</v>
      </c>
      <c r="B13" s="40" t="s">
        <v>742</v>
      </c>
      <c r="C13" s="199">
        <v>27281948.489999998</v>
      </c>
      <c r="D13" s="205">
        <v>31744164.27</v>
      </c>
      <c r="E13" s="32">
        <v>28380268.68</v>
      </c>
      <c r="F13" s="280">
        <f t="shared" si="0"/>
        <v>0.89403105523936988</v>
      </c>
      <c r="G13" s="32">
        <v>25844604.449999999</v>
      </c>
      <c r="H13" s="280">
        <f t="shared" si="1"/>
        <v>0.81415293312429671</v>
      </c>
      <c r="I13" s="32">
        <v>22177452.16</v>
      </c>
      <c r="J13" s="178">
        <f t="shared" si="2"/>
        <v>0.69863084034500555</v>
      </c>
      <c r="K13" s="644">
        <v>21599270.309999999</v>
      </c>
      <c r="L13" s="280">
        <v>0.89534096549081654</v>
      </c>
      <c r="M13" s="211">
        <f t="shared" si="3"/>
        <v>0.19654988705958742</v>
      </c>
      <c r="N13" s="609">
        <v>19201319.93</v>
      </c>
      <c r="O13" s="280">
        <v>0.79594023678035342</v>
      </c>
      <c r="P13" s="178">
        <f t="shared" si="4"/>
        <v>0.15499623155333775</v>
      </c>
      <c r="R13" s="275"/>
      <c r="S13" s="275"/>
    </row>
    <row r="14" spans="1:19" ht="14.1" customHeight="1" x14ac:dyDescent="0.2">
      <c r="A14" s="39" t="s">
        <v>59</v>
      </c>
      <c r="B14" s="40" t="s">
        <v>476</v>
      </c>
      <c r="C14" s="199">
        <v>214257422.94</v>
      </c>
      <c r="D14" s="205">
        <v>275498697.93000001</v>
      </c>
      <c r="E14" s="32">
        <v>189569228.68000001</v>
      </c>
      <c r="F14" s="280">
        <f t="shared" si="0"/>
        <v>0.68809482623459306</v>
      </c>
      <c r="G14" s="32">
        <v>188508683.44999999</v>
      </c>
      <c r="H14" s="280">
        <f t="shared" si="1"/>
        <v>0.6842452790753194</v>
      </c>
      <c r="I14" s="32">
        <v>142567345.97999999</v>
      </c>
      <c r="J14" s="178">
        <f t="shared" si="2"/>
        <v>0.51748827508514816</v>
      </c>
      <c r="K14" s="644">
        <v>238821674.02000001</v>
      </c>
      <c r="L14" s="280">
        <v>0.82197314412913436</v>
      </c>
      <c r="M14" s="211">
        <f t="shared" si="3"/>
        <v>-0.2106717942433759</v>
      </c>
      <c r="N14" s="609">
        <v>223812223.91999999</v>
      </c>
      <c r="O14" s="280">
        <v>0.7703138257654536</v>
      </c>
      <c r="P14" s="178">
        <f t="shared" si="4"/>
        <v>-0.36300464968812596</v>
      </c>
      <c r="R14" s="275"/>
      <c r="S14" s="275"/>
    </row>
    <row r="15" spans="1:19" ht="14.1" customHeight="1" x14ac:dyDescent="0.2">
      <c r="A15" s="39">
        <v>152</v>
      </c>
      <c r="B15" s="40" t="s">
        <v>470</v>
      </c>
      <c r="C15" s="199">
        <v>49948909.390000001</v>
      </c>
      <c r="D15" s="205">
        <v>52336265.939999998</v>
      </c>
      <c r="E15" s="32">
        <v>47207192.399999999</v>
      </c>
      <c r="F15" s="280">
        <f t="shared" si="0"/>
        <v>0.9019977171111111</v>
      </c>
      <c r="G15" s="32">
        <v>47146712.799999997</v>
      </c>
      <c r="H15" s="280">
        <f t="shared" si="1"/>
        <v>0.90084212072085013</v>
      </c>
      <c r="I15" s="32">
        <v>31576543.670000002</v>
      </c>
      <c r="J15" s="178">
        <f t="shared" si="2"/>
        <v>0.60333963653808209</v>
      </c>
      <c r="K15" s="644">
        <v>34960263.899999999</v>
      </c>
      <c r="L15" s="280">
        <v>0.88180323784944581</v>
      </c>
      <c r="M15" s="211">
        <f t="shared" si="3"/>
        <v>0.348580003138935</v>
      </c>
      <c r="N15" s="609">
        <v>30711061.18</v>
      </c>
      <c r="O15" s="280">
        <v>0.7746255366887097</v>
      </c>
      <c r="P15" s="178">
        <f t="shared" si="4"/>
        <v>2.8181458300230666E-2</v>
      </c>
      <c r="R15" s="275"/>
      <c r="S15" s="275"/>
    </row>
    <row r="16" spans="1:19" ht="14.1" customHeight="1" x14ac:dyDescent="0.2">
      <c r="A16" s="39" t="s">
        <v>60</v>
      </c>
      <c r="B16" s="40" t="s">
        <v>477</v>
      </c>
      <c r="C16" s="199">
        <v>129037696.42</v>
      </c>
      <c r="D16" s="205">
        <v>82164987.609999999</v>
      </c>
      <c r="E16" s="32">
        <v>50619853.659999996</v>
      </c>
      <c r="F16" s="280">
        <f t="shared" si="0"/>
        <v>0.61607571707147968</v>
      </c>
      <c r="G16" s="32">
        <v>49567196.119999997</v>
      </c>
      <c r="H16" s="280">
        <f t="shared" si="1"/>
        <v>0.60326420731994801</v>
      </c>
      <c r="I16" s="32">
        <v>28718113.359999999</v>
      </c>
      <c r="J16" s="178">
        <f t="shared" si="2"/>
        <v>0.34951764973557697</v>
      </c>
      <c r="K16" s="645">
        <v>45194978.869999997</v>
      </c>
      <c r="L16" s="280">
        <v>0.81164049064758947</v>
      </c>
      <c r="M16" s="211">
        <f t="shared" si="3"/>
        <v>9.6741216819159481E-2</v>
      </c>
      <c r="N16" s="610">
        <v>30498076.710000001</v>
      </c>
      <c r="O16" s="280">
        <v>0.54770407163843915</v>
      </c>
      <c r="P16" s="178">
        <f t="shared" si="4"/>
        <v>-5.8363134401074213E-2</v>
      </c>
      <c r="R16" s="275"/>
    </row>
    <row r="17" spans="1:18" ht="14.1" customHeight="1" x14ac:dyDescent="0.2">
      <c r="A17" s="39">
        <v>160</v>
      </c>
      <c r="B17" s="40" t="s">
        <v>162</v>
      </c>
      <c r="C17" s="199">
        <v>18375699.07</v>
      </c>
      <c r="D17" s="205">
        <v>19091142.190000001</v>
      </c>
      <c r="E17" s="32">
        <v>18897873.48</v>
      </c>
      <c r="F17" s="280">
        <f t="shared" si="0"/>
        <v>0.98987652451191555</v>
      </c>
      <c r="G17" s="32">
        <v>18897873.48</v>
      </c>
      <c r="H17" s="280">
        <f t="shared" si="1"/>
        <v>0.98987652451191555</v>
      </c>
      <c r="I17" s="32">
        <v>13625658.890000001</v>
      </c>
      <c r="J17" s="178">
        <f t="shared" si="2"/>
        <v>0.71371627503445878</v>
      </c>
      <c r="K17" s="644">
        <v>19349633.260000002</v>
      </c>
      <c r="L17" s="280">
        <v>0.94720484833802543</v>
      </c>
      <c r="M17" s="211">
        <f t="shared" si="3"/>
        <v>-2.3347201155170638E-2</v>
      </c>
      <c r="N17" s="609">
        <v>14991552.6</v>
      </c>
      <c r="O17" s="280">
        <v>0.73386772328079408</v>
      </c>
      <c r="P17" s="178">
        <f t="shared" si="4"/>
        <v>-9.1110890675859646E-2</v>
      </c>
      <c r="R17" s="275"/>
    </row>
    <row r="18" spans="1:18" ht="14.1" customHeight="1" x14ac:dyDescent="0.2">
      <c r="A18" s="39" t="s">
        <v>61</v>
      </c>
      <c r="B18" s="40" t="s">
        <v>478</v>
      </c>
      <c r="C18" s="199">
        <v>8493454.4900000002</v>
      </c>
      <c r="D18" s="205">
        <v>8433501.8599999994</v>
      </c>
      <c r="E18" s="32">
        <v>7092847.8799999999</v>
      </c>
      <c r="F18" s="280">
        <f t="shared" si="0"/>
        <v>0.84103234904604629</v>
      </c>
      <c r="G18" s="32">
        <v>7092847.8799999999</v>
      </c>
      <c r="H18" s="280">
        <f t="shared" si="1"/>
        <v>0.84103234904604629</v>
      </c>
      <c r="I18" s="32">
        <v>3940402.31</v>
      </c>
      <c r="J18" s="178">
        <f t="shared" si="2"/>
        <v>0.4672320437479574</v>
      </c>
      <c r="K18" s="644">
        <v>6159912.9800000004</v>
      </c>
      <c r="L18" s="280">
        <v>0.99902960904640981</v>
      </c>
      <c r="M18" s="211">
        <f t="shared" si="3"/>
        <v>0.15145261029320567</v>
      </c>
      <c r="N18" s="609">
        <v>3611148.06</v>
      </c>
      <c r="O18" s="280">
        <v>0.58566474011951075</v>
      </c>
      <c r="P18" s="178">
        <f t="shared" si="4"/>
        <v>9.1177167075226384E-2</v>
      </c>
    </row>
    <row r="19" spans="1:18" ht="14.1" customHeight="1" x14ac:dyDescent="0.2">
      <c r="A19" s="39" t="s">
        <v>62</v>
      </c>
      <c r="B19" s="40" t="s">
        <v>121</v>
      </c>
      <c r="C19" s="199">
        <v>108819137.34</v>
      </c>
      <c r="D19" s="205">
        <v>103898283.73</v>
      </c>
      <c r="E19" s="32">
        <v>93164097.219999999</v>
      </c>
      <c r="F19" s="280">
        <f t="shared" si="0"/>
        <v>0.89668562247000261</v>
      </c>
      <c r="G19" s="32">
        <v>93164097.219999999</v>
      </c>
      <c r="H19" s="280">
        <f t="shared" si="1"/>
        <v>0.89668562247000261</v>
      </c>
      <c r="I19" s="32">
        <v>59029458.359999999</v>
      </c>
      <c r="J19" s="178">
        <f t="shared" si="2"/>
        <v>0.56814661648694398</v>
      </c>
      <c r="K19" s="644">
        <v>94099599.390000001</v>
      </c>
      <c r="L19" s="280">
        <v>0.97968170044980774</v>
      </c>
      <c r="M19" s="211">
        <f t="shared" si="3"/>
        <v>-9.9416169257295905E-3</v>
      </c>
      <c r="N19" s="609">
        <v>59705331.229999997</v>
      </c>
      <c r="O19" s="280">
        <v>0.62159903766329316</v>
      </c>
      <c r="P19" s="178">
        <f t="shared" si="4"/>
        <v>-1.1320142708803771E-2</v>
      </c>
    </row>
    <row r="20" spans="1:18" ht="14.1" customHeight="1" x14ac:dyDescent="0.2">
      <c r="A20" s="39" t="s">
        <v>63</v>
      </c>
      <c r="B20" s="40" t="s">
        <v>98</v>
      </c>
      <c r="C20" s="199">
        <v>171073344.52000001</v>
      </c>
      <c r="D20" s="205">
        <v>174749390.63999999</v>
      </c>
      <c r="E20" s="32">
        <v>174465421.55000001</v>
      </c>
      <c r="F20" s="280">
        <f t="shared" si="0"/>
        <v>0.99837499238789917</v>
      </c>
      <c r="G20" s="32">
        <v>174464586.87</v>
      </c>
      <c r="H20" s="280">
        <f t="shared" si="1"/>
        <v>0.99837021594778141</v>
      </c>
      <c r="I20" s="32">
        <v>118249441.65000001</v>
      </c>
      <c r="J20" s="178">
        <f t="shared" si="2"/>
        <v>0.67668013729218013</v>
      </c>
      <c r="K20" s="644">
        <v>176745515</v>
      </c>
      <c r="L20" s="280">
        <v>0.99470269688760504</v>
      </c>
      <c r="M20" s="211">
        <f t="shared" si="3"/>
        <v>-1.2905154226968585E-2</v>
      </c>
      <c r="N20" s="609">
        <v>117471629.44</v>
      </c>
      <c r="O20" s="280">
        <v>0.66111633221216037</v>
      </c>
      <c r="P20" s="178">
        <f t="shared" si="4"/>
        <v>6.6212771007596594E-3</v>
      </c>
    </row>
    <row r="21" spans="1:18" ht="14.1" customHeight="1" x14ac:dyDescent="0.2">
      <c r="A21" s="39" t="s">
        <v>64</v>
      </c>
      <c r="B21" s="40" t="s">
        <v>491</v>
      </c>
      <c r="C21" s="199">
        <v>11864168</v>
      </c>
      <c r="D21" s="205">
        <v>11973361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44">
        <v>0</v>
      </c>
      <c r="L21" s="280">
        <v>0</v>
      </c>
      <c r="M21" s="212" t="s">
        <v>129</v>
      </c>
      <c r="N21" s="609">
        <v>0</v>
      </c>
      <c r="O21" s="280">
        <v>0</v>
      </c>
      <c r="P21" s="432" t="s">
        <v>129</v>
      </c>
    </row>
    <row r="22" spans="1:18" ht="14.1" customHeight="1" x14ac:dyDescent="0.2">
      <c r="A22" s="39" t="s">
        <v>65</v>
      </c>
      <c r="B22" s="40" t="s">
        <v>99</v>
      </c>
      <c r="C22" s="199">
        <v>31920925.68</v>
      </c>
      <c r="D22" s="205">
        <v>32498696.41</v>
      </c>
      <c r="E22" s="32">
        <v>32209660.969999999</v>
      </c>
      <c r="F22" s="280">
        <f t="shared" si="0"/>
        <v>0.99110624511354051</v>
      </c>
      <c r="G22" s="32">
        <v>32192403.510000002</v>
      </c>
      <c r="H22" s="280">
        <f t="shared" si="1"/>
        <v>0.99057522504484974</v>
      </c>
      <c r="I22" s="32">
        <v>16214085.539999999</v>
      </c>
      <c r="J22" s="178">
        <f t="shared" si="2"/>
        <v>0.49891495140127678</v>
      </c>
      <c r="K22" s="644">
        <v>29697405.969999999</v>
      </c>
      <c r="L22" s="280">
        <v>0.91690148099865765</v>
      </c>
      <c r="M22" s="211">
        <f t="shared" ref="M22:M27" si="5">+G22/K22-1</f>
        <v>8.4013989050775173E-2</v>
      </c>
      <c r="N22" s="609">
        <v>15786568.380000001</v>
      </c>
      <c r="O22" s="280">
        <v>0.4874071473491926</v>
      </c>
      <c r="P22" s="178">
        <f>+I22/N22-1</f>
        <v>2.7081069787251444E-2</v>
      </c>
    </row>
    <row r="23" spans="1:18" ht="14.1" customHeight="1" x14ac:dyDescent="0.2">
      <c r="A23" s="39" t="s">
        <v>66</v>
      </c>
      <c r="B23" s="40" t="s">
        <v>112</v>
      </c>
      <c r="C23" s="199">
        <v>2348598.2599999998</v>
      </c>
      <c r="D23" s="205">
        <v>2617738.81</v>
      </c>
      <c r="E23" s="32">
        <v>2617738.71</v>
      </c>
      <c r="F23" s="280">
        <f t="shared" si="0"/>
        <v>0.99999996179909179</v>
      </c>
      <c r="G23" s="32">
        <v>2285003.5</v>
      </c>
      <c r="H23" s="280">
        <f t="shared" si="1"/>
        <v>0.87289208964281662</v>
      </c>
      <c r="I23" s="32">
        <v>1915954.55</v>
      </c>
      <c r="J23" s="178">
        <f t="shared" si="2"/>
        <v>0.73191203900132418</v>
      </c>
      <c r="K23" s="644">
        <v>1863566.66</v>
      </c>
      <c r="L23" s="280">
        <v>0.7004922967210051</v>
      </c>
      <c r="M23" s="211">
        <f t="shared" si="5"/>
        <v>0.22614529925106086</v>
      </c>
      <c r="N23" s="609">
        <v>1438948.47</v>
      </c>
      <c r="O23" s="280">
        <v>0.54088342544906676</v>
      </c>
      <c r="P23" s="178">
        <f>+I23/N23-1</f>
        <v>0.33149629048217411</v>
      </c>
    </row>
    <row r="24" spans="1:18" ht="14.1" customHeight="1" x14ac:dyDescent="0.2">
      <c r="A24" s="39" t="s">
        <v>67</v>
      </c>
      <c r="B24" s="40" t="s">
        <v>109</v>
      </c>
      <c r="C24" s="199">
        <v>56423741.060000002</v>
      </c>
      <c r="D24" s="205">
        <v>51801568.289999999</v>
      </c>
      <c r="E24" s="32">
        <v>49440916.350000001</v>
      </c>
      <c r="F24" s="280">
        <f t="shared" si="0"/>
        <v>0.9544289484290438</v>
      </c>
      <c r="G24" s="32">
        <v>49434132.549999997</v>
      </c>
      <c r="H24" s="280">
        <f t="shared" si="1"/>
        <v>0.9542979910039322</v>
      </c>
      <c r="I24" s="32">
        <v>34469869.920000002</v>
      </c>
      <c r="J24" s="178">
        <f t="shared" si="2"/>
        <v>0.66542135803742097</v>
      </c>
      <c r="K24" s="644">
        <v>49927813.380000003</v>
      </c>
      <c r="L24" s="280">
        <v>0.96950482120628778</v>
      </c>
      <c r="M24" s="211">
        <f t="shared" si="5"/>
        <v>-9.8878920701495066E-3</v>
      </c>
      <c r="N24" s="609">
        <v>39566671.909999996</v>
      </c>
      <c r="O24" s="280">
        <v>0.76831081873893181</v>
      </c>
      <c r="P24" s="178">
        <f>+I24/N24-1</f>
        <v>-0.12881553448805083</v>
      </c>
    </row>
    <row r="25" spans="1:18" ht="14.1" customHeight="1" x14ac:dyDescent="0.2">
      <c r="A25" s="41">
        <v>172</v>
      </c>
      <c r="B25" s="42" t="s">
        <v>471</v>
      </c>
      <c r="C25" s="199">
        <v>16330544.140000001</v>
      </c>
      <c r="D25" s="205">
        <v>8367502.1600000001</v>
      </c>
      <c r="E25" s="32">
        <v>6194765.3499999996</v>
      </c>
      <c r="F25" s="280">
        <f t="shared" si="0"/>
        <v>0.74033627139213065</v>
      </c>
      <c r="G25" s="32">
        <v>5744388.3200000003</v>
      </c>
      <c r="H25" s="280">
        <f t="shared" si="1"/>
        <v>0.68651172239434477</v>
      </c>
      <c r="I25" s="32">
        <v>2813092.04</v>
      </c>
      <c r="J25" s="178">
        <f t="shared" si="2"/>
        <v>0.33619256812955517</v>
      </c>
      <c r="K25" s="206">
        <v>2211875.11</v>
      </c>
      <c r="L25" s="390">
        <v>0.71030963528666058</v>
      </c>
      <c r="M25" s="211">
        <f t="shared" si="5"/>
        <v>1.59706720964006</v>
      </c>
      <c r="N25" s="573">
        <v>1449423.15</v>
      </c>
      <c r="O25" s="390">
        <v>0.46545992782230039</v>
      </c>
      <c r="P25" s="178">
        <f>+I25/N25-1</f>
        <v>0.94083559380157555</v>
      </c>
    </row>
    <row r="26" spans="1:18" ht="14.1" customHeight="1" x14ac:dyDescent="0.2">
      <c r="A26" s="41" t="s">
        <v>68</v>
      </c>
      <c r="B26" s="655" t="s">
        <v>131</v>
      </c>
      <c r="C26" s="654">
        <v>3772412.45</v>
      </c>
      <c r="D26" s="397">
        <v>3095183.41</v>
      </c>
      <c r="E26" s="398">
        <v>2803261.87</v>
      </c>
      <c r="F26" s="412">
        <f t="shared" si="0"/>
        <v>0.90568522076693347</v>
      </c>
      <c r="G26" s="398">
        <v>2704408.53</v>
      </c>
      <c r="H26" s="412">
        <f t="shared" si="1"/>
        <v>0.87374742358159629</v>
      </c>
      <c r="I26" s="398">
        <v>2147987.9300000002</v>
      </c>
      <c r="J26" s="427">
        <f t="shared" si="2"/>
        <v>0.69397759210656929</v>
      </c>
      <c r="K26" s="656">
        <v>2157732.6</v>
      </c>
      <c r="L26" s="412">
        <v>0.56252886674277025</v>
      </c>
      <c r="M26" s="443">
        <f t="shared" si="5"/>
        <v>0.25335666245205712</v>
      </c>
      <c r="N26" s="657">
        <v>1268580.26</v>
      </c>
      <c r="O26" s="412">
        <v>0.33072356418494525</v>
      </c>
      <c r="P26" s="178">
        <f>+I26/N26-1</f>
        <v>0.69322194088058731</v>
      </c>
    </row>
    <row r="27" spans="1:18" ht="14.1" customHeight="1" x14ac:dyDescent="0.2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1164511648.5400002</v>
      </c>
      <c r="E27" s="203">
        <f>SUBTOTAL(9,E7:E26)</f>
        <v>912272150.29000008</v>
      </c>
      <c r="F27" s="90">
        <f t="shared" si="0"/>
        <v>0.78339461132377342</v>
      </c>
      <c r="G27" s="203">
        <f>SUM(G7:G26)</f>
        <v>904705965.10000002</v>
      </c>
      <c r="H27" s="90">
        <f t="shared" si="1"/>
        <v>0.77689730818431046</v>
      </c>
      <c r="I27" s="203">
        <f>SUM(I7:I26)</f>
        <v>670562462.03999984</v>
      </c>
      <c r="J27" s="170">
        <f t="shared" si="2"/>
        <v>0.57583147655131972</v>
      </c>
      <c r="K27" s="152">
        <f>SUBTOTAL(9,K7:K26)</f>
        <v>948779319.17999995</v>
      </c>
      <c r="L27" s="90">
        <v>0.82861354699508327</v>
      </c>
      <c r="M27" s="213">
        <f t="shared" si="5"/>
        <v>-4.6452692622022118E-2</v>
      </c>
      <c r="N27" s="561">
        <f>SUM(N7:N26)</f>
        <v>768577624.37</v>
      </c>
      <c r="O27" s="90">
        <v>0.6712349421999344</v>
      </c>
      <c r="P27" s="170">
        <f t="shared" ref="P27:P32" si="6">+I27/N27-1</f>
        <v>-0.12752799355867639</v>
      </c>
    </row>
    <row r="28" spans="1:18" ht="14.1" customHeight="1" x14ac:dyDescent="0.2">
      <c r="A28" s="37" t="s">
        <v>69</v>
      </c>
      <c r="B28" s="38" t="s">
        <v>100</v>
      </c>
      <c r="C28" s="198">
        <v>557191.48</v>
      </c>
      <c r="D28" s="204">
        <v>513059.79</v>
      </c>
      <c r="E28" s="30">
        <v>409750.75</v>
      </c>
      <c r="F28" s="48">
        <f t="shared" si="0"/>
        <v>0.79864132404529309</v>
      </c>
      <c r="G28" s="30">
        <v>409750.75</v>
      </c>
      <c r="H28" s="48">
        <f t="shared" si="1"/>
        <v>0.79864132404529309</v>
      </c>
      <c r="I28" s="30">
        <v>409750.75</v>
      </c>
      <c r="J28" s="153">
        <f t="shared" si="2"/>
        <v>0.79864132404529309</v>
      </c>
      <c r="K28" s="643">
        <v>453729.83</v>
      </c>
      <c r="L28" s="48">
        <v>0.79579426964420208</v>
      </c>
      <c r="M28" s="210">
        <f t="shared" ref="M28:M32" si="7">+G28/K28-1</f>
        <v>-9.6927900905259046E-2</v>
      </c>
      <c r="N28" s="608">
        <v>453729.83</v>
      </c>
      <c r="O28" s="48">
        <v>0.79579426964420208</v>
      </c>
      <c r="P28" s="153">
        <f t="shared" si="6"/>
        <v>-9.6927900905259046E-2</v>
      </c>
    </row>
    <row r="29" spans="1:18" ht="14.1" customHeight="1" x14ac:dyDescent="0.2">
      <c r="A29" s="39" t="s">
        <v>70</v>
      </c>
      <c r="B29" s="40" t="s">
        <v>743</v>
      </c>
      <c r="C29" s="199">
        <v>27181862.050000001</v>
      </c>
      <c r="D29" s="205">
        <v>26345593.829999998</v>
      </c>
      <c r="E29" s="32">
        <v>19899491.739999998</v>
      </c>
      <c r="F29" s="280">
        <f t="shared" si="0"/>
        <v>0.75532523079211233</v>
      </c>
      <c r="G29" s="32">
        <v>18643173.670000002</v>
      </c>
      <c r="H29" s="280">
        <f t="shared" si="1"/>
        <v>0.70763915174198233</v>
      </c>
      <c r="I29" s="32">
        <v>17056271.640000001</v>
      </c>
      <c r="J29" s="178">
        <f t="shared" si="2"/>
        <v>0.64740509362054499</v>
      </c>
      <c r="K29" s="644">
        <v>18740897.050000001</v>
      </c>
      <c r="L29" s="280">
        <v>0.7474198020188968</v>
      </c>
      <c r="M29" s="211">
        <f t="shared" si="7"/>
        <v>-5.214445164459125E-3</v>
      </c>
      <c r="N29" s="609">
        <v>16998777.620000001</v>
      </c>
      <c r="O29" s="280">
        <v>0.67794102755095464</v>
      </c>
      <c r="P29" s="178">
        <f t="shared" si="6"/>
        <v>3.3822443757576259E-3</v>
      </c>
    </row>
    <row r="30" spans="1:18" ht="14.1" customHeight="1" x14ac:dyDescent="0.2">
      <c r="A30" s="39" t="s">
        <v>71</v>
      </c>
      <c r="B30" s="40" t="s">
        <v>479</v>
      </c>
      <c r="C30" s="199">
        <v>244713639.38999999</v>
      </c>
      <c r="D30" s="205">
        <v>250690725.33000001</v>
      </c>
      <c r="E30" s="32">
        <v>237954762.31</v>
      </c>
      <c r="F30" s="280">
        <f t="shared" si="0"/>
        <v>0.94919651294145457</v>
      </c>
      <c r="G30" s="32">
        <v>231321390.13</v>
      </c>
      <c r="H30" s="280">
        <f t="shared" si="1"/>
        <v>0.92273613164386936</v>
      </c>
      <c r="I30" s="32">
        <v>189991270.34</v>
      </c>
      <c r="J30" s="178">
        <f t="shared" si="2"/>
        <v>0.75787115813679384</v>
      </c>
      <c r="K30" s="646">
        <v>210895377.50999999</v>
      </c>
      <c r="L30" s="280">
        <v>0.92530341714519415</v>
      </c>
      <c r="M30" s="211">
        <f t="shared" si="7"/>
        <v>9.6853771102837216E-2</v>
      </c>
      <c r="N30" s="611">
        <v>183546302.09999999</v>
      </c>
      <c r="O30" s="280">
        <v>0.80530935548571247</v>
      </c>
      <c r="P30" s="178">
        <f t="shared" si="6"/>
        <v>3.5113582601564275E-2</v>
      </c>
    </row>
    <row r="31" spans="1:18" ht="14.1" customHeight="1" x14ac:dyDescent="0.2">
      <c r="A31" s="39" t="s">
        <v>72</v>
      </c>
      <c r="B31" s="40" t="s">
        <v>101</v>
      </c>
      <c r="C31" s="199">
        <v>39641547.32</v>
      </c>
      <c r="D31" s="205">
        <v>38489766.490000002</v>
      </c>
      <c r="E31" s="32">
        <v>33887123.729999997</v>
      </c>
      <c r="F31" s="280">
        <f t="shared" si="0"/>
        <v>0.88041905213439486</v>
      </c>
      <c r="G31" s="32">
        <v>31071621.16</v>
      </c>
      <c r="H31" s="280">
        <f t="shared" si="1"/>
        <v>0.8072696717469745</v>
      </c>
      <c r="I31" s="32">
        <v>21454138.670000002</v>
      </c>
      <c r="J31" s="178">
        <f t="shared" si="2"/>
        <v>0.5573985146304794</v>
      </c>
      <c r="K31" s="644">
        <v>22484369.75</v>
      </c>
      <c r="L31" s="280">
        <v>0.62313064486951386</v>
      </c>
      <c r="M31" s="211">
        <f t="shared" si="7"/>
        <v>0.38192093020530415</v>
      </c>
      <c r="N31" s="609">
        <v>16057850.130000001</v>
      </c>
      <c r="O31" s="280">
        <v>0.44502641692791528</v>
      </c>
      <c r="P31" s="178">
        <f t="shared" si="6"/>
        <v>0.33605298942966289</v>
      </c>
    </row>
    <row r="32" spans="1:18" ht="14.1" customHeight="1" x14ac:dyDescent="0.2">
      <c r="A32" s="253">
        <v>234</v>
      </c>
      <c r="B32" s="40" t="s">
        <v>431</v>
      </c>
      <c r="C32" s="199">
        <v>10668077.699999999</v>
      </c>
      <c r="D32" s="205">
        <v>10746163.939999999</v>
      </c>
      <c r="E32" s="32">
        <v>10728080.539999999</v>
      </c>
      <c r="F32" s="280">
        <f t="shared" si="0"/>
        <v>0.99831722276889068</v>
      </c>
      <c r="G32" s="32">
        <v>10660231.960000001</v>
      </c>
      <c r="H32" s="280">
        <f t="shared" si="1"/>
        <v>0.9920034739391852</v>
      </c>
      <c r="I32" s="32">
        <v>7994709.54</v>
      </c>
      <c r="J32" s="178">
        <f t="shared" si="2"/>
        <v>0.7439593872415835</v>
      </c>
      <c r="K32" s="644">
        <v>10766557.390000001</v>
      </c>
      <c r="L32" s="390">
        <v>0.98906359450719827</v>
      </c>
      <c r="M32" s="211">
        <f t="shared" si="7"/>
        <v>-9.8755271669991318E-3</v>
      </c>
      <c r="N32" s="609">
        <v>7385216.9800000004</v>
      </c>
      <c r="O32" s="390">
        <v>0.67843870495120218</v>
      </c>
      <c r="P32" s="178">
        <f t="shared" si="6"/>
        <v>8.2528727544576519E-2</v>
      </c>
    </row>
    <row r="33" spans="1:18" ht="14.1" customHeight="1" x14ac:dyDescent="0.2">
      <c r="A33" s="526">
        <v>2</v>
      </c>
      <c r="B33" s="513" t="s">
        <v>125</v>
      </c>
      <c r="C33" s="201">
        <f>SUBTOTAL(9,C28:C32)</f>
        <v>322762317.93999994</v>
      </c>
      <c r="D33" s="207">
        <f>SUBTOTAL(9,D28:D32)</f>
        <v>326785309.38</v>
      </c>
      <c r="E33" s="203">
        <f>SUBTOTAL(9,E28:E32)</f>
        <v>302879209.07000005</v>
      </c>
      <c r="F33" s="263">
        <f t="shared" si="0"/>
        <v>0.9268446297192604</v>
      </c>
      <c r="G33" s="203">
        <f>SUBTOTAL(9,G28:G32)</f>
        <v>292106167.67000002</v>
      </c>
      <c r="H33" s="90">
        <f>G33/D33</f>
        <v>0.89387790480607687</v>
      </c>
      <c r="I33" s="203">
        <f>SUBTOTAL(9,I28:I32)</f>
        <v>236906140.94000003</v>
      </c>
      <c r="J33" s="170">
        <f>I33/D33</f>
        <v>0.72495958092325197</v>
      </c>
      <c r="K33" s="152">
        <f>SUM(K28:K32)</f>
        <v>263340931.52999997</v>
      </c>
      <c r="L33" s="90">
        <v>0.86906145982120986</v>
      </c>
      <c r="M33" s="213">
        <f t="shared" ref="M33:M56" si="8">+G33/K33-1</f>
        <v>0.10923192218116351</v>
      </c>
      <c r="N33" s="561">
        <f>SUM(N28:N32)</f>
        <v>224441876.65999997</v>
      </c>
      <c r="O33" s="90">
        <v>0.74068920407434213</v>
      </c>
      <c r="P33" s="170">
        <f t="shared" ref="P33:P55" si="9">+I33/N33-1</f>
        <v>5.5534486101636915E-2</v>
      </c>
    </row>
    <row r="34" spans="1:18" ht="14.1" customHeight="1" x14ac:dyDescent="0.2">
      <c r="A34" s="37">
        <v>311</v>
      </c>
      <c r="B34" s="38" t="s">
        <v>472</v>
      </c>
      <c r="C34" s="198">
        <v>19998074.850000001</v>
      </c>
      <c r="D34" s="511">
        <v>19318987.59</v>
      </c>
      <c r="E34" s="180">
        <v>18622675.690000001</v>
      </c>
      <c r="F34" s="48">
        <f t="shared" ref="F34:F69" si="10">+E34/D34</f>
        <v>0.96395712266203704</v>
      </c>
      <c r="G34" s="180">
        <v>18572459.359999999</v>
      </c>
      <c r="H34" s="48">
        <f t="shared" ref="H34:H81" si="11">+G34/D34</f>
        <v>0.96135779752835382</v>
      </c>
      <c r="I34" s="180">
        <v>13453399.48</v>
      </c>
      <c r="J34" s="153">
        <f t="shared" ref="J34:J81" si="12">+I34/D34</f>
        <v>0.6963822207207081</v>
      </c>
      <c r="K34" s="643">
        <v>19365498.219999999</v>
      </c>
      <c r="L34" s="48">
        <v>0.9812782217179119</v>
      </c>
      <c r="M34" s="210">
        <f t="shared" si="8"/>
        <v>-4.0951120957010922E-2</v>
      </c>
      <c r="N34" s="608">
        <v>18866533.960000001</v>
      </c>
      <c r="O34" s="48">
        <v>0.95599497022645652</v>
      </c>
      <c r="P34" s="153">
        <f t="shared" si="9"/>
        <v>-0.28691727327747063</v>
      </c>
    </row>
    <row r="35" spans="1:18" ht="14.1" customHeight="1" x14ac:dyDescent="0.2">
      <c r="A35" s="37" t="s">
        <v>73</v>
      </c>
      <c r="B35" s="38" t="s">
        <v>132</v>
      </c>
      <c r="C35" s="200">
        <v>2248848</v>
      </c>
      <c r="D35" s="206">
        <v>4057577.19</v>
      </c>
      <c r="E35" s="34">
        <v>4057577.19</v>
      </c>
      <c r="F35" s="48">
        <f t="shared" si="10"/>
        <v>1</v>
      </c>
      <c r="G35" s="34">
        <v>4057577.19</v>
      </c>
      <c r="H35" s="48">
        <f t="shared" si="11"/>
        <v>1</v>
      </c>
      <c r="I35" s="34">
        <v>2248848</v>
      </c>
      <c r="J35" s="153">
        <f t="shared" si="12"/>
        <v>0.55423418821023096</v>
      </c>
      <c r="K35" s="643">
        <v>2248848</v>
      </c>
      <c r="L35" s="48">
        <v>1</v>
      </c>
      <c r="M35" s="210">
        <f t="shared" si="8"/>
        <v>0.8042914372158545</v>
      </c>
      <c r="N35" s="608">
        <v>2248848</v>
      </c>
      <c r="O35" s="48">
        <v>1</v>
      </c>
      <c r="P35" s="153">
        <f t="shared" si="9"/>
        <v>0</v>
      </c>
    </row>
    <row r="36" spans="1:18" ht="14.1" customHeight="1" x14ac:dyDescent="0.2">
      <c r="A36" s="37">
        <v>313</v>
      </c>
      <c r="B36" s="38" t="s">
        <v>761</v>
      </c>
      <c r="C36" s="200">
        <v>9000</v>
      </c>
      <c r="D36" s="206">
        <v>6000</v>
      </c>
      <c r="E36" s="34">
        <v>6000</v>
      </c>
      <c r="F36" s="48">
        <f t="shared" si="10"/>
        <v>1</v>
      </c>
      <c r="G36" s="34">
        <v>5190</v>
      </c>
      <c r="H36" s="48">
        <f t="shared" si="11"/>
        <v>0.86499999999999999</v>
      </c>
      <c r="I36" s="34">
        <v>5190</v>
      </c>
      <c r="J36" s="153">
        <f t="shared" si="12"/>
        <v>0.86499999999999999</v>
      </c>
      <c r="K36" s="643">
        <v>0</v>
      </c>
      <c r="L36" s="48">
        <v>0</v>
      </c>
      <c r="M36" s="224" t="s">
        <v>129</v>
      </c>
      <c r="N36" s="608">
        <v>0</v>
      </c>
      <c r="O36" s="48">
        <v>0</v>
      </c>
      <c r="P36" s="348" t="s">
        <v>129</v>
      </c>
    </row>
    <row r="37" spans="1:18" ht="14.1" customHeight="1" x14ac:dyDescent="0.2">
      <c r="A37" s="39" t="s">
        <v>74</v>
      </c>
      <c r="B37" s="40" t="s">
        <v>654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7100000</v>
      </c>
      <c r="J37" s="178">
        <f t="shared" si="12"/>
        <v>0.66510933096690805</v>
      </c>
      <c r="K37" s="644">
        <v>29852779.66</v>
      </c>
      <c r="L37" s="280">
        <v>0.95625071058868372</v>
      </c>
      <c r="M37" s="212">
        <f t="shared" si="8"/>
        <v>-0.64241397914769593</v>
      </c>
      <c r="N37" s="609">
        <v>19583142.57</v>
      </c>
      <c r="O37" s="280">
        <v>0.62729146871417341</v>
      </c>
      <c r="P37" s="153">
        <f t="shared" si="9"/>
        <v>-0.63744327680702784</v>
      </c>
    </row>
    <row r="38" spans="1:18" ht="14.1" customHeight="1" x14ac:dyDescent="0.2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39938923</v>
      </c>
      <c r="J38" s="178">
        <f t="shared" si="12"/>
        <v>0.9469409484321385</v>
      </c>
      <c r="K38" s="205">
        <v>39307154.049999997</v>
      </c>
      <c r="L38" s="603">
        <v>1</v>
      </c>
      <c r="M38" s="211">
        <f t="shared" si="8"/>
        <v>7.3005261493868101E-2</v>
      </c>
      <c r="N38" s="572">
        <v>39307154.049999997</v>
      </c>
      <c r="O38" s="603">
        <v>1</v>
      </c>
      <c r="P38" s="153">
        <f t="shared" si="9"/>
        <v>1.6072619991678083E-2</v>
      </c>
    </row>
    <row r="39" spans="1:18" ht="14.1" customHeight="1" x14ac:dyDescent="0.2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8163831</v>
      </c>
      <c r="F39" s="280">
        <f t="shared" si="10"/>
        <v>1</v>
      </c>
      <c r="G39" s="34">
        <v>8163831</v>
      </c>
      <c r="H39" s="280">
        <f t="shared" si="11"/>
        <v>1</v>
      </c>
      <c r="I39" s="34">
        <v>5416531</v>
      </c>
      <c r="J39" s="178">
        <f t="shared" si="12"/>
        <v>0.66347907005914253</v>
      </c>
      <c r="K39" s="205">
        <v>7557020.8600000003</v>
      </c>
      <c r="L39" s="280">
        <v>1</v>
      </c>
      <c r="M39" s="211">
        <f t="shared" si="8"/>
        <v>8.0297534073499932E-2</v>
      </c>
      <c r="N39" s="572">
        <v>7557020.8600000003</v>
      </c>
      <c r="O39" s="280">
        <v>1</v>
      </c>
      <c r="P39" s="153">
        <f t="shared" si="9"/>
        <v>-0.28324519670572934</v>
      </c>
    </row>
    <row r="40" spans="1:18" ht="14.1" customHeight="1" x14ac:dyDescent="0.2">
      <c r="A40" s="39" t="s">
        <v>473</v>
      </c>
      <c r="B40" s="40" t="s">
        <v>114</v>
      </c>
      <c r="C40" s="200">
        <v>17924191.510000002</v>
      </c>
      <c r="D40" s="206">
        <v>17851096.890000001</v>
      </c>
      <c r="E40" s="34">
        <v>17725545.27</v>
      </c>
      <c r="F40" s="280">
        <f t="shared" si="10"/>
        <v>0.99296672799583907</v>
      </c>
      <c r="G40" s="34">
        <v>17648469.140000001</v>
      </c>
      <c r="H40" s="280">
        <f t="shared" si="11"/>
        <v>0.98864900284567336</v>
      </c>
      <c r="I40" s="34">
        <v>16046708.699999999</v>
      </c>
      <c r="J40" s="178">
        <f t="shared" si="12"/>
        <v>0.8989200382968735</v>
      </c>
      <c r="K40" s="205">
        <v>15021145.060000001</v>
      </c>
      <c r="L40" s="280">
        <v>0.83352820157003471</v>
      </c>
      <c r="M40" s="211">
        <f t="shared" si="8"/>
        <v>0.1749083754604257</v>
      </c>
      <c r="N40" s="572">
        <v>10261370.890000001</v>
      </c>
      <c r="O40" s="280">
        <v>0.56940679218664092</v>
      </c>
      <c r="P40" s="153">
        <f t="shared" si="9"/>
        <v>0.56379774905495084</v>
      </c>
    </row>
    <row r="41" spans="1:18" ht="14.1" customHeight="1" x14ac:dyDescent="0.2">
      <c r="A41" s="39">
        <v>328</v>
      </c>
      <c r="B41" s="40" t="s">
        <v>432</v>
      </c>
      <c r="C41" s="200">
        <v>9502324.5999999996</v>
      </c>
      <c r="D41" s="206">
        <v>9602324.5999999996</v>
      </c>
      <c r="E41" s="34">
        <v>9602324.5999999996</v>
      </c>
      <c r="F41" s="280">
        <f t="shared" si="10"/>
        <v>1</v>
      </c>
      <c r="G41" s="34">
        <v>9602324.5999999996</v>
      </c>
      <c r="H41" s="280">
        <f t="shared" si="11"/>
        <v>1</v>
      </c>
      <c r="I41" s="34">
        <v>0</v>
      </c>
      <c r="J41" s="178">
        <f t="shared" si="12"/>
        <v>0</v>
      </c>
      <c r="K41" s="205">
        <v>9402300.0800000001</v>
      </c>
      <c r="L41" s="280">
        <v>1</v>
      </c>
      <c r="M41" s="211">
        <f t="shared" si="8"/>
        <v>2.1273998734147925E-2</v>
      </c>
      <c r="N41" s="572">
        <v>9002300.0800000001</v>
      </c>
      <c r="O41" s="280">
        <v>0.95745721827674324</v>
      </c>
      <c r="P41" s="153">
        <f t="shared" si="9"/>
        <v>-1</v>
      </c>
    </row>
    <row r="42" spans="1:18" ht="14.1" customHeight="1" x14ac:dyDescent="0.2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29700000</v>
      </c>
      <c r="J42" s="178">
        <f t="shared" si="12"/>
        <v>0.88985587172829117</v>
      </c>
      <c r="K42" s="205">
        <v>30377801.829999998</v>
      </c>
      <c r="L42" s="603">
        <v>1</v>
      </c>
      <c r="M42" s="211">
        <f t="shared" si="8"/>
        <v>9.8703313254183689E-2</v>
      </c>
      <c r="N42" s="572">
        <v>30377801.829999998</v>
      </c>
      <c r="O42" s="603">
        <v>1</v>
      </c>
      <c r="P42" s="153">
        <f t="shared" si="9"/>
        <v>-2.2312405413436709E-2</v>
      </c>
    </row>
    <row r="43" spans="1:18" ht="14.1" customHeight="1" x14ac:dyDescent="0.2">
      <c r="A43" s="253" t="s">
        <v>433</v>
      </c>
      <c r="B43" s="40" t="s">
        <v>668</v>
      </c>
      <c r="C43" s="200">
        <v>28640778.239999998</v>
      </c>
      <c r="D43" s="206">
        <v>24601343.57</v>
      </c>
      <c r="E43" s="34">
        <v>23128391.920000002</v>
      </c>
      <c r="F43" s="280">
        <f t="shared" si="10"/>
        <v>0.94012718672015205</v>
      </c>
      <c r="G43" s="34">
        <v>23128391.920000002</v>
      </c>
      <c r="H43" s="280">
        <f t="shared" si="11"/>
        <v>0.94012718672015205</v>
      </c>
      <c r="I43" s="34">
        <v>16548535.880000001</v>
      </c>
      <c r="J43" s="178">
        <f t="shared" si="12"/>
        <v>0.67266797168671877</v>
      </c>
      <c r="K43" s="205">
        <v>20572954.52</v>
      </c>
      <c r="L43" s="280">
        <v>0.9553350035243271</v>
      </c>
      <c r="M43" s="211">
        <f t="shared" si="8"/>
        <v>0.12421343747762315</v>
      </c>
      <c r="N43" s="572">
        <v>17358046.68</v>
      </c>
      <c r="O43" s="280">
        <v>0.80604609173137054</v>
      </c>
      <c r="P43" s="153">
        <f t="shared" si="9"/>
        <v>-4.6636053867323723E-2</v>
      </c>
    </row>
    <row r="44" spans="1:18" ht="14.1" customHeight="1" x14ac:dyDescent="0.2">
      <c r="A44" s="39" t="s">
        <v>76</v>
      </c>
      <c r="B44" s="40" t="s">
        <v>110</v>
      </c>
      <c r="C44" s="200">
        <v>12623127.310000001</v>
      </c>
      <c r="D44" s="206">
        <v>12970033.42</v>
      </c>
      <c r="E44" s="34">
        <v>12968189.83</v>
      </c>
      <c r="F44" s="280">
        <f t="shared" si="10"/>
        <v>0.99985785772940594</v>
      </c>
      <c r="G44" s="34">
        <v>12923971.6</v>
      </c>
      <c r="H44" s="280">
        <f t="shared" si="11"/>
        <v>0.9964485966605936</v>
      </c>
      <c r="I44" s="34">
        <v>7094756.8200000003</v>
      </c>
      <c r="J44" s="178">
        <f t="shared" si="12"/>
        <v>0.547011452496319</v>
      </c>
      <c r="K44" s="205">
        <v>14701213.880000001</v>
      </c>
      <c r="L44" s="280">
        <v>0.99000298206028514</v>
      </c>
      <c r="M44" s="211">
        <f t="shared" si="8"/>
        <v>-0.12089085258584109</v>
      </c>
      <c r="N44" s="572">
        <v>14569723.23</v>
      </c>
      <c r="O44" s="280">
        <v>0.98114819383152929</v>
      </c>
      <c r="P44" s="153">
        <f t="shared" si="9"/>
        <v>-0.51304793454199338</v>
      </c>
    </row>
    <row r="45" spans="1:18" ht="14.1" customHeight="1" x14ac:dyDescent="0.2">
      <c r="A45" s="39" t="s">
        <v>77</v>
      </c>
      <c r="B45" s="40" t="s">
        <v>481</v>
      </c>
      <c r="C45" s="200">
        <v>65286878.990000002</v>
      </c>
      <c r="D45" s="206">
        <v>70017378.989999995</v>
      </c>
      <c r="E45" s="34">
        <v>69986878.989999995</v>
      </c>
      <c r="F45" s="280">
        <f t="shared" si="10"/>
        <v>0.99956439386278151</v>
      </c>
      <c r="G45" s="34">
        <v>69986878.989999995</v>
      </c>
      <c r="H45" s="280">
        <f t="shared" si="11"/>
        <v>0.99956439386278151</v>
      </c>
      <c r="I45" s="34">
        <v>61500000</v>
      </c>
      <c r="J45" s="178">
        <f t="shared" si="12"/>
        <v>0.87835335865376418</v>
      </c>
      <c r="K45" s="205">
        <v>66281666.950000003</v>
      </c>
      <c r="L45" s="280">
        <v>1</v>
      </c>
      <c r="M45" s="211">
        <f t="shared" si="8"/>
        <v>5.5901008687591514E-2</v>
      </c>
      <c r="N45" s="572">
        <v>61726939.759999998</v>
      </c>
      <c r="O45" s="280">
        <v>0.93128224742090615</v>
      </c>
      <c r="P45" s="153">
        <f t="shared" si="9"/>
        <v>-3.6765107890065485E-3</v>
      </c>
      <c r="R45" s="275"/>
    </row>
    <row r="46" spans="1:18" ht="14.1" customHeight="1" x14ac:dyDescent="0.2">
      <c r="A46" s="39" t="s">
        <v>78</v>
      </c>
      <c r="B46" s="40" t="s">
        <v>102</v>
      </c>
      <c r="C46" s="200">
        <v>17748245.370000001</v>
      </c>
      <c r="D46" s="206">
        <v>20659785.010000002</v>
      </c>
      <c r="E46" s="34">
        <v>20416778.579999998</v>
      </c>
      <c r="F46" s="280">
        <f t="shared" si="10"/>
        <v>0.98823770770691077</v>
      </c>
      <c r="G46" s="34">
        <v>20199811.02</v>
      </c>
      <c r="H46" s="280">
        <f t="shared" si="11"/>
        <v>0.97773578041701015</v>
      </c>
      <c r="I46" s="34">
        <v>16878725.949999999</v>
      </c>
      <c r="J46" s="178">
        <f t="shared" si="12"/>
        <v>0.81698458826314757</v>
      </c>
      <c r="K46" s="205">
        <v>16002471.77</v>
      </c>
      <c r="L46" s="603">
        <v>0.98702508838642533</v>
      </c>
      <c r="M46" s="211">
        <f t="shared" si="8"/>
        <v>0.26229318259875289</v>
      </c>
      <c r="N46" s="572">
        <v>9751599.9600000009</v>
      </c>
      <c r="O46" s="603">
        <v>0.60147419415994774</v>
      </c>
      <c r="P46" s="153">
        <f t="shared" si="9"/>
        <v>0.73086734681843923</v>
      </c>
      <c r="R46" s="275"/>
    </row>
    <row r="47" spans="1:18" ht="14.1" customHeight="1" x14ac:dyDescent="0.2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2">
        <v>0</v>
      </c>
      <c r="O47" s="280">
        <v>0</v>
      </c>
      <c r="P47" s="153" t="s">
        <v>129</v>
      </c>
    </row>
    <row r="48" spans="1:18" ht="14.1" customHeight="1" x14ac:dyDescent="0.2">
      <c r="A48" s="253">
        <v>337</v>
      </c>
      <c r="B48" s="40" t="s">
        <v>483</v>
      </c>
      <c r="C48" s="654">
        <v>15245118.1</v>
      </c>
      <c r="D48" s="397">
        <v>15640781.130000001</v>
      </c>
      <c r="E48" s="398">
        <v>14846795.640000001</v>
      </c>
      <c r="F48" s="412">
        <f t="shared" si="10"/>
        <v>0.94923619968844863</v>
      </c>
      <c r="G48" s="398">
        <v>14763795.25</v>
      </c>
      <c r="H48" s="412">
        <f t="shared" si="11"/>
        <v>0.94392953441961491</v>
      </c>
      <c r="I48" s="398">
        <v>10463564.789999999</v>
      </c>
      <c r="J48" s="178">
        <f t="shared" si="12"/>
        <v>0.66899246930386513</v>
      </c>
      <c r="K48" s="205">
        <v>14227159.33</v>
      </c>
      <c r="L48" s="280">
        <v>0.95566902555992461</v>
      </c>
      <c r="M48" s="211">
        <f t="shared" si="8"/>
        <v>3.7719119295193781E-2</v>
      </c>
      <c r="N48" s="572">
        <v>11498376.550000001</v>
      </c>
      <c r="O48" s="280">
        <v>0.77237079153872024</v>
      </c>
      <c r="P48" s="153">
        <f t="shared" si="9"/>
        <v>-8.9996336047978964E-2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">
      <c r="A50" s="8" t="s">
        <v>533</v>
      </c>
      <c r="C50" s="164" t="s">
        <v>765</v>
      </c>
      <c r="D50" s="754" t="s">
        <v>784</v>
      </c>
      <c r="E50" s="752"/>
      <c r="F50" s="752"/>
      <c r="G50" s="752"/>
      <c r="H50" s="752"/>
      <c r="I50" s="752"/>
      <c r="J50" s="753"/>
      <c r="K50" s="763" t="s">
        <v>785</v>
      </c>
      <c r="L50" s="761"/>
      <c r="M50" s="761"/>
      <c r="N50" s="761"/>
      <c r="O50" s="761"/>
      <c r="P50" s="762"/>
      <c r="R50"/>
    </row>
    <row r="51" spans="1:19" ht="12.75" customHeight="1" x14ac:dyDescent="0.2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543</v>
      </c>
      <c r="L51" s="88" t="s">
        <v>544</v>
      </c>
      <c r="M51" s="88" t="s">
        <v>545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">
      <c r="A52" s="673"/>
      <c r="B52" s="513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06" t="s">
        <v>764</v>
      </c>
      <c r="N52" s="557" t="s">
        <v>17</v>
      </c>
      <c r="O52" s="89" t="s">
        <v>18</v>
      </c>
      <c r="P52" s="641" t="s">
        <v>764</v>
      </c>
      <c r="R52"/>
    </row>
    <row r="53" spans="1:19" ht="14.1" customHeight="1" x14ac:dyDescent="0.2">
      <c r="A53" s="692">
        <v>338</v>
      </c>
      <c r="B53" s="38" t="s">
        <v>428</v>
      </c>
      <c r="C53" s="524">
        <v>8127724.7699999996</v>
      </c>
      <c r="D53" s="511">
        <v>8809568.1999999993</v>
      </c>
      <c r="E53" s="180">
        <v>8332951.2599999998</v>
      </c>
      <c r="F53" s="48">
        <f t="shared" si="10"/>
        <v>0.94589780915709354</v>
      </c>
      <c r="G53" s="180">
        <v>8251256.1100000003</v>
      </c>
      <c r="H53" s="48">
        <f t="shared" si="11"/>
        <v>0.93662435237177699</v>
      </c>
      <c r="I53" s="180">
        <v>3503532.08</v>
      </c>
      <c r="J53" s="153">
        <f t="shared" si="12"/>
        <v>0.39769623214903999</v>
      </c>
      <c r="K53" s="204">
        <v>7374594.04</v>
      </c>
      <c r="L53" s="48">
        <v>0.93799837674992559</v>
      </c>
      <c r="M53" s="210">
        <f t="shared" si="8"/>
        <v>0.1188759767988532</v>
      </c>
      <c r="N53" s="571">
        <v>6365436.4299999997</v>
      </c>
      <c r="O53" s="48">
        <v>0.80964036884731916</v>
      </c>
      <c r="P53" s="153">
        <f t="shared" si="9"/>
        <v>-0.44960064898488028</v>
      </c>
    </row>
    <row r="54" spans="1:19" ht="14.1" customHeight="1" x14ac:dyDescent="0.2">
      <c r="A54" s="253" t="s">
        <v>79</v>
      </c>
      <c r="B54" s="40" t="s">
        <v>115</v>
      </c>
      <c r="C54" s="200">
        <v>14042820.529999999</v>
      </c>
      <c r="D54" s="206">
        <v>13122178.390000001</v>
      </c>
      <c r="E54" s="34">
        <v>12591103.789999999</v>
      </c>
      <c r="F54" s="390">
        <f t="shared" si="10"/>
        <v>0.95952847277211861</v>
      </c>
      <c r="G54" s="34">
        <v>12533749.57</v>
      </c>
      <c r="H54" s="390">
        <f t="shared" si="11"/>
        <v>0.95515768780826638</v>
      </c>
      <c r="I54" s="34">
        <v>9223315.7699999996</v>
      </c>
      <c r="J54" s="392">
        <f t="shared" si="12"/>
        <v>0.7028799255639443</v>
      </c>
      <c r="K54" s="205">
        <v>12549655.859999999</v>
      </c>
      <c r="L54" s="390">
        <v>0.98283331558546128</v>
      </c>
      <c r="M54" s="211">
        <f t="shared" si="8"/>
        <v>-1.2674682220329414E-3</v>
      </c>
      <c r="N54" s="572">
        <v>11844404.380000001</v>
      </c>
      <c r="O54" s="390">
        <v>0.92760115160085044</v>
      </c>
      <c r="P54" s="178">
        <f t="shared" si="9"/>
        <v>-0.22129340791723295</v>
      </c>
    </row>
    <row r="55" spans="1:19" ht="14.1" customHeight="1" x14ac:dyDescent="0.2">
      <c r="A55" s="253">
        <v>342</v>
      </c>
      <c r="B55" s="40" t="s">
        <v>484</v>
      </c>
      <c r="C55" s="200">
        <v>5455050.5800000001</v>
      </c>
      <c r="D55" s="206">
        <v>6478127.2199999997</v>
      </c>
      <c r="E55" s="34">
        <v>6056013.3300000001</v>
      </c>
      <c r="F55" s="390">
        <f t="shared" si="10"/>
        <v>0.93484013578850345</v>
      </c>
      <c r="G55" s="34">
        <v>6056013.3300000001</v>
      </c>
      <c r="H55" s="390">
        <f t="shared" si="11"/>
        <v>0.93484013578850345</v>
      </c>
      <c r="I55" s="34">
        <v>1454850.83</v>
      </c>
      <c r="J55" s="392">
        <f t="shared" si="12"/>
        <v>0.22457892236330612</v>
      </c>
      <c r="K55" s="205">
        <v>6370972.0099999998</v>
      </c>
      <c r="L55" s="390">
        <v>1</v>
      </c>
      <c r="M55" s="211">
        <f t="shared" si="8"/>
        <v>-4.9436519185084293E-2</v>
      </c>
      <c r="N55" s="572">
        <v>4828592.28</v>
      </c>
      <c r="O55" s="390">
        <v>0.75790511595733734</v>
      </c>
      <c r="P55" s="178">
        <f t="shared" si="9"/>
        <v>-0.69870083336172673</v>
      </c>
    </row>
    <row r="56" spans="1:19" ht="14.1" customHeight="1" x14ac:dyDescent="0.2">
      <c r="A56" s="525">
        <v>343</v>
      </c>
      <c r="B56" s="527" t="s">
        <v>435</v>
      </c>
      <c r="C56" s="654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4500000</v>
      </c>
      <c r="J56" s="427">
        <f t="shared" si="12"/>
        <v>0.69029508706770171</v>
      </c>
      <c r="K56" s="397">
        <v>7608676.7199999997</v>
      </c>
      <c r="L56" s="412">
        <v>1</v>
      </c>
      <c r="M56" s="658">
        <f t="shared" si="8"/>
        <v>-0.14322142208192024</v>
      </c>
      <c r="N56" s="628">
        <v>3000000</v>
      </c>
      <c r="O56" s="390">
        <v>0.39428669536113503</v>
      </c>
      <c r="P56" s="660" t="s">
        <v>129</v>
      </c>
    </row>
    <row r="57" spans="1:19" ht="14.1" customHeight="1" x14ac:dyDescent="0.2">
      <c r="A57" s="526">
        <v>3</v>
      </c>
      <c r="B57" s="2" t="s">
        <v>124</v>
      </c>
      <c r="C57" s="201">
        <f>SUM(C34:C48,C53:C56)</f>
        <v>317974199.00999999</v>
      </c>
      <c r="D57" s="207">
        <f>SUM(D34:D48,D53:D56)</f>
        <v>324257198.36000001</v>
      </c>
      <c r="E57" s="203">
        <f>SUM(E34:E48,E53:E56)</f>
        <v>319463242.25</v>
      </c>
      <c r="F57" s="90">
        <f t="shared" si="10"/>
        <v>0.98521557536965576</v>
      </c>
      <c r="G57" s="203">
        <f>SUM(G34:G48,G53:G56)</f>
        <v>318851904.23999995</v>
      </c>
      <c r="H57" s="90">
        <f t="shared" si="11"/>
        <v>0.9833302262915411</v>
      </c>
      <c r="I57" s="203">
        <f>SUM(I34:I48,I53:I56)</f>
        <v>245076882.30000001</v>
      </c>
      <c r="J57" s="170">
        <f t="shared" si="12"/>
        <v>0.75581015175462152</v>
      </c>
      <c r="K57" s="152">
        <f>SUM(K34:K56)</f>
        <v>319033235.46000004</v>
      </c>
      <c r="L57" s="90">
        <v>0.97589241253298487</v>
      </c>
      <c r="M57" s="213">
        <f t="shared" ref="M57:M65" si="13">+G57/K57-1</f>
        <v>-5.6837720916014245E-4</v>
      </c>
      <c r="N57" s="561">
        <f>SUM(N34:N48,N53:N56)</f>
        <v>278147291.50999999</v>
      </c>
      <c r="O57" s="90">
        <v>0.85082618730875881</v>
      </c>
      <c r="P57" s="170">
        <f t="shared" ref="P57:P65" si="14">+I57/N57-1</f>
        <v>-0.11889531273329346</v>
      </c>
    </row>
    <row r="58" spans="1:19" ht="14.1" customHeight="1" x14ac:dyDescent="0.2">
      <c r="A58" s="37">
        <v>430</v>
      </c>
      <c r="B58" s="528" t="s">
        <v>744</v>
      </c>
      <c r="C58" s="198">
        <v>4583248.97</v>
      </c>
      <c r="D58" s="511">
        <v>5127237.7699999996</v>
      </c>
      <c r="E58" s="180">
        <v>3916966.07</v>
      </c>
      <c r="F58" s="78">
        <f t="shared" si="10"/>
        <v>0.76395249171368163</v>
      </c>
      <c r="G58" s="180">
        <v>3848772.32</v>
      </c>
      <c r="H58" s="414">
        <f t="shared" si="11"/>
        <v>0.75065220156544454</v>
      </c>
      <c r="I58" s="180">
        <v>3817784.35</v>
      </c>
      <c r="J58" s="153">
        <f t="shared" si="12"/>
        <v>0.74460840734522837</v>
      </c>
      <c r="K58" s="643">
        <v>3849733.81</v>
      </c>
      <c r="L58" s="48">
        <v>0.7795548472109205</v>
      </c>
      <c r="M58" s="210">
        <f t="shared" si="13"/>
        <v>-2.4975493045853447E-4</v>
      </c>
      <c r="N58" s="608">
        <v>3770438.44</v>
      </c>
      <c r="O58" s="48">
        <v>0.76349786948318421</v>
      </c>
      <c r="P58" s="153">
        <f t="shared" si="14"/>
        <v>1.255713645864498E-2</v>
      </c>
    </row>
    <row r="59" spans="1:19" ht="14.1" customHeight="1" x14ac:dyDescent="0.2">
      <c r="A59" s="37" t="s">
        <v>80</v>
      </c>
      <c r="B59" s="38" t="s">
        <v>103</v>
      </c>
      <c r="C59" s="200">
        <v>37609119.530000001</v>
      </c>
      <c r="D59" s="206">
        <v>33061619.789999999</v>
      </c>
      <c r="E59" s="34">
        <v>30114157.82</v>
      </c>
      <c r="F59" s="48">
        <f t="shared" si="10"/>
        <v>0.91084943845094046</v>
      </c>
      <c r="G59" s="34">
        <v>29049524.68</v>
      </c>
      <c r="H59" s="48">
        <f t="shared" si="11"/>
        <v>0.87864795689128572</v>
      </c>
      <c r="I59" s="34">
        <v>20771305.489999998</v>
      </c>
      <c r="J59" s="153">
        <f t="shared" si="12"/>
        <v>0.6282603702400148</v>
      </c>
      <c r="K59" s="643">
        <v>23899082.789999999</v>
      </c>
      <c r="L59" s="48">
        <v>0.85292539577949578</v>
      </c>
      <c r="M59" s="210">
        <f t="shared" si="13"/>
        <v>0.2155079312146273</v>
      </c>
      <c r="N59" s="608">
        <v>10709291.550000001</v>
      </c>
      <c r="O59" s="48">
        <v>0.38219988666777455</v>
      </c>
      <c r="P59" s="153">
        <f t="shared" si="14"/>
        <v>0.93955925030353638</v>
      </c>
    </row>
    <row r="60" spans="1:19" ht="14.1" customHeight="1" x14ac:dyDescent="0.2">
      <c r="A60" s="39" t="s">
        <v>81</v>
      </c>
      <c r="B60" s="40" t="s">
        <v>485</v>
      </c>
      <c r="C60" s="200">
        <v>2743104</v>
      </c>
      <c r="D60" s="206">
        <v>9192228.8699999992</v>
      </c>
      <c r="E60" s="34">
        <v>4767547.59</v>
      </c>
      <c r="F60" s="280">
        <f t="shared" si="10"/>
        <v>0.51864979184313986</v>
      </c>
      <c r="G60" s="34">
        <v>4326622.5599999996</v>
      </c>
      <c r="H60" s="280">
        <f t="shared" si="11"/>
        <v>0.47068264086857969</v>
      </c>
      <c r="I60" s="34">
        <v>3890732.7</v>
      </c>
      <c r="J60" s="178">
        <f t="shared" si="12"/>
        <v>0.42326325367048878</v>
      </c>
      <c r="K60" s="644">
        <v>6252565.2999999998</v>
      </c>
      <c r="L60" s="280">
        <v>0.56487738763058459</v>
      </c>
      <c r="M60" s="211">
        <f t="shared" si="13"/>
        <v>-0.30802441039680151</v>
      </c>
      <c r="N60" s="609">
        <v>5904539.5499999998</v>
      </c>
      <c r="O60" s="280">
        <v>0.53343559261435747</v>
      </c>
      <c r="P60" s="178">
        <f t="shared" si="14"/>
        <v>-0.34106077755038489</v>
      </c>
    </row>
    <row r="61" spans="1:19" ht="14.1" customHeight="1" x14ac:dyDescent="0.2">
      <c r="A61" s="39" t="s">
        <v>82</v>
      </c>
      <c r="B61" s="40" t="s">
        <v>104</v>
      </c>
      <c r="C61" s="200">
        <v>54474980.619999997</v>
      </c>
      <c r="D61" s="206">
        <v>63576480.25</v>
      </c>
      <c r="E61" s="34">
        <v>50632168.93</v>
      </c>
      <c r="F61" s="280">
        <f t="shared" si="10"/>
        <v>0.796397798854239</v>
      </c>
      <c r="G61" s="34">
        <v>44843313.920000002</v>
      </c>
      <c r="H61" s="280">
        <f t="shared" si="11"/>
        <v>0.70534439377052494</v>
      </c>
      <c r="I61" s="34">
        <v>41650970.649999999</v>
      </c>
      <c r="J61" s="178">
        <f t="shared" si="12"/>
        <v>0.65513174819079412</v>
      </c>
      <c r="K61" s="644">
        <v>42531775.009999998</v>
      </c>
      <c r="L61" s="280">
        <v>0.84373566047719983</v>
      </c>
      <c r="M61" s="211">
        <f t="shared" si="13"/>
        <v>5.4348517301629595E-2</v>
      </c>
      <c r="N61" s="609">
        <v>38570567.57</v>
      </c>
      <c r="O61" s="280">
        <v>0.76515412996525245</v>
      </c>
      <c r="P61" s="178">
        <f t="shared" si="14"/>
        <v>7.9864084820880921E-2</v>
      </c>
      <c r="R61" s="279"/>
      <c r="S61" s="279"/>
    </row>
    <row r="62" spans="1:19" ht="14.1" customHeight="1" x14ac:dyDescent="0.2">
      <c r="A62" s="39" t="s">
        <v>83</v>
      </c>
      <c r="B62" s="40" t="s">
        <v>486</v>
      </c>
      <c r="C62" s="200">
        <v>162462056</v>
      </c>
      <c r="D62" s="206">
        <v>162420894.03</v>
      </c>
      <c r="E62" s="34">
        <v>153245878.52000001</v>
      </c>
      <c r="F62" s="280">
        <f t="shared" si="10"/>
        <v>0.94351086684509122</v>
      </c>
      <c r="G62" s="34">
        <v>152987550.15000001</v>
      </c>
      <c r="H62" s="280">
        <f t="shared" si="11"/>
        <v>0.94192037954022345</v>
      </c>
      <c r="I62" s="34">
        <v>111572437.81999999</v>
      </c>
      <c r="J62" s="178">
        <f t="shared" si="12"/>
        <v>0.68693402093570533</v>
      </c>
      <c r="K62" s="644">
        <v>128005095</v>
      </c>
      <c r="L62" s="280">
        <v>0.79493715956086863</v>
      </c>
      <c r="M62" s="211">
        <f t="shared" si="13"/>
        <v>0.19516766227156812</v>
      </c>
      <c r="N62" s="609">
        <v>119772135.88</v>
      </c>
      <c r="O62" s="280">
        <v>0.74380884206980658</v>
      </c>
      <c r="P62" s="178">
        <f t="shared" si="14"/>
        <v>-6.8460815195074298E-2</v>
      </c>
      <c r="R62" s="279"/>
      <c r="S62" s="279"/>
    </row>
    <row r="63" spans="1:19" ht="14.1" customHeight="1" x14ac:dyDescent="0.2">
      <c r="A63" s="39">
        <v>491</v>
      </c>
      <c r="B63" s="40" t="s">
        <v>498</v>
      </c>
      <c r="C63" s="200">
        <v>34765352.369999997</v>
      </c>
      <c r="D63" s="206">
        <v>37554235.039999999</v>
      </c>
      <c r="E63" s="34">
        <v>36578865.229999997</v>
      </c>
      <c r="F63" s="280">
        <f t="shared" si="10"/>
        <v>0.97402770129757377</v>
      </c>
      <c r="G63" s="34">
        <v>36578865.229999997</v>
      </c>
      <c r="H63" s="280">
        <f t="shared" si="11"/>
        <v>0.97402770129757377</v>
      </c>
      <c r="I63" s="34">
        <v>16261418.960000001</v>
      </c>
      <c r="J63" s="178">
        <f t="shared" si="12"/>
        <v>0.43301158824509506</v>
      </c>
      <c r="K63" s="644">
        <v>5032665.9400000004</v>
      </c>
      <c r="L63" s="280">
        <v>1</v>
      </c>
      <c r="M63" s="211">
        <f t="shared" si="13"/>
        <v>6.2682879543560555</v>
      </c>
      <c r="N63" s="609">
        <v>0</v>
      </c>
      <c r="O63" s="280">
        <v>0</v>
      </c>
      <c r="P63" s="178" t="e">
        <f t="shared" si="14"/>
        <v>#DIV/0!</v>
      </c>
      <c r="R63" s="279"/>
      <c r="S63" s="279"/>
    </row>
    <row r="64" spans="1:19" ht="14.1" customHeight="1" x14ac:dyDescent="0.2">
      <c r="A64" s="41" t="s">
        <v>84</v>
      </c>
      <c r="B64" s="655" t="s">
        <v>487</v>
      </c>
      <c r="C64" s="654">
        <v>1548192.01</v>
      </c>
      <c r="D64" s="397">
        <v>1477254.95</v>
      </c>
      <c r="E64" s="398">
        <v>1135249.17</v>
      </c>
      <c r="F64" s="412">
        <f t="shared" si="10"/>
        <v>0.76848560906836016</v>
      </c>
      <c r="G64" s="398">
        <v>1025461.79</v>
      </c>
      <c r="H64" s="412">
        <f t="shared" si="11"/>
        <v>0.6941671036539766</v>
      </c>
      <c r="I64" s="398">
        <v>987323.95</v>
      </c>
      <c r="J64" s="427">
        <f t="shared" si="12"/>
        <v>0.66835040897984466</v>
      </c>
      <c r="K64" s="656">
        <v>15669752</v>
      </c>
      <c r="L64" s="412">
        <v>1</v>
      </c>
      <c r="M64" s="443">
        <f t="shared" si="13"/>
        <v>-0.93455788004813345</v>
      </c>
      <c r="N64" s="657">
        <v>12300000</v>
      </c>
      <c r="O64" s="412">
        <v>0.78495179757790678</v>
      </c>
      <c r="P64" s="427">
        <f t="shared" si="14"/>
        <v>-0.91972976016260166</v>
      </c>
    </row>
    <row r="65" spans="1:21" ht="14.1" customHeight="1" x14ac:dyDescent="0.2">
      <c r="A65" s="250">
        <v>499</v>
      </c>
      <c r="B65" s="736" t="s">
        <v>789</v>
      </c>
      <c r="C65" s="524">
        <v>0</v>
      </c>
      <c r="D65" s="511">
        <v>0</v>
      </c>
      <c r="E65" s="180">
        <v>0</v>
      </c>
      <c r="F65" s="78" t="s">
        <v>129</v>
      </c>
      <c r="G65" s="180">
        <v>0</v>
      </c>
      <c r="H65" s="78" t="s">
        <v>129</v>
      </c>
      <c r="I65" s="180">
        <v>0</v>
      </c>
      <c r="J65" s="172" t="s">
        <v>129</v>
      </c>
      <c r="K65" s="642">
        <v>1143645.6000000001</v>
      </c>
      <c r="L65" s="78">
        <v>0.66414755948047477</v>
      </c>
      <c r="M65" s="443">
        <f t="shared" si="13"/>
        <v>-1</v>
      </c>
      <c r="N65" s="607">
        <v>1101384.55</v>
      </c>
      <c r="O65" s="78">
        <v>0.63960536457448092</v>
      </c>
      <c r="P65" s="427">
        <f t="shared" si="14"/>
        <v>-1</v>
      </c>
    </row>
    <row r="66" spans="1:21" ht="14.1" customHeight="1" x14ac:dyDescent="0.2">
      <c r="A66" s="18">
        <v>4</v>
      </c>
      <c r="B66" s="513" t="s">
        <v>123</v>
      </c>
      <c r="C66" s="201">
        <f>SUM(C58:C65)</f>
        <v>298186053.5</v>
      </c>
      <c r="D66" s="706">
        <f>SUM(D58:D65)</f>
        <v>312409950.70000005</v>
      </c>
      <c r="E66" s="707">
        <f>SUM(E58:E65)</f>
        <v>280390833.33000004</v>
      </c>
      <c r="F66" s="90">
        <f t="shared" si="10"/>
        <v>0.89750929092285148</v>
      </c>
      <c r="G66" s="203">
        <f>SUM(G58:G65)</f>
        <v>272660110.65000004</v>
      </c>
      <c r="H66" s="90">
        <f t="shared" si="11"/>
        <v>0.87276384775537819</v>
      </c>
      <c r="I66" s="203">
        <f>SUM(I58:I65)</f>
        <v>198951973.91999999</v>
      </c>
      <c r="J66" s="170">
        <f t="shared" si="12"/>
        <v>0.63682982399958477</v>
      </c>
      <c r="K66" s="152">
        <f>SUM(K58:K65)</f>
        <v>226384315.44999999</v>
      </c>
      <c r="L66" s="90">
        <v>0.81466584163632239</v>
      </c>
      <c r="M66" s="213">
        <f t="shared" ref="M66:M79" si="15">+G66/K66-1</f>
        <v>0.20441254999496938</v>
      </c>
      <c r="N66" s="561">
        <f>SUM(N58:N65)</f>
        <v>192128357.54000002</v>
      </c>
      <c r="O66" s="90">
        <v>0.69139246588882175</v>
      </c>
      <c r="P66" s="170">
        <f t="shared" ref="P66:P79" si="16">+I66/N66-1</f>
        <v>3.5515925225037881E-2</v>
      </c>
    </row>
    <row r="67" spans="1:21" ht="14.1" customHeight="1" x14ac:dyDescent="0.2">
      <c r="A67" s="37" t="s">
        <v>85</v>
      </c>
      <c r="B67" s="38" t="s">
        <v>113</v>
      </c>
      <c r="C67" s="198">
        <v>30183531.489999998</v>
      </c>
      <c r="D67" s="511">
        <v>30242430.75</v>
      </c>
      <c r="E67" s="180">
        <v>24312309.670000002</v>
      </c>
      <c r="F67" s="48">
        <f t="shared" si="10"/>
        <v>0.80391387421793148</v>
      </c>
      <c r="G67" s="180">
        <v>23493732.41</v>
      </c>
      <c r="H67" s="48">
        <f t="shared" si="11"/>
        <v>0.77684669609436074</v>
      </c>
      <c r="I67" s="30">
        <v>22417504.879999999</v>
      </c>
      <c r="J67" s="153">
        <f t="shared" si="12"/>
        <v>0.74126002189820672</v>
      </c>
      <c r="K67" s="643">
        <v>24688988.530000001</v>
      </c>
      <c r="L67" s="48">
        <v>0.79120578885354631</v>
      </c>
      <c r="M67" s="210">
        <f t="shared" si="15"/>
        <v>-4.8412518744849531E-2</v>
      </c>
      <c r="N67" s="608">
        <v>24422964.32</v>
      </c>
      <c r="O67" s="48">
        <v>0.78268053498697199</v>
      </c>
      <c r="P67" s="153">
        <f t="shared" si="16"/>
        <v>-8.2113678492242936E-2</v>
      </c>
    </row>
    <row r="68" spans="1:21" ht="14.1" customHeight="1" x14ac:dyDescent="0.2">
      <c r="A68" s="39" t="s">
        <v>86</v>
      </c>
      <c r="B68" s="40" t="s">
        <v>745</v>
      </c>
      <c r="C68" s="200">
        <v>58410922.509999998</v>
      </c>
      <c r="D68" s="206">
        <v>63080588.409999996</v>
      </c>
      <c r="E68" s="34">
        <v>46002387.740000002</v>
      </c>
      <c r="F68" s="280">
        <f t="shared" si="10"/>
        <v>0.72926377035359691</v>
      </c>
      <c r="G68" s="34">
        <v>43018995.619999997</v>
      </c>
      <c r="H68" s="280">
        <f t="shared" si="11"/>
        <v>0.68196883866067914</v>
      </c>
      <c r="I68" s="34">
        <v>37615339.469999999</v>
      </c>
      <c r="J68" s="178">
        <f t="shared" si="12"/>
        <v>0.59630609698049264</v>
      </c>
      <c r="K68" s="644">
        <v>45104359.25</v>
      </c>
      <c r="L68" s="280">
        <v>0.74229967012138887</v>
      </c>
      <c r="M68" s="211">
        <f t="shared" si="15"/>
        <v>-4.6234192540934971E-2</v>
      </c>
      <c r="N68" s="609">
        <v>39565425.090000004</v>
      </c>
      <c r="O68" s="280">
        <v>0.65114331476773002</v>
      </c>
      <c r="P68" s="178">
        <f t="shared" si="16"/>
        <v>-4.928761957097938E-2</v>
      </c>
    </row>
    <row r="69" spans="1:21" ht="14.1" customHeight="1" x14ac:dyDescent="0.2">
      <c r="A69" s="39" t="s">
        <v>87</v>
      </c>
      <c r="B69" s="40" t="s">
        <v>116</v>
      </c>
      <c r="C69" s="200">
        <v>7218581.6100000003</v>
      </c>
      <c r="D69" s="206">
        <v>7745991.6799999997</v>
      </c>
      <c r="E69" s="34">
        <v>6388034.5</v>
      </c>
      <c r="F69" s="280">
        <f t="shared" si="10"/>
        <v>0.82468904743259419</v>
      </c>
      <c r="G69" s="34">
        <v>6062802.75</v>
      </c>
      <c r="H69" s="280">
        <f t="shared" si="11"/>
        <v>0.78270194449782837</v>
      </c>
      <c r="I69" s="34">
        <v>5718199.5</v>
      </c>
      <c r="J69" s="178">
        <f t="shared" si="12"/>
        <v>0.73821399973411794</v>
      </c>
      <c r="K69" s="644">
        <v>5676942.7000000002</v>
      </c>
      <c r="L69" s="280">
        <v>0.79386857049150983</v>
      </c>
      <c r="M69" s="211">
        <f t="shared" si="15"/>
        <v>6.7969692560046369E-2</v>
      </c>
      <c r="N69" s="609">
        <v>5335611.0599999996</v>
      </c>
      <c r="O69" s="280">
        <v>0.74613645913686766</v>
      </c>
      <c r="P69" s="178">
        <f t="shared" si="16"/>
        <v>7.1704709300906222E-2</v>
      </c>
      <c r="T69" s="254"/>
      <c r="U69" s="254"/>
    </row>
    <row r="70" spans="1:21" ht="14.1" customHeight="1" x14ac:dyDescent="0.2">
      <c r="A70" s="39" t="s">
        <v>88</v>
      </c>
      <c r="B70" s="40" t="s">
        <v>111</v>
      </c>
      <c r="C70" s="200">
        <v>3332924.07</v>
      </c>
      <c r="D70" s="206">
        <v>2367200.3199999998</v>
      </c>
      <c r="E70" s="34">
        <v>2014968.84</v>
      </c>
      <c r="F70" s="280">
        <f t="shared" ref="F70:F81" si="17">+E70/D70</f>
        <v>0.85120334894175764</v>
      </c>
      <c r="G70" s="34">
        <v>1967777.32</v>
      </c>
      <c r="H70" s="280">
        <f t="shared" si="11"/>
        <v>0.83126776528992707</v>
      </c>
      <c r="I70" s="34">
        <v>1838338.44</v>
      </c>
      <c r="J70" s="178">
        <f t="shared" si="12"/>
        <v>0.77658761046466906</v>
      </c>
      <c r="K70" s="644">
        <v>1938456.16</v>
      </c>
      <c r="L70" s="280">
        <v>0.79081516500640814</v>
      </c>
      <c r="M70" s="211">
        <f t="shared" si="15"/>
        <v>1.5126037206846243E-2</v>
      </c>
      <c r="N70" s="609">
        <v>1813632.6</v>
      </c>
      <c r="O70" s="280">
        <v>0.73989197869195089</v>
      </c>
      <c r="P70" s="178">
        <f t="shared" si="16"/>
        <v>1.3622295937997464E-2</v>
      </c>
      <c r="T70" s="254"/>
      <c r="U70" s="254"/>
    </row>
    <row r="71" spans="1:21" ht="14.1" customHeight="1" x14ac:dyDescent="0.2">
      <c r="A71" s="39" t="s">
        <v>89</v>
      </c>
      <c r="B71" s="40" t="s">
        <v>105</v>
      </c>
      <c r="C71" s="200">
        <v>15684736.65</v>
      </c>
      <c r="D71" s="206">
        <v>16620879.359999999</v>
      </c>
      <c r="E71" s="34">
        <v>12597337.57</v>
      </c>
      <c r="F71" s="280">
        <f t="shared" si="17"/>
        <v>0.7579224478529637</v>
      </c>
      <c r="G71" s="34">
        <v>12174533.57</v>
      </c>
      <c r="H71" s="280">
        <f t="shared" si="11"/>
        <v>0.73248432326025859</v>
      </c>
      <c r="I71" s="34">
        <v>10345348.67</v>
      </c>
      <c r="J71" s="178">
        <f t="shared" si="12"/>
        <v>0.6224308862320026</v>
      </c>
      <c r="K71" s="644">
        <v>10386213.4</v>
      </c>
      <c r="L71" s="280">
        <v>0.73600689494893579</v>
      </c>
      <c r="M71" s="211">
        <f t="shared" si="15"/>
        <v>0.1721821130692347</v>
      </c>
      <c r="N71" s="609">
        <v>9368051.8100000005</v>
      </c>
      <c r="O71" s="280">
        <v>0.66385606176730949</v>
      </c>
      <c r="P71" s="178">
        <f t="shared" si="16"/>
        <v>0.10432231586900231</v>
      </c>
      <c r="T71" s="254"/>
      <c r="U71" s="254"/>
    </row>
    <row r="72" spans="1:21" ht="14.1" customHeight="1" x14ac:dyDescent="0.2">
      <c r="A72" s="39" t="s">
        <v>90</v>
      </c>
      <c r="B72" s="40" t="s">
        <v>120</v>
      </c>
      <c r="C72" s="200">
        <v>39167636.100000001</v>
      </c>
      <c r="D72" s="206">
        <v>40274398.509999998</v>
      </c>
      <c r="E72" s="34">
        <v>37123051.649999999</v>
      </c>
      <c r="F72" s="280">
        <f t="shared" si="17"/>
        <v>0.92175309932394067</v>
      </c>
      <c r="G72" s="34">
        <v>34895488.280000001</v>
      </c>
      <c r="H72" s="280">
        <f t="shared" si="11"/>
        <v>0.86644343729517326</v>
      </c>
      <c r="I72" s="34">
        <v>26270042.809999999</v>
      </c>
      <c r="J72" s="178">
        <f t="shared" si="12"/>
        <v>0.65227647790884413</v>
      </c>
      <c r="K72" s="644">
        <v>29717184.359999999</v>
      </c>
      <c r="L72" s="280">
        <v>0.74729650168285167</v>
      </c>
      <c r="M72" s="211">
        <f t="shared" si="15"/>
        <v>0.1742528449959786</v>
      </c>
      <c r="N72" s="609">
        <v>21585434.300000001</v>
      </c>
      <c r="O72" s="280">
        <v>0.54280780252544203</v>
      </c>
      <c r="P72" s="178">
        <f t="shared" si="16"/>
        <v>0.21702637273320913</v>
      </c>
      <c r="T72" s="254"/>
      <c r="U72" s="254"/>
    </row>
    <row r="73" spans="1:21" ht="14.1" customHeight="1" x14ac:dyDescent="0.2">
      <c r="A73" s="39" t="s">
        <v>91</v>
      </c>
      <c r="B73" s="40" t="s">
        <v>488</v>
      </c>
      <c r="C73" s="200">
        <v>49281328.299999997</v>
      </c>
      <c r="D73" s="206">
        <v>52058574.170000002</v>
      </c>
      <c r="E73" s="34">
        <v>51735580.880000003</v>
      </c>
      <c r="F73" s="280">
        <f t="shared" si="17"/>
        <v>0.99379557939974983</v>
      </c>
      <c r="G73" s="34">
        <v>51229215.240000002</v>
      </c>
      <c r="H73" s="280">
        <f t="shared" si="11"/>
        <v>0.984068735204086</v>
      </c>
      <c r="I73" s="34">
        <v>46840448.710000001</v>
      </c>
      <c r="J73" s="178">
        <f t="shared" si="12"/>
        <v>0.89976434154804286</v>
      </c>
      <c r="K73" s="644">
        <v>55284018.350000001</v>
      </c>
      <c r="L73" s="280">
        <v>0.95076727699506269</v>
      </c>
      <c r="M73" s="211">
        <f t="shared" si="15"/>
        <v>-7.3344941829829868E-2</v>
      </c>
      <c r="N73" s="609">
        <v>37506980.200000003</v>
      </c>
      <c r="O73" s="280">
        <v>0.64504011280977613</v>
      </c>
      <c r="P73" s="178">
        <f t="shared" si="16"/>
        <v>0.24884617370502138</v>
      </c>
    </row>
    <row r="74" spans="1:21" ht="14.1" customHeight="1" x14ac:dyDescent="0.2">
      <c r="A74" s="39" t="s">
        <v>92</v>
      </c>
      <c r="B74" s="40" t="s">
        <v>118</v>
      </c>
      <c r="C74" s="200">
        <v>44564324.299999997</v>
      </c>
      <c r="D74" s="206">
        <v>12353047.77</v>
      </c>
      <c r="E74" s="34">
        <v>11670.08</v>
      </c>
      <c r="F74" s="280">
        <f t="shared" si="17"/>
        <v>9.4471260997965045E-4</v>
      </c>
      <c r="G74" s="34">
        <v>11670.08</v>
      </c>
      <c r="H74" s="280">
        <f t="shared" si="11"/>
        <v>9.4471260997965045E-4</v>
      </c>
      <c r="I74" s="34">
        <v>11670.08</v>
      </c>
      <c r="J74" s="178">
        <f t="shared" si="12"/>
        <v>9.4471260997965045E-4</v>
      </c>
      <c r="K74" s="644">
        <v>9444865.9499999993</v>
      </c>
      <c r="L74" s="280">
        <v>0.21293736202021099</v>
      </c>
      <c r="M74" s="211">
        <f t="shared" si="15"/>
        <v>-0.9987643996154334</v>
      </c>
      <c r="N74" s="609">
        <v>9444865.9499999993</v>
      </c>
      <c r="O74" s="280">
        <v>0.21293736202021099</v>
      </c>
      <c r="P74" s="178">
        <f t="shared" si="16"/>
        <v>-0.9987643996154334</v>
      </c>
    </row>
    <row r="75" spans="1:21" ht="14.1" customHeight="1" x14ac:dyDescent="0.2">
      <c r="A75" s="253">
        <v>931</v>
      </c>
      <c r="B75" s="40" t="s">
        <v>436</v>
      </c>
      <c r="C75" s="200">
        <v>5805408.6299999999</v>
      </c>
      <c r="D75" s="206">
        <v>5983590.5099999998</v>
      </c>
      <c r="E75" s="34">
        <v>4741346.28</v>
      </c>
      <c r="F75" s="280">
        <f t="shared" si="17"/>
        <v>0.7923915034085447</v>
      </c>
      <c r="G75" s="34">
        <v>4662915.92</v>
      </c>
      <c r="H75" s="280">
        <f t="shared" si="11"/>
        <v>0.77928392863902718</v>
      </c>
      <c r="I75" s="34">
        <v>4385894.1100000003</v>
      </c>
      <c r="J75" s="178">
        <f t="shared" si="12"/>
        <v>0.73298700883192636</v>
      </c>
      <c r="K75" s="644">
        <v>3954914.96</v>
      </c>
      <c r="L75" s="280">
        <v>0.75584444438842646</v>
      </c>
      <c r="M75" s="211">
        <f t="shared" si="15"/>
        <v>0.1790179984046989</v>
      </c>
      <c r="N75" s="609">
        <v>3617757.11</v>
      </c>
      <c r="O75" s="280">
        <v>0.69140844756374464</v>
      </c>
      <c r="P75" s="178">
        <f t="shared" si="16"/>
        <v>0.21232409380849804</v>
      </c>
    </row>
    <row r="76" spans="1:21" ht="14.1" customHeight="1" x14ac:dyDescent="0.2">
      <c r="A76" s="39" t="s">
        <v>93</v>
      </c>
      <c r="B76" s="40" t="s">
        <v>107</v>
      </c>
      <c r="C76" s="200">
        <v>30138334.93</v>
      </c>
      <c r="D76" s="206">
        <v>30394409.77</v>
      </c>
      <c r="E76" s="34">
        <v>27805866.25</v>
      </c>
      <c r="F76" s="280">
        <f t="shared" si="17"/>
        <v>0.91483488116439904</v>
      </c>
      <c r="G76" s="34">
        <v>27735727.510000002</v>
      </c>
      <c r="H76" s="280">
        <f t="shared" si="11"/>
        <v>0.91252726142344176</v>
      </c>
      <c r="I76" s="34">
        <v>22770328.890000001</v>
      </c>
      <c r="J76" s="178">
        <f t="shared" si="12"/>
        <v>0.74916173935625663</v>
      </c>
      <c r="K76" s="644">
        <v>28846921.190000001</v>
      </c>
      <c r="L76" s="280">
        <v>0.95524344122413785</v>
      </c>
      <c r="M76" s="211">
        <f t="shared" si="15"/>
        <v>-3.852035621691241E-2</v>
      </c>
      <c r="N76" s="609">
        <v>25258477.350000001</v>
      </c>
      <c r="O76" s="280">
        <v>0.83641490421030062</v>
      </c>
      <c r="P76" s="178">
        <f t="shared" si="16"/>
        <v>-9.850746050612591E-2</v>
      </c>
    </row>
    <row r="77" spans="1:21" ht="14.1" customHeight="1" x14ac:dyDescent="0.2">
      <c r="A77" s="39" t="s">
        <v>94</v>
      </c>
      <c r="B77" s="40" t="s">
        <v>108</v>
      </c>
      <c r="C77" s="200">
        <v>113561295.48999999</v>
      </c>
      <c r="D77" s="206">
        <v>115832173.91</v>
      </c>
      <c r="E77" s="34">
        <v>102973940.7</v>
      </c>
      <c r="F77" s="280">
        <f t="shared" si="17"/>
        <v>0.88899255901049856</v>
      </c>
      <c r="G77" s="34">
        <v>102186207.34</v>
      </c>
      <c r="H77" s="280">
        <f t="shared" si="11"/>
        <v>0.88219191517028139</v>
      </c>
      <c r="I77" s="34">
        <v>70564353.900000006</v>
      </c>
      <c r="J77" s="178">
        <f t="shared" si="12"/>
        <v>0.60919476444280096</v>
      </c>
      <c r="K77" s="644">
        <v>91380273.730000004</v>
      </c>
      <c r="L77" s="280">
        <v>0.87117665924783827</v>
      </c>
      <c r="M77" s="211">
        <f t="shared" si="15"/>
        <v>0.1182523663906736</v>
      </c>
      <c r="N77" s="609">
        <v>59745267.579999998</v>
      </c>
      <c r="O77" s="280">
        <v>0.56958335198250865</v>
      </c>
      <c r="P77" s="178">
        <f t="shared" si="16"/>
        <v>0.1810869171439069</v>
      </c>
    </row>
    <row r="78" spans="1:21" ht="14.1" customHeight="1" x14ac:dyDescent="0.2">
      <c r="A78" s="39" t="s">
        <v>95</v>
      </c>
      <c r="B78" s="40" t="s">
        <v>117</v>
      </c>
      <c r="C78" s="200">
        <v>799840.54</v>
      </c>
      <c r="D78" s="206">
        <v>807138.59</v>
      </c>
      <c r="E78" s="34">
        <v>649034.06000000006</v>
      </c>
      <c r="F78" s="280">
        <f t="shared" si="17"/>
        <v>0.80411724583754585</v>
      </c>
      <c r="G78" s="34">
        <v>649034.06000000006</v>
      </c>
      <c r="H78" s="280">
        <f t="shared" si="11"/>
        <v>0.80411724583754585</v>
      </c>
      <c r="I78" s="34">
        <v>649034.06000000006</v>
      </c>
      <c r="J78" s="178">
        <f t="shared" si="12"/>
        <v>0.80411724583754585</v>
      </c>
      <c r="K78" s="644">
        <v>722250.63</v>
      </c>
      <c r="L78" s="280">
        <v>0.82171144625127268</v>
      </c>
      <c r="M78" s="211">
        <f t="shared" si="15"/>
        <v>-0.10137280184857711</v>
      </c>
      <c r="N78" s="609">
        <v>722250.63</v>
      </c>
      <c r="O78" s="280">
        <v>0.82171144625127268</v>
      </c>
      <c r="P78" s="178">
        <f t="shared" si="16"/>
        <v>-0.10137280184857711</v>
      </c>
    </row>
    <row r="79" spans="1:21" ht="14.1" customHeight="1" x14ac:dyDescent="0.2">
      <c r="A79" s="250">
        <v>943</v>
      </c>
      <c r="B79" s="42" t="s">
        <v>740</v>
      </c>
      <c r="C79" s="200">
        <v>98287346.239999995</v>
      </c>
      <c r="D79" s="206">
        <v>97902507.239999995</v>
      </c>
      <c r="E79" s="34">
        <v>97687346.230000004</v>
      </c>
      <c r="F79" s="390">
        <f t="shared" si="17"/>
        <v>0.99780229315810531</v>
      </c>
      <c r="G79" s="34">
        <v>97687346.230000004</v>
      </c>
      <c r="H79" s="390">
        <f t="shared" si="11"/>
        <v>0.99780229315810531</v>
      </c>
      <c r="I79" s="34">
        <v>88756166.930000007</v>
      </c>
      <c r="J79" s="392">
        <f t="shared" si="12"/>
        <v>0.90657705744370287</v>
      </c>
      <c r="K79" s="646">
        <v>86137049.870000005</v>
      </c>
      <c r="L79" s="78">
        <v>0.75681208766854802</v>
      </c>
      <c r="M79" s="515">
        <f t="shared" si="15"/>
        <v>0.13409208206494161</v>
      </c>
      <c r="N79" s="611">
        <v>79002108.519999996</v>
      </c>
      <c r="O79" s="78">
        <v>0.69412350166942605</v>
      </c>
      <c r="P79" s="392">
        <f t="shared" si="16"/>
        <v>0.12346579847967853</v>
      </c>
    </row>
    <row r="80" spans="1:21" ht="14.1" customHeight="1" thickBot="1" x14ac:dyDescent="0.25">
      <c r="A80" s="18">
        <v>9</v>
      </c>
      <c r="B80" s="2" t="s">
        <v>534</v>
      </c>
      <c r="C80" s="201">
        <f>SUBTOTAL(9,C67:C79)</f>
        <v>496436210.86000007</v>
      </c>
      <c r="D80" s="207">
        <f>SUM(D67:D79)</f>
        <v>475662930.98999995</v>
      </c>
      <c r="E80" s="523">
        <f>SUM(E67:E79)</f>
        <v>414042874.45000005</v>
      </c>
      <c r="F80" s="529">
        <f t="shared" si="17"/>
        <v>0.87045436479199734</v>
      </c>
      <c r="G80" s="203">
        <f>SUM(G67:G79)</f>
        <v>405775446.32999998</v>
      </c>
      <c r="H80" s="529">
        <f t="shared" si="11"/>
        <v>0.85307351044879043</v>
      </c>
      <c r="I80" s="203">
        <f>SUM(I67:I79)</f>
        <v>338182670.45000005</v>
      </c>
      <c r="J80" s="530">
        <f t="shared" si="12"/>
        <v>0.71097125383754112</v>
      </c>
      <c r="K80" s="152">
        <f>SUM(K67:K79)</f>
        <v>393282439.07999998</v>
      </c>
      <c r="L80" s="90">
        <v>0.76069158255907587</v>
      </c>
      <c r="M80" s="554">
        <f>+G80/K80-1</f>
        <v>3.1765993109747592E-2</v>
      </c>
      <c r="N80" s="561">
        <f>SUM(N67:N79)</f>
        <v>317388826.51999998</v>
      </c>
      <c r="O80" s="90">
        <v>0.61389725230766024</v>
      </c>
      <c r="P80" s="530">
        <f>+I80/N80-1</f>
        <v>6.551536220727594E-2</v>
      </c>
    </row>
    <row r="81" spans="1:19" s="6" customFormat="1" ht="14.1" customHeight="1" thickBot="1" x14ac:dyDescent="0.25">
      <c r="A81" s="5"/>
      <c r="B81" s="4" t="s">
        <v>11</v>
      </c>
      <c r="C81" s="202">
        <f>SUM(C6,C27,C33,C57,C66,C80)</f>
        <v>2736183653.8400006</v>
      </c>
      <c r="D81" s="208">
        <f>SUM(D6,D27,D33,D57,D66,D80)</f>
        <v>2758812037.9700003</v>
      </c>
      <c r="E81" s="209">
        <f>SUM(E6,E27,E33,E57,E66,E80)</f>
        <v>2373643044.8400002</v>
      </c>
      <c r="F81" s="181">
        <f t="shared" si="17"/>
        <v>0.86038592414820092</v>
      </c>
      <c r="G81" s="209">
        <f>SUM(G6,G27,G33,G57,G66,G80)</f>
        <v>2338694329.4400001</v>
      </c>
      <c r="H81" s="181">
        <f t="shared" si="11"/>
        <v>0.84771789351798943</v>
      </c>
      <c r="I81" s="209">
        <f>SUM(I6,I27,I33,I57,I66,I80)</f>
        <v>1834274865.0999999</v>
      </c>
      <c r="J81" s="173">
        <f t="shared" si="12"/>
        <v>0.6648785201219084</v>
      </c>
      <c r="K81" s="154">
        <f>K6+K27+K33+K57+K66+K80</f>
        <v>2326506519.98</v>
      </c>
      <c r="L81" s="181">
        <v>0.84360503116201591</v>
      </c>
      <c r="M81" s="602">
        <f>+G81/K81-1</f>
        <v>5.2386741044270213E-3</v>
      </c>
      <c r="N81" s="569">
        <f>N6+N27+N33+N57+N66+N80</f>
        <v>1956370255.8799999</v>
      </c>
      <c r="O81" s="181">
        <v>0.70939143153154638</v>
      </c>
      <c r="P81" s="175">
        <f>+I81/N81-1</f>
        <v>-6.2409142856795219E-2</v>
      </c>
      <c r="R81" s="255"/>
      <c r="S81" s="46" t="s">
        <v>148</v>
      </c>
    </row>
    <row r="82" spans="1:19" ht="15.75" thickBot="1" x14ac:dyDescent="0.3">
      <c r="A82" s="7" t="s">
        <v>19</v>
      </c>
      <c r="N82" s="97"/>
    </row>
    <row r="83" spans="1:19" ht="12.75" customHeight="1" x14ac:dyDescent="0.2">
      <c r="A83" s="8" t="s">
        <v>757</v>
      </c>
      <c r="C83" s="164" t="s">
        <v>765</v>
      </c>
      <c r="D83" s="754" t="s">
        <v>784</v>
      </c>
      <c r="E83" s="752"/>
      <c r="F83" s="752"/>
      <c r="G83" s="752"/>
      <c r="H83" s="752"/>
      <c r="I83" s="752"/>
      <c r="J83" s="753"/>
      <c r="K83" s="763" t="s">
        <v>785</v>
      </c>
      <c r="L83" s="761"/>
      <c r="M83" s="761"/>
      <c r="N83" s="761"/>
      <c r="O83" s="761"/>
      <c r="P83" s="764"/>
    </row>
    <row r="84" spans="1:19" ht="12.75" customHeight="1" x14ac:dyDescent="0.2">
      <c r="A84" s="8" t="s">
        <v>148</v>
      </c>
      <c r="C84" s="157">
        <v>1</v>
      </c>
      <c r="D84" s="148">
        <v>2</v>
      </c>
      <c r="E84" s="87">
        <v>3</v>
      </c>
      <c r="F84" s="88" t="s">
        <v>36</v>
      </c>
      <c r="G84" s="87">
        <v>4</v>
      </c>
      <c r="H84" s="88" t="s">
        <v>37</v>
      </c>
      <c r="I84" s="87">
        <v>5</v>
      </c>
      <c r="J84" s="149" t="s">
        <v>38</v>
      </c>
      <c r="K84" s="87" t="s">
        <v>543</v>
      </c>
      <c r="L84" s="88" t="s">
        <v>544</v>
      </c>
      <c r="M84" s="88" t="s">
        <v>545</v>
      </c>
      <c r="N84" s="87" t="s">
        <v>39</v>
      </c>
      <c r="O84" s="88" t="s">
        <v>40</v>
      </c>
      <c r="P84" s="604" t="s">
        <v>362</v>
      </c>
    </row>
    <row r="85" spans="1:19" ht="14.1" customHeight="1" x14ac:dyDescent="0.2">
      <c r="A85" s="1"/>
      <c r="B85" s="2" t="s">
        <v>425</v>
      </c>
      <c r="C85" s="248" t="s">
        <v>13</v>
      </c>
      <c r="D85" s="249" t="s">
        <v>14</v>
      </c>
      <c r="E85" s="89" t="s">
        <v>15</v>
      </c>
      <c r="F85" s="89" t="s">
        <v>18</v>
      </c>
      <c r="G85" s="89" t="s">
        <v>16</v>
      </c>
      <c r="H85" s="89" t="s">
        <v>18</v>
      </c>
      <c r="I85" s="89" t="s">
        <v>17</v>
      </c>
      <c r="J85" s="113" t="s">
        <v>18</v>
      </c>
      <c r="K85" s="89" t="s">
        <v>16</v>
      </c>
      <c r="L85" s="89" t="s">
        <v>18</v>
      </c>
      <c r="M85" s="606" t="s">
        <v>764</v>
      </c>
      <c r="N85" s="557" t="s">
        <v>17</v>
      </c>
      <c r="O85" s="89" t="s">
        <v>18</v>
      </c>
      <c r="P85" s="605" t="s">
        <v>764</v>
      </c>
    </row>
    <row r="86" spans="1:19" ht="14.1" customHeight="1" x14ac:dyDescent="0.2">
      <c r="A86" s="17" t="s">
        <v>546</v>
      </c>
      <c r="B86" s="13" t="s">
        <v>547</v>
      </c>
      <c r="C86" s="524">
        <v>155185000</v>
      </c>
      <c r="D86" s="511">
        <v>155185000</v>
      </c>
      <c r="E86" s="180">
        <v>144594735.44999999</v>
      </c>
      <c r="F86" s="78">
        <f t="shared" ref="F86:F118" si="18">+E86/D86</f>
        <v>0.93175716370783246</v>
      </c>
      <c r="G86" s="180">
        <v>144594735.44999999</v>
      </c>
      <c r="H86" s="78">
        <f t="shared" ref="H86:H118" si="19">+G86/D86</f>
        <v>0.93175716370783246</v>
      </c>
      <c r="I86" s="180">
        <v>144594735.44999999</v>
      </c>
      <c r="J86" s="172">
        <f t="shared" ref="J86:J118" si="20">+I86/D86</f>
        <v>0.93175716370783246</v>
      </c>
      <c r="K86" s="607">
        <v>175686279.28</v>
      </c>
      <c r="L86" s="78">
        <v>0.93465008167059616</v>
      </c>
      <c r="M86" s="245">
        <f>+G86/K86-1</f>
        <v>-0.17697195226297591</v>
      </c>
      <c r="N86" s="607">
        <v>175686279.28</v>
      </c>
      <c r="O86" s="78">
        <v>0.93465008167059616</v>
      </c>
      <c r="P86" s="245">
        <f>+I86/N86-1</f>
        <v>-0.17697195226297591</v>
      </c>
    </row>
    <row r="87" spans="1:19" ht="14.1" customHeight="1" x14ac:dyDescent="0.2">
      <c r="A87" s="18">
        <v>0</v>
      </c>
      <c r="B87" s="2" t="s">
        <v>96</v>
      </c>
      <c r="C87" s="201">
        <f>SUBTOTAL(9,C86:C86)</f>
        <v>155185000</v>
      </c>
      <c r="D87" s="207">
        <f>SUBTOTAL(9,D86:D86)</f>
        <v>155185000</v>
      </c>
      <c r="E87" s="203">
        <f>SUBTOTAL(9,E86:E86)</f>
        <v>144594735.44999999</v>
      </c>
      <c r="F87" s="90">
        <f t="shared" si="18"/>
        <v>0.93175716370783246</v>
      </c>
      <c r="G87" s="203">
        <f>SUBTOTAL(9,G86:G86)</f>
        <v>144594735.44999999</v>
      </c>
      <c r="H87" s="90">
        <f t="shared" si="19"/>
        <v>0.93175716370783246</v>
      </c>
      <c r="I87" s="203">
        <f>SUBTOTAL(9,I86:I86)</f>
        <v>144594735.44999999</v>
      </c>
      <c r="J87" s="170">
        <f t="shared" si="20"/>
        <v>0.93175716370783246</v>
      </c>
      <c r="K87" s="561">
        <f>SUBTOTAL(9,K86:K86)</f>
        <v>175686279.28</v>
      </c>
      <c r="L87" s="90">
        <v>0.93465008167059616</v>
      </c>
      <c r="M87" s="213">
        <f>+G87/K87-1</f>
        <v>-0.17697195226297591</v>
      </c>
      <c r="N87" s="561">
        <f>SUBTOTAL(9,N86:N86)</f>
        <v>175686279.28</v>
      </c>
      <c r="O87" s="90">
        <v>0.93465008167059616</v>
      </c>
      <c r="P87" s="213">
        <f>+I87/N87-1</f>
        <v>-0.17697195226297591</v>
      </c>
    </row>
    <row r="88" spans="1:19" ht="14.1" customHeight="1" x14ac:dyDescent="0.2">
      <c r="A88" s="37" t="s">
        <v>548</v>
      </c>
      <c r="B88" s="38" t="s">
        <v>549</v>
      </c>
      <c r="C88" s="198">
        <v>8321253.9400000004</v>
      </c>
      <c r="D88" s="204">
        <v>21662218.59</v>
      </c>
      <c r="E88" s="30">
        <v>9005315.5199999996</v>
      </c>
      <c r="F88" s="48">
        <f t="shared" si="18"/>
        <v>0.41571529169949162</v>
      </c>
      <c r="G88" s="30">
        <v>8779913.3100000005</v>
      </c>
      <c r="H88" s="48">
        <f t="shared" si="19"/>
        <v>0.40530997660844859</v>
      </c>
      <c r="I88" s="30">
        <v>7821898.7000000002</v>
      </c>
      <c r="J88" s="153">
        <f t="shared" si="20"/>
        <v>0.36108483844821182</v>
      </c>
      <c r="K88" s="608">
        <v>8508363.8900000006</v>
      </c>
      <c r="L88" s="48">
        <v>0.81237045462914192</v>
      </c>
      <c r="M88" s="210">
        <f>+G88/K88-1</f>
        <v>3.1915586064573009E-2</v>
      </c>
      <c r="N88" s="608">
        <v>7370516.1100000003</v>
      </c>
      <c r="O88" s="48">
        <v>0.70372983578774917</v>
      </c>
      <c r="P88" s="210">
        <f>+I88/N88-1</f>
        <v>6.1241652994636686E-2</v>
      </c>
    </row>
    <row r="89" spans="1:19" ht="14.1" customHeight="1" x14ac:dyDescent="0.2">
      <c r="A89" s="39" t="s">
        <v>550</v>
      </c>
      <c r="B89" s="40" t="s">
        <v>551</v>
      </c>
      <c r="C89" s="199">
        <v>168947008.41</v>
      </c>
      <c r="D89" s="205">
        <v>165591184.03</v>
      </c>
      <c r="E89" s="32">
        <v>144540522.87</v>
      </c>
      <c r="F89" s="280">
        <f t="shared" si="18"/>
        <v>0.87287571326148461</v>
      </c>
      <c r="G89" s="32">
        <v>143620881.72</v>
      </c>
      <c r="H89" s="280">
        <f t="shared" si="19"/>
        <v>0.86732202901562883</v>
      </c>
      <c r="I89" s="32">
        <v>138967727.08000001</v>
      </c>
      <c r="J89" s="178">
        <f t="shared" si="20"/>
        <v>0.83922177315202573</v>
      </c>
      <c r="K89" s="609">
        <v>159740324.97</v>
      </c>
      <c r="L89" s="280">
        <v>0.8140807691380646</v>
      </c>
      <c r="M89" s="443">
        <f>+G89/K89-1</f>
        <v>-0.10091029458608725</v>
      </c>
      <c r="N89" s="609">
        <v>155568288.08000001</v>
      </c>
      <c r="O89" s="280">
        <v>0.79281891806244287</v>
      </c>
      <c r="P89" s="443">
        <f>+I89/N89-1</f>
        <v>-0.10670915779097134</v>
      </c>
      <c r="Q89" s="53"/>
    </row>
    <row r="90" spans="1:19" ht="14.1" customHeight="1" x14ac:dyDescent="0.2">
      <c r="A90" s="39" t="s">
        <v>552</v>
      </c>
      <c r="B90" s="40" t="s">
        <v>553</v>
      </c>
      <c r="C90" s="199">
        <v>592279.81000000006</v>
      </c>
      <c r="D90" s="205">
        <v>574332.03</v>
      </c>
      <c r="E90" s="32">
        <v>554141.21</v>
      </c>
      <c r="F90" s="280">
        <f t="shared" si="18"/>
        <v>0.96484469097083081</v>
      </c>
      <c r="G90" s="32">
        <v>548050.21</v>
      </c>
      <c r="H90" s="280">
        <f t="shared" si="19"/>
        <v>0.95423932738001738</v>
      </c>
      <c r="I90" s="32">
        <v>472498.72</v>
      </c>
      <c r="J90" s="178">
        <f t="shared" si="20"/>
        <v>0.8226926156286285</v>
      </c>
      <c r="K90" s="609">
        <v>516947.51</v>
      </c>
      <c r="L90" s="280">
        <v>0.81788630643676064</v>
      </c>
      <c r="M90" s="663">
        <f>+G90/K90-1</f>
        <v>6.0166069858814009E-2</v>
      </c>
      <c r="N90" s="609">
        <v>439009.22</v>
      </c>
      <c r="O90" s="280">
        <v>0.69457657207302004</v>
      </c>
      <c r="P90" s="587">
        <f>+I90/N90-1</f>
        <v>7.6284274849626188E-2</v>
      </c>
    </row>
    <row r="91" spans="1:19" ht="14.1" customHeight="1" x14ac:dyDescent="0.2">
      <c r="A91" s="39" t="s">
        <v>554</v>
      </c>
      <c r="B91" s="40" t="s">
        <v>555</v>
      </c>
      <c r="C91" s="199">
        <v>60818645.530000001</v>
      </c>
      <c r="D91" s="205">
        <v>57030682.810000002</v>
      </c>
      <c r="E91" s="32">
        <v>1688905.33</v>
      </c>
      <c r="F91" s="280">
        <f t="shared" si="18"/>
        <v>2.9613977017014782E-2</v>
      </c>
      <c r="G91" s="32">
        <v>1631873.8</v>
      </c>
      <c r="H91" s="280">
        <f t="shared" si="19"/>
        <v>2.8613962162028689E-2</v>
      </c>
      <c r="I91" s="32">
        <v>1113047.83</v>
      </c>
      <c r="J91" s="178">
        <f t="shared" si="20"/>
        <v>1.9516649199311946E-2</v>
      </c>
      <c r="K91" s="609">
        <v>0</v>
      </c>
      <c r="L91" s="280">
        <v>0</v>
      </c>
      <c r="M91" s="663" t="s">
        <v>129</v>
      </c>
      <c r="N91" s="609">
        <v>0</v>
      </c>
      <c r="O91" s="280">
        <v>0</v>
      </c>
      <c r="P91" s="587" t="s">
        <v>129</v>
      </c>
    </row>
    <row r="92" spans="1:19" ht="14.1" customHeight="1" x14ac:dyDescent="0.2">
      <c r="A92" s="39">
        <v>1341</v>
      </c>
      <c r="B92" s="40" t="s">
        <v>556</v>
      </c>
      <c r="C92" s="199">
        <v>14713359.07</v>
      </c>
      <c r="D92" s="205">
        <v>15568143.75</v>
      </c>
      <c r="E92" s="32">
        <v>15393640.68</v>
      </c>
      <c r="F92" s="280">
        <f t="shared" si="18"/>
        <v>0.98879101627000332</v>
      </c>
      <c r="G92" s="32">
        <v>14933080.5</v>
      </c>
      <c r="H92" s="280">
        <f t="shared" si="19"/>
        <v>0.95920751631035006</v>
      </c>
      <c r="I92" s="32">
        <v>8587765.1699999999</v>
      </c>
      <c r="J92" s="178">
        <f t="shared" si="20"/>
        <v>0.55162422109572307</v>
      </c>
      <c r="K92" s="609">
        <v>16584952.220000001</v>
      </c>
      <c r="L92" s="280">
        <v>0.82275003719748718</v>
      </c>
      <c r="M92" s="210">
        <f t="shared" ref="M92:M121" si="21">+G92/K92-1</f>
        <v>-9.9600631831063602E-2</v>
      </c>
      <c r="N92" s="609">
        <v>7985580.8300000001</v>
      </c>
      <c r="O92" s="280">
        <v>0.39615048857379465</v>
      </c>
      <c r="P92" s="210">
        <f t="shared" ref="P92:P121" si="22">+I92/N92-1</f>
        <v>7.5408959325504732E-2</v>
      </c>
      <c r="R92" s="275"/>
    </row>
    <row r="93" spans="1:19" ht="14.1" customHeight="1" x14ac:dyDescent="0.2">
      <c r="A93" s="39" t="s">
        <v>557</v>
      </c>
      <c r="B93" s="40" t="s">
        <v>475</v>
      </c>
      <c r="C93" s="199">
        <v>431130.98</v>
      </c>
      <c r="D93" s="205">
        <v>376940.26</v>
      </c>
      <c r="E93" s="32">
        <v>351389.81</v>
      </c>
      <c r="F93" s="280">
        <f t="shared" si="18"/>
        <v>0.93221618194883182</v>
      </c>
      <c r="G93" s="32">
        <v>351389.81</v>
      </c>
      <c r="H93" s="280">
        <f t="shared" si="19"/>
        <v>0.93221618194883182</v>
      </c>
      <c r="I93" s="32">
        <v>351389.81</v>
      </c>
      <c r="J93" s="178">
        <f t="shared" si="20"/>
        <v>0.93221618194883182</v>
      </c>
      <c r="K93" s="609">
        <v>402447.29</v>
      </c>
      <c r="L93" s="280">
        <v>0.84376175655587071</v>
      </c>
      <c r="M93" s="210">
        <f t="shared" si="21"/>
        <v>-0.12686749611359038</v>
      </c>
      <c r="N93" s="609">
        <v>402447.29</v>
      </c>
      <c r="O93" s="280">
        <v>0.84376175655587071</v>
      </c>
      <c r="P93" s="210">
        <f t="shared" si="22"/>
        <v>-0.12686749611359038</v>
      </c>
      <c r="R93" s="275"/>
    </row>
    <row r="94" spans="1:19" ht="14.1" customHeight="1" x14ac:dyDescent="0.2">
      <c r="A94" s="39">
        <v>1361</v>
      </c>
      <c r="B94" s="40" t="s">
        <v>558</v>
      </c>
      <c r="C94" s="199">
        <v>41868192.539999999</v>
      </c>
      <c r="D94" s="205">
        <v>45437662.82</v>
      </c>
      <c r="E94" s="32">
        <v>38075108.07</v>
      </c>
      <c r="F94" s="280">
        <f t="shared" si="18"/>
        <v>0.8379636122754256</v>
      </c>
      <c r="G94" s="32">
        <v>37793837.07</v>
      </c>
      <c r="H94" s="280">
        <f t="shared" si="19"/>
        <v>0.83177335110124839</v>
      </c>
      <c r="I94" s="32">
        <v>35802728.369999997</v>
      </c>
      <c r="J94" s="178">
        <f t="shared" si="20"/>
        <v>0.78795268391843742</v>
      </c>
      <c r="K94" s="609">
        <v>40237041.850000001</v>
      </c>
      <c r="L94" s="280">
        <v>0.83580618092798953</v>
      </c>
      <c r="M94" s="211">
        <f t="shared" si="21"/>
        <v>-6.0720288263437561E-2</v>
      </c>
      <c r="N94" s="609">
        <v>37299247.600000001</v>
      </c>
      <c r="O94" s="280">
        <v>0.77478214736214457</v>
      </c>
      <c r="P94" s="211">
        <f t="shared" si="22"/>
        <v>-4.012196830479775E-2</v>
      </c>
      <c r="R94" s="275"/>
      <c r="S94" s="275"/>
    </row>
    <row r="95" spans="1:19" ht="14.1" customHeight="1" x14ac:dyDescent="0.2">
      <c r="A95" s="39" t="s">
        <v>559</v>
      </c>
      <c r="B95" s="40" t="s">
        <v>560</v>
      </c>
      <c r="C95" s="199">
        <v>27281948.489999998</v>
      </c>
      <c r="D95" s="205">
        <v>31744164.27</v>
      </c>
      <c r="E95" s="32">
        <v>28380268.68</v>
      </c>
      <c r="F95" s="280">
        <f t="shared" si="18"/>
        <v>0.89403105523936988</v>
      </c>
      <c r="G95" s="32">
        <v>25844604.449999999</v>
      </c>
      <c r="H95" s="280">
        <f t="shared" si="19"/>
        <v>0.81415293312429671</v>
      </c>
      <c r="I95" s="32">
        <v>22177452.16</v>
      </c>
      <c r="J95" s="178">
        <f t="shared" si="20"/>
        <v>0.69863084034500555</v>
      </c>
      <c r="K95" s="609">
        <v>21599270.309999999</v>
      </c>
      <c r="L95" s="280">
        <v>0.89534096549081654</v>
      </c>
      <c r="M95" s="211">
        <f t="shared" si="21"/>
        <v>0.19654988705958742</v>
      </c>
      <c r="N95" s="609">
        <v>19201319.93</v>
      </c>
      <c r="O95" s="280">
        <v>0.79594023678035342</v>
      </c>
      <c r="P95" s="211">
        <f t="shared" si="22"/>
        <v>0.15499623155333775</v>
      </c>
      <c r="R95" s="275"/>
      <c r="S95" s="275"/>
    </row>
    <row r="96" spans="1:19" ht="14.1" customHeight="1" x14ac:dyDescent="0.2">
      <c r="A96" s="39" t="s">
        <v>561</v>
      </c>
      <c r="B96" s="40" t="s">
        <v>562</v>
      </c>
      <c r="C96" s="199">
        <v>10111588.699999999</v>
      </c>
      <c r="D96" s="205">
        <v>10892987.720000001</v>
      </c>
      <c r="E96" s="32">
        <v>9018283.6899999995</v>
      </c>
      <c r="F96" s="280">
        <f t="shared" si="18"/>
        <v>0.82789808653158004</v>
      </c>
      <c r="G96" s="32">
        <v>8965921.0299999993</v>
      </c>
      <c r="H96" s="280">
        <f t="shared" si="19"/>
        <v>0.82309108028628153</v>
      </c>
      <c r="I96" s="32">
        <v>8752547.5399999991</v>
      </c>
      <c r="J96" s="178">
        <f t="shared" si="20"/>
        <v>0.80350292913026422</v>
      </c>
      <c r="K96" s="609">
        <v>8783628.4800000004</v>
      </c>
      <c r="L96" s="280">
        <v>0.81316810663191119</v>
      </c>
      <c r="M96" s="211">
        <f t="shared" si="21"/>
        <v>2.0753672632565445E-2</v>
      </c>
      <c r="N96" s="609">
        <v>8627982.3200000003</v>
      </c>
      <c r="O96" s="280">
        <v>0.79875874340350106</v>
      </c>
      <c r="P96" s="211">
        <f t="shared" si="22"/>
        <v>1.4437352254564884E-2</v>
      </c>
      <c r="R96" s="275"/>
      <c r="S96" s="275"/>
    </row>
    <row r="97" spans="1:19" ht="14.1" customHeight="1" x14ac:dyDescent="0.2">
      <c r="A97" s="39" t="s">
        <v>563</v>
      </c>
      <c r="B97" s="40" t="s">
        <v>564</v>
      </c>
      <c r="C97" s="199">
        <v>21055570.43</v>
      </c>
      <c r="D97" s="205">
        <v>50382628.710000001</v>
      </c>
      <c r="E97" s="32">
        <v>24318221.550000001</v>
      </c>
      <c r="F97" s="280">
        <f t="shared" si="18"/>
        <v>0.48267075721623259</v>
      </c>
      <c r="G97" s="32">
        <v>24318221.550000001</v>
      </c>
      <c r="H97" s="280">
        <f t="shared" si="19"/>
        <v>0.48267075721623259</v>
      </c>
      <c r="I97" s="32">
        <v>17618768.280000001</v>
      </c>
      <c r="J97" s="178">
        <f t="shared" si="20"/>
        <v>0.34969926601910328</v>
      </c>
      <c r="K97" s="609">
        <v>45417545.130000003</v>
      </c>
      <c r="L97" s="280">
        <v>0.66239939838002515</v>
      </c>
      <c r="M97" s="211">
        <f t="shared" si="21"/>
        <v>-0.46456327658412133</v>
      </c>
      <c r="N97" s="609">
        <v>45417545.130000003</v>
      </c>
      <c r="O97" s="280">
        <v>0.66239939838002515</v>
      </c>
      <c r="P97" s="211">
        <f t="shared" si="22"/>
        <v>-0.61207132112558549</v>
      </c>
      <c r="R97" s="276"/>
    </row>
    <row r="98" spans="1:19" ht="14.1" customHeight="1" x14ac:dyDescent="0.2">
      <c r="A98" s="39" t="s">
        <v>565</v>
      </c>
      <c r="B98" s="40" t="s">
        <v>566</v>
      </c>
      <c r="C98" s="199">
        <v>173426660.56</v>
      </c>
      <c r="D98" s="205">
        <v>204213416.22999999</v>
      </c>
      <c r="E98" s="32">
        <v>146756886.62</v>
      </c>
      <c r="F98" s="280">
        <f t="shared" si="18"/>
        <v>0.71864468715763385</v>
      </c>
      <c r="G98" s="32">
        <v>145955922.40000001</v>
      </c>
      <c r="H98" s="280">
        <f t="shared" si="19"/>
        <v>0.7147224951940172</v>
      </c>
      <c r="I98" s="32">
        <v>110245935.94</v>
      </c>
      <c r="J98" s="178">
        <f t="shared" si="20"/>
        <v>0.5398564794383196</v>
      </c>
      <c r="K98" s="609">
        <v>174186810.06</v>
      </c>
      <c r="L98" s="280">
        <v>0.87123834994014138</v>
      </c>
      <c r="M98" s="211">
        <f t="shared" si="21"/>
        <v>-0.16207247638484024</v>
      </c>
      <c r="N98" s="609">
        <v>163118073.83000001</v>
      </c>
      <c r="O98" s="280">
        <v>0.81587533200769247</v>
      </c>
      <c r="P98" s="211">
        <f t="shared" si="22"/>
        <v>-0.32413414803501672</v>
      </c>
      <c r="R98" s="275"/>
      <c r="S98" s="275"/>
    </row>
    <row r="99" spans="1:19" ht="14.1" customHeight="1" x14ac:dyDescent="0.2">
      <c r="A99" s="39" t="s">
        <v>567</v>
      </c>
      <c r="B99" s="40" t="s">
        <v>568</v>
      </c>
      <c r="C99" s="199">
        <v>1408497.48</v>
      </c>
      <c r="D99" s="205">
        <v>1117442.29</v>
      </c>
      <c r="E99" s="32">
        <v>1108429.83</v>
      </c>
      <c r="F99" s="280">
        <f t="shared" si="18"/>
        <v>0.99193474233018342</v>
      </c>
      <c r="G99" s="32">
        <v>940927.69</v>
      </c>
      <c r="H99" s="280">
        <f t="shared" si="19"/>
        <v>0.8420369431337702</v>
      </c>
      <c r="I99" s="32">
        <v>670585.85</v>
      </c>
      <c r="J99" s="178">
        <f t="shared" si="20"/>
        <v>0.60010781406885894</v>
      </c>
      <c r="K99" s="609">
        <v>2310577.5</v>
      </c>
      <c r="L99" s="280">
        <v>0.86941300752958284</v>
      </c>
      <c r="M99" s="211">
        <f t="shared" si="21"/>
        <v>-0.59277380222044052</v>
      </c>
      <c r="N99" s="609">
        <v>1569868.12</v>
      </c>
      <c r="O99" s="280">
        <v>0.59070243851764859</v>
      </c>
      <c r="P99" s="211">
        <f t="shared" si="22"/>
        <v>-0.57283937328442602</v>
      </c>
    </row>
    <row r="100" spans="1:19" ht="14.1" customHeight="1" x14ac:dyDescent="0.2">
      <c r="A100" s="39" t="s">
        <v>569</v>
      </c>
      <c r="B100" s="40" t="s">
        <v>570</v>
      </c>
      <c r="C100" s="199">
        <v>309641.09000000003</v>
      </c>
      <c r="D100" s="205">
        <v>244641.09</v>
      </c>
      <c r="E100" s="32">
        <v>195486.38</v>
      </c>
      <c r="F100" s="280">
        <f t="shared" si="18"/>
        <v>0.79907418659719021</v>
      </c>
      <c r="G100" s="32">
        <v>155770.17000000001</v>
      </c>
      <c r="H100" s="280">
        <f t="shared" si="19"/>
        <v>0.63672938180581196</v>
      </c>
      <c r="I100" s="32">
        <v>95523.79</v>
      </c>
      <c r="J100" s="178">
        <f t="shared" si="20"/>
        <v>0.39046502776782099</v>
      </c>
      <c r="K100" s="609">
        <v>278179.86</v>
      </c>
      <c r="L100" s="280">
        <v>0.7566016368257007</v>
      </c>
      <c r="M100" s="211">
        <f t="shared" si="21"/>
        <v>-0.44003793085523868</v>
      </c>
      <c r="N100" s="609">
        <v>221757.56</v>
      </c>
      <c r="O100" s="280">
        <v>0.60314263180114314</v>
      </c>
      <c r="P100" s="211">
        <f t="shared" si="22"/>
        <v>-0.56924223913719119</v>
      </c>
    </row>
    <row r="101" spans="1:19" ht="14.1" customHeight="1" x14ac:dyDescent="0.2">
      <c r="A101" s="39" t="s">
        <v>571</v>
      </c>
      <c r="B101" s="40" t="s">
        <v>572</v>
      </c>
      <c r="C101" s="199">
        <v>7945464.6799999997</v>
      </c>
      <c r="D101" s="205">
        <v>8647581.8900000006</v>
      </c>
      <c r="E101" s="32">
        <v>8171920.6100000003</v>
      </c>
      <c r="F101" s="280">
        <f t="shared" si="18"/>
        <v>0.94499487995019149</v>
      </c>
      <c r="G101" s="32">
        <v>8171920.6100000003</v>
      </c>
      <c r="H101" s="280">
        <f t="shared" si="19"/>
        <v>0.94499487995019149</v>
      </c>
      <c r="I101" s="32">
        <v>5183984.58</v>
      </c>
      <c r="J101" s="178">
        <f t="shared" si="20"/>
        <v>0.59947215833766443</v>
      </c>
      <c r="K101" s="609">
        <v>7844932.9900000002</v>
      </c>
      <c r="L101" s="280">
        <v>0.95385740499829519</v>
      </c>
      <c r="M101" s="211">
        <f t="shared" si="21"/>
        <v>4.1681378338962682E-2</v>
      </c>
      <c r="N101" s="609">
        <v>4856996.96</v>
      </c>
      <c r="O101" s="280">
        <v>0.59055730906252246</v>
      </c>
      <c r="P101" s="211">
        <f t="shared" si="22"/>
        <v>6.7323002812832655E-2</v>
      </c>
    </row>
    <row r="102" spans="1:19" ht="14.1" customHeight="1" x14ac:dyDescent="0.2">
      <c r="A102" s="39">
        <v>1521</v>
      </c>
      <c r="B102" s="40" t="s">
        <v>573</v>
      </c>
      <c r="C102" s="199">
        <v>32800946.870000001</v>
      </c>
      <c r="D102" s="205">
        <v>22494478.93</v>
      </c>
      <c r="E102" s="32">
        <v>17403299.920000002</v>
      </c>
      <c r="F102" s="280">
        <f t="shared" si="18"/>
        <v>0.77366984023754859</v>
      </c>
      <c r="G102" s="32">
        <v>17403299.920000002</v>
      </c>
      <c r="H102" s="280">
        <f t="shared" si="19"/>
        <v>0.77366984023754859</v>
      </c>
      <c r="I102" s="32">
        <v>8352009.6699999999</v>
      </c>
      <c r="J102" s="178">
        <f t="shared" si="20"/>
        <v>0.37129153762531719</v>
      </c>
      <c r="K102" s="609">
        <v>14405563.390000001</v>
      </c>
      <c r="L102" s="280">
        <v>0.75718031012565634</v>
      </c>
      <c r="M102" s="211">
        <f t="shared" si="21"/>
        <v>0.20809575084588205</v>
      </c>
      <c r="N102" s="609">
        <v>13769549.390000001</v>
      </c>
      <c r="O102" s="280">
        <v>0.72375035915972885</v>
      </c>
      <c r="P102" s="211">
        <f t="shared" si="22"/>
        <v>-0.39344350105853398</v>
      </c>
    </row>
    <row r="103" spans="1:19" ht="14.1" customHeight="1" x14ac:dyDescent="0.2">
      <c r="A103" s="39" t="s">
        <v>574</v>
      </c>
      <c r="B103" s="40" t="s">
        <v>575</v>
      </c>
      <c r="C103" s="199">
        <v>17147962.52</v>
      </c>
      <c r="D103" s="205">
        <v>29841787.010000002</v>
      </c>
      <c r="E103" s="32">
        <v>29803892.48</v>
      </c>
      <c r="F103" s="280">
        <f t="shared" si="18"/>
        <v>0.99873015211899663</v>
      </c>
      <c r="G103" s="32">
        <v>29743412.879999999</v>
      </c>
      <c r="H103" s="280">
        <f t="shared" si="19"/>
        <v>0.99670347724259822</v>
      </c>
      <c r="I103" s="32">
        <v>23224534</v>
      </c>
      <c r="J103" s="178">
        <f t="shared" si="20"/>
        <v>0.77825547083415092</v>
      </c>
      <c r="K103" s="607">
        <v>20554700.510000002</v>
      </c>
      <c r="L103" s="280">
        <v>0.99678208691732029</v>
      </c>
      <c r="M103" s="211">
        <f t="shared" si="21"/>
        <v>0.44703703493658908</v>
      </c>
      <c r="N103" s="607">
        <v>16941511.789999999</v>
      </c>
      <c r="O103" s="280">
        <v>0.82156368414878866</v>
      </c>
      <c r="P103" s="211">
        <f t="shared" si="22"/>
        <v>0.37086549818468129</v>
      </c>
    </row>
    <row r="104" spans="1:19" ht="14.1" customHeight="1" x14ac:dyDescent="0.2">
      <c r="A104" s="39" t="s">
        <v>576</v>
      </c>
      <c r="B104" s="40" t="s">
        <v>577</v>
      </c>
      <c r="C104" s="199">
        <v>8492360.5399999991</v>
      </c>
      <c r="D104" s="205">
        <v>8358302.6799999997</v>
      </c>
      <c r="E104" s="32">
        <v>8128540.2699999996</v>
      </c>
      <c r="F104" s="280">
        <f t="shared" si="18"/>
        <v>0.97251087705285155</v>
      </c>
      <c r="G104" s="32">
        <v>8017506.9100000001</v>
      </c>
      <c r="H104" s="280">
        <f t="shared" si="19"/>
        <v>0.95922667758665092</v>
      </c>
      <c r="I104" s="32">
        <v>3770987.22</v>
      </c>
      <c r="J104" s="178">
        <f t="shared" si="20"/>
        <v>0.45116662609303837</v>
      </c>
      <c r="K104" s="609">
        <v>7686003.3600000003</v>
      </c>
      <c r="L104" s="280">
        <v>0.93941849238504849</v>
      </c>
      <c r="M104" s="211">
        <f t="shared" si="21"/>
        <v>4.3130809924600388E-2</v>
      </c>
      <c r="N104" s="609">
        <v>5228952.87</v>
      </c>
      <c r="O104" s="280">
        <v>0.6391065410473451</v>
      </c>
      <c r="P104" s="211">
        <f t="shared" si="22"/>
        <v>-0.27882554810634574</v>
      </c>
    </row>
    <row r="105" spans="1:19" ht="14.1" customHeight="1" x14ac:dyDescent="0.2">
      <c r="A105" s="39" t="s">
        <v>578</v>
      </c>
      <c r="B105" s="40" t="s">
        <v>579</v>
      </c>
      <c r="C105" s="199">
        <v>78451100.349999994</v>
      </c>
      <c r="D105" s="205">
        <v>26731212</v>
      </c>
      <c r="E105" s="32">
        <v>10686239.119999999</v>
      </c>
      <c r="F105" s="280">
        <f t="shared" si="18"/>
        <v>0.39976635253201387</v>
      </c>
      <c r="G105" s="32">
        <v>10142569.220000001</v>
      </c>
      <c r="H105" s="280">
        <f t="shared" si="19"/>
        <v>0.37942795934580148</v>
      </c>
      <c r="I105" s="32">
        <v>6167136.04</v>
      </c>
      <c r="J105" s="178">
        <f t="shared" si="20"/>
        <v>0.23070918146173094</v>
      </c>
      <c r="K105" s="609">
        <v>7030810.7599999998</v>
      </c>
      <c r="L105" s="280">
        <v>0.7998038165281065</v>
      </c>
      <c r="M105" s="211">
        <f t="shared" si="21"/>
        <v>0.44258885158786443</v>
      </c>
      <c r="N105" s="609">
        <v>3902901.36</v>
      </c>
      <c r="O105" s="280">
        <v>0.44398228167653558</v>
      </c>
      <c r="P105" s="211">
        <f t="shared" si="22"/>
        <v>0.58014140536721137</v>
      </c>
    </row>
    <row r="106" spans="1:19" ht="14.1" customHeight="1" x14ac:dyDescent="0.2">
      <c r="A106" s="39" t="s">
        <v>580</v>
      </c>
      <c r="B106" s="40" t="s">
        <v>581</v>
      </c>
      <c r="C106" s="199">
        <v>21790501.289999999</v>
      </c>
      <c r="D106" s="205">
        <v>25849442.760000002</v>
      </c>
      <c r="E106" s="32">
        <v>23888511.280000001</v>
      </c>
      <c r="F106" s="280">
        <f t="shared" si="18"/>
        <v>0.92414028038413309</v>
      </c>
      <c r="G106" s="32">
        <v>23575331.289999999</v>
      </c>
      <c r="H106" s="280">
        <f t="shared" si="19"/>
        <v>0.91202473913600135</v>
      </c>
      <c r="I106" s="32">
        <v>14954040.199999999</v>
      </c>
      <c r="J106" s="178">
        <f t="shared" si="20"/>
        <v>0.57850532171394464</v>
      </c>
      <c r="K106" s="609">
        <v>29144206.010000002</v>
      </c>
      <c r="L106" s="280">
        <v>0.82234996374350844</v>
      </c>
      <c r="M106" s="211">
        <f t="shared" si="21"/>
        <v>-0.19107999435940037</v>
      </c>
      <c r="N106" s="609">
        <v>20266728.800000001</v>
      </c>
      <c r="O106" s="280">
        <v>0.57185787419156109</v>
      </c>
      <c r="P106" s="211">
        <f t="shared" si="22"/>
        <v>-0.26213843647031987</v>
      </c>
    </row>
    <row r="107" spans="1:19" ht="14.1" customHeight="1" x14ac:dyDescent="0.2">
      <c r="A107" s="39" t="s">
        <v>582</v>
      </c>
      <c r="B107" s="40" t="s">
        <v>583</v>
      </c>
      <c r="C107" s="199">
        <v>672247.24</v>
      </c>
      <c r="D107" s="205">
        <v>2294155.58</v>
      </c>
      <c r="E107" s="32">
        <v>1111784.5900000001</v>
      </c>
      <c r="F107" s="280">
        <f t="shared" si="18"/>
        <v>0.48461603898720768</v>
      </c>
      <c r="G107" s="32">
        <v>1027010.3</v>
      </c>
      <c r="H107" s="280">
        <f t="shared" si="19"/>
        <v>0.44766375434747108</v>
      </c>
      <c r="I107" s="32">
        <v>1009015.3</v>
      </c>
      <c r="J107" s="178">
        <f t="shared" si="20"/>
        <v>0.43981990968546258</v>
      </c>
      <c r="K107" s="609">
        <v>1333958.74</v>
      </c>
      <c r="L107" s="280">
        <v>0.40781189622139219</v>
      </c>
      <c r="M107" s="211">
        <f t="shared" si="21"/>
        <v>-0.23010339885025222</v>
      </c>
      <c r="N107" s="609">
        <v>1099493.68</v>
      </c>
      <c r="O107" s="280">
        <v>0.33613228736312833</v>
      </c>
      <c r="P107" s="211">
        <f t="shared" si="22"/>
        <v>-8.2290950503689952E-2</v>
      </c>
    </row>
    <row r="108" spans="1:19" ht="14.1" customHeight="1" x14ac:dyDescent="0.2">
      <c r="A108" s="39">
        <v>1536</v>
      </c>
      <c r="B108" s="40" t="s">
        <v>768</v>
      </c>
      <c r="C108" s="199">
        <v>19631487</v>
      </c>
      <c r="D108" s="205">
        <v>18931874.59</v>
      </c>
      <c r="E108" s="32">
        <v>6804778.4000000004</v>
      </c>
      <c r="F108" s="280">
        <f t="shared" si="18"/>
        <v>0.35943500299723885</v>
      </c>
      <c r="G108" s="32">
        <v>6804778.4000000004</v>
      </c>
      <c r="H108" s="280">
        <f t="shared" si="19"/>
        <v>0.35943500299723885</v>
      </c>
      <c r="I108" s="32">
        <v>2816934.6</v>
      </c>
      <c r="J108" s="178">
        <f t="shared" si="20"/>
        <v>0.14879322100981654</v>
      </c>
      <c r="K108" s="708"/>
      <c r="L108" s="280"/>
      <c r="M108" s="211" t="s">
        <v>129</v>
      </c>
      <c r="N108" s="609"/>
      <c r="O108" s="280"/>
      <c r="P108" s="211" t="s">
        <v>129</v>
      </c>
    </row>
    <row r="109" spans="1:19" ht="14.1" customHeight="1" x14ac:dyDescent="0.2">
      <c r="A109" s="39">
        <v>1601</v>
      </c>
      <c r="B109" s="40" t="s">
        <v>584</v>
      </c>
      <c r="C109" s="199">
        <v>18375699.07</v>
      </c>
      <c r="D109" s="205">
        <v>19091142.190000001</v>
      </c>
      <c r="E109" s="32">
        <v>18897873.48</v>
      </c>
      <c r="F109" s="280">
        <f t="shared" si="18"/>
        <v>0.98987652451191555</v>
      </c>
      <c r="G109" s="32">
        <v>18897873.48</v>
      </c>
      <c r="H109" s="280">
        <f t="shared" si="19"/>
        <v>0.98987652451191555</v>
      </c>
      <c r="I109" s="32">
        <v>13625658.890000001</v>
      </c>
      <c r="J109" s="178">
        <f t="shared" si="20"/>
        <v>0.71371627503445878</v>
      </c>
      <c r="K109" s="609">
        <v>19349633.260000002</v>
      </c>
      <c r="L109" s="280">
        <v>0.94720484833802543</v>
      </c>
      <c r="M109" s="211">
        <f t="shared" si="21"/>
        <v>-2.3347201155170638E-2</v>
      </c>
      <c r="N109" s="609">
        <v>14991552.6</v>
      </c>
      <c r="O109" s="280">
        <v>0.73386772328079408</v>
      </c>
      <c r="P109" s="211">
        <f t="shared" si="22"/>
        <v>-9.1110890675859646E-2</v>
      </c>
    </row>
    <row r="110" spans="1:19" ht="14.1" customHeight="1" x14ac:dyDescent="0.2">
      <c r="A110" s="39" t="s">
        <v>585</v>
      </c>
      <c r="B110" s="40" t="s">
        <v>586</v>
      </c>
      <c r="C110" s="199">
        <v>8493454.4900000002</v>
      </c>
      <c r="D110" s="205">
        <v>8433501.8599999994</v>
      </c>
      <c r="E110" s="32">
        <v>7092847.8799999999</v>
      </c>
      <c r="F110" s="280">
        <f t="shared" si="18"/>
        <v>0.84103234904604629</v>
      </c>
      <c r="G110" s="32">
        <v>7092847.8799999999</v>
      </c>
      <c r="H110" s="280">
        <f t="shared" si="19"/>
        <v>0.84103234904604629</v>
      </c>
      <c r="I110" s="32">
        <v>3940402.31</v>
      </c>
      <c r="J110" s="178">
        <f t="shared" si="20"/>
        <v>0.4672320437479574</v>
      </c>
      <c r="K110" s="609">
        <v>6159912.9800000004</v>
      </c>
      <c r="L110" s="280">
        <v>0.99902960904640981</v>
      </c>
      <c r="M110" s="211">
        <f t="shared" si="21"/>
        <v>0.15145261029320567</v>
      </c>
      <c r="N110" s="609">
        <v>3611148.06</v>
      </c>
      <c r="O110" s="280">
        <v>0.58566474011951075</v>
      </c>
      <c r="P110" s="211">
        <f t="shared" si="22"/>
        <v>9.1177167075226384E-2</v>
      </c>
    </row>
    <row r="111" spans="1:19" ht="14.1" customHeight="1" x14ac:dyDescent="0.2">
      <c r="A111" s="39" t="s">
        <v>587</v>
      </c>
      <c r="B111" s="40" t="s">
        <v>588</v>
      </c>
      <c r="C111" s="199">
        <v>98538647.590000004</v>
      </c>
      <c r="D111" s="205">
        <v>95384004.469999999</v>
      </c>
      <c r="E111" s="32">
        <v>87650000</v>
      </c>
      <c r="F111" s="280">
        <f t="shared" si="18"/>
        <v>0.91891717575736209</v>
      </c>
      <c r="G111" s="32">
        <v>87650000</v>
      </c>
      <c r="H111" s="280">
        <f t="shared" si="19"/>
        <v>0.91891717575736209</v>
      </c>
      <c r="I111" s="32">
        <v>56483255.020000003</v>
      </c>
      <c r="J111" s="178">
        <f t="shared" si="20"/>
        <v>0.59216695014901599</v>
      </c>
      <c r="K111" s="609">
        <v>85241375.739999995</v>
      </c>
      <c r="L111" s="280">
        <v>0.99964818205711292</v>
      </c>
      <c r="M111" s="211">
        <f t="shared" si="21"/>
        <v>2.8256515560550088E-2</v>
      </c>
      <c r="N111" s="609">
        <v>53405576.57</v>
      </c>
      <c r="O111" s="280">
        <v>0.62630133625190187</v>
      </c>
      <c r="P111" s="211">
        <f t="shared" si="22"/>
        <v>5.7628409759157062E-2</v>
      </c>
    </row>
    <row r="112" spans="1:19" ht="14.1" customHeight="1" x14ac:dyDescent="0.2">
      <c r="A112" s="39" t="s">
        <v>589</v>
      </c>
      <c r="B112" s="40" t="s">
        <v>590</v>
      </c>
      <c r="C112" s="199">
        <v>4809562.41</v>
      </c>
      <c r="D112" s="205">
        <v>4817719.41</v>
      </c>
      <c r="E112" s="32">
        <v>4767846.51</v>
      </c>
      <c r="F112" s="280">
        <f t="shared" si="18"/>
        <v>0.98964802726026746</v>
      </c>
      <c r="G112" s="32">
        <v>4767846.51</v>
      </c>
      <c r="H112" s="280">
        <f t="shared" si="19"/>
        <v>0.98964802726026746</v>
      </c>
      <c r="I112" s="32">
        <v>1799952.63</v>
      </c>
      <c r="J112" s="178">
        <f t="shared" si="20"/>
        <v>0.37361093015585145</v>
      </c>
      <c r="K112" s="609">
        <v>4722163.59</v>
      </c>
      <c r="L112" s="280">
        <v>1</v>
      </c>
      <c r="M112" s="211">
        <f t="shared" si="21"/>
        <v>9.6741502341726182E-3</v>
      </c>
      <c r="N112" s="609">
        <v>2163694.6</v>
      </c>
      <c r="O112" s="280">
        <v>0.45819983970525685</v>
      </c>
      <c r="P112" s="211">
        <f t="shared" si="22"/>
        <v>-0.16811151167082461</v>
      </c>
    </row>
    <row r="113" spans="1:18" ht="14.1" customHeight="1" x14ac:dyDescent="0.2">
      <c r="A113" s="39" t="s">
        <v>591</v>
      </c>
      <c r="B113" s="40" t="s">
        <v>592</v>
      </c>
      <c r="C113" s="199">
        <v>5470927.3399999999</v>
      </c>
      <c r="D113" s="205">
        <v>3696559.85</v>
      </c>
      <c r="E113" s="32">
        <v>746250.71</v>
      </c>
      <c r="F113" s="280">
        <f t="shared" si="18"/>
        <v>0.20187708038867541</v>
      </c>
      <c r="G113" s="32">
        <v>746250.71</v>
      </c>
      <c r="H113" s="280">
        <f t="shared" si="19"/>
        <v>0.20187708038867541</v>
      </c>
      <c r="I113" s="32">
        <v>746250.71</v>
      </c>
      <c r="J113" s="178">
        <f t="shared" si="20"/>
        <v>0.20187708038867541</v>
      </c>
      <c r="K113" s="609">
        <v>4136060.06</v>
      </c>
      <c r="L113" s="280">
        <v>0.68278214377088609</v>
      </c>
      <c r="M113" s="211">
        <f t="shared" si="21"/>
        <v>-0.81957449863530274</v>
      </c>
      <c r="N113" s="609">
        <v>4136060.06</v>
      </c>
      <c r="O113" s="280">
        <v>0.68278214377088609</v>
      </c>
      <c r="P113" s="211">
        <f t="shared" si="22"/>
        <v>-0.81957449863530274</v>
      </c>
    </row>
    <row r="114" spans="1:18" ht="14.1" customHeight="1" x14ac:dyDescent="0.2">
      <c r="A114" s="39" t="s">
        <v>593</v>
      </c>
      <c r="B114" s="40" t="s">
        <v>98</v>
      </c>
      <c r="C114" s="199">
        <v>171073344.52000001</v>
      </c>
      <c r="D114" s="205">
        <v>174749390.63999999</v>
      </c>
      <c r="E114" s="32">
        <v>174465421.55000001</v>
      </c>
      <c r="F114" s="280">
        <f t="shared" si="18"/>
        <v>0.99837499238789917</v>
      </c>
      <c r="G114" s="32">
        <v>174464586.87</v>
      </c>
      <c r="H114" s="280">
        <f t="shared" si="19"/>
        <v>0.99837021594778141</v>
      </c>
      <c r="I114" s="32">
        <v>118249441.65000001</v>
      </c>
      <c r="J114" s="178">
        <f t="shared" si="20"/>
        <v>0.67668013729218013</v>
      </c>
      <c r="K114" s="609">
        <v>176745515</v>
      </c>
      <c r="L114" s="280">
        <v>0.99470269688760504</v>
      </c>
      <c r="M114" s="211">
        <f t="shared" si="21"/>
        <v>-1.2905154226968585E-2</v>
      </c>
      <c r="N114" s="609">
        <v>117471629.44</v>
      </c>
      <c r="O114" s="280">
        <v>0.66111633221216037</v>
      </c>
      <c r="P114" s="211">
        <f t="shared" si="22"/>
        <v>6.6212771007596594E-3</v>
      </c>
      <c r="R114"/>
    </row>
    <row r="115" spans="1:18" ht="14.1" customHeight="1" x14ac:dyDescent="0.2">
      <c r="A115" s="39" t="s">
        <v>594</v>
      </c>
      <c r="B115" s="40" t="s">
        <v>595</v>
      </c>
      <c r="C115" s="199">
        <v>11864168</v>
      </c>
      <c r="D115" s="205">
        <v>11973361</v>
      </c>
      <c r="E115" s="32">
        <v>0</v>
      </c>
      <c r="F115" s="280">
        <f t="shared" si="18"/>
        <v>0</v>
      </c>
      <c r="G115" s="32">
        <v>0</v>
      </c>
      <c r="H115" s="280">
        <f t="shared" si="19"/>
        <v>0</v>
      </c>
      <c r="I115" s="32">
        <v>0</v>
      </c>
      <c r="J115" s="178">
        <f t="shared" si="20"/>
        <v>0</v>
      </c>
      <c r="K115" s="609">
        <v>0</v>
      </c>
      <c r="L115" s="280">
        <v>0</v>
      </c>
      <c r="M115" s="211" t="s">
        <v>129</v>
      </c>
      <c r="N115" s="609">
        <v>0</v>
      </c>
      <c r="O115" s="280">
        <v>0</v>
      </c>
      <c r="P115" s="211" t="s">
        <v>129</v>
      </c>
      <c r="R115"/>
    </row>
    <row r="116" spans="1:18" ht="14.1" customHeight="1" x14ac:dyDescent="0.2">
      <c r="A116" s="39" t="s">
        <v>596</v>
      </c>
      <c r="B116" s="40" t="s">
        <v>597</v>
      </c>
      <c r="C116" s="199">
        <v>31920925.68</v>
      </c>
      <c r="D116" s="205">
        <v>32498696.41</v>
      </c>
      <c r="E116" s="32">
        <v>32209660.969999999</v>
      </c>
      <c r="F116" s="280">
        <f t="shared" si="18"/>
        <v>0.99110624511354051</v>
      </c>
      <c r="G116" s="32">
        <v>32192403.510000002</v>
      </c>
      <c r="H116" s="280">
        <f t="shared" si="19"/>
        <v>0.99057522504484974</v>
      </c>
      <c r="I116" s="32">
        <v>16214085.539999999</v>
      </c>
      <c r="J116" s="178">
        <f t="shared" si="20"/>
        <v>0.49891495140127678</v>
      </c>
      <c r="K116" s="609">
        <v>29697405.969999999</v>
      </c>
      <c r="L116" s="280">
        <v>0.91690148099865765</v>
      </c>
      <c r="M116" s="211">
        <f t="shared" si="21"/>
        <v>8.4013989050775173E-2</v>
      </c>
      <c r="N116" s="609">
        <v>15786568.380000001</v>
      </c>
      <c r="O116" s="280">
        <v>0.4874071473491926</v>
      </c>
      <c r="P116" s="211">
        <f t="shared" si="22"/>
        <v>2.7081069787251444E-2</v>
      </c>
      <c r="R116"/>
    </row>
    <row r="117" spans="1:18" ht="14.1" customHeight="1" x14ac:dyDescent="0.2">
      <c r="A117" s="39" t="s">
        <v>598</v>
      </c>
      <c r="B117" s="40" t="s">
        <v>599</v>
      </c>
      <c r="C117" s="199">
        <v>2348598.2599999998</v>
      </c>
      <c r="D117" s="205">
        <v>2617738.81</v>
      </c>
      <c r="E117" s="32">
        <v>2617738.71</v>
      </c>
      <c r="F117" s="280">
        <f t="shared" si="18"/>
        <v>0.99999996179909179</v>
      </c>
      <c r="G117" s="32">
        <v>2285003.5</v>
      </c>
      <c r="H117" s="280">
        <f t="shared" si="19"/>
        <v>0.87289208964281662</v>
      </c>
      <c r="I117" s="32">
        <v>1915954.55</v>
      </c>
      <c r="J117" s="178">
        <f t="shared" si="20"/>
        <v>0.73191203900132418</v>
      </c>
      <c r="K117" s="609">
        <v>1863566.66</v>
      </c>
      <c r="L117" s="280">
        <v>0.7004922967210051</v>
      </c>
      <c r="M117" s="211">
        <f t="shared" si="21"/>
        <v>0.22614529925106086</v>
      </c>
      <c r="N117" s="609">
        <v>1438948.47</v>
      </c>
      <c r="O117" s="280">
        <v>0.54088342544906676</v>
      </c>
      <c r="P117" s="211">
        <f t="shared" si="22"/>
        <v>0.33149629048217411</v>
      </c>
    </row>
    <row r="118" spans="1:18" ht="14.1" customHeight="1" x14ac:dyDescent="0.2">
      <c r="A118" s="39" t="s">
        <v>600</v>
      </c>
      <c r="B118" s="40" t="s">
        <v>601</v>
      </c>
      <c r="C118" s="199">
        <v>56423741.060000002</v>
      </c>
      <c r="D118" s="205">
        <v>51801568.289999999</v>
      </c>
      <c r="E118" s="32">
        <v>49440916.350000001</v>
      </c>
      <c r="F118" s="280">
        <f t="shared" si="18"/>
        <v>0.9544289484290438</v>
      </c>
      <c r="G118" s="32">
        <v>49434132.549999997</v>
      </c>
      <c r="H118" s="280">
        <f t="shared" si="19"/>
        <v>0.9542979910039322</v>
      </c>
      <c r="I118" s="32">
        <v>34469869.920000002</v>
      </c>
      <c r="J118" s="178">
        <f t="shared" si="20"/>
        <v>0.66542135803742097</v>
      </c>
      <c r="K118" s="609">
        <v>49927813.380000003</v>
      </c>
      <c r="L118" s="280">
        <v>0.96950482120628778</v>
      </c>
      <c r="M118" s="211">
        <f t="shared" si="21"/>
        <v>-9.8878920701495066E-3</v>
      </c>
      <c r="N118" s="609">
        <v>39566671.909999996</v>
      </c>
      <c r="O118" s="280">
        <v>0.76831081873893181</v>
      </c>
      <c r="P118" s="211">
        <f t="shared" si="22"/>
        <v>-0.12881553448805083</v>
      </c>
      <c r="R118"/>
    </row>
    <row r="119" spans="1:18" ht="14.1" customHeight="1" x14ac:dyDescent="0.2">
      <c r="A119" s="41">
        <v>1721</v>
      </c>
      <c r="B119" s="42" t="s">
        <v>602</v>
      </c>
      <c r="C119" s="199">
        <v>13754086.91</v>
      </c>
      <c r="D119" s="205">
        <v>5320434.72</v>
      </c>
      <c r="E119" s="32">
        <v>3434058.84</v>
      </c>
      <c r="F119" s="280">
        <f t="shared" ref="F119:F145" si="23">+E119/D119</f>
        <v>0.64544703971107087</v>
      </c>
      <c r="G119" s="32">
        <v>3285080.94</v>
      </c>
      <c r="H119" s="280">
        <f t="shared" ref="H119:H145" si="24">+G119/D119</f>
        <v>0.6174459631373882</v>
      </c>
      <c r="I119" s="32">
        <v>1324851.3500000001</v>
      </c>
      <c r="J119" s="178">
        <f t="shared" ref="J119:J145" si="25">+I119/D119</f>
        <v>0.24901186082027527</v>
      </c>
      <c r="K119" s="573">
        <v>1075001.99</v>
      </c>
      <c r="L119" s="390">
        <v>0.63770665758052036</v>
      </c>
      <c r="M119" s="211">
        <f t="shared" si="21"/>
        <v>2.055883589573634</v>
      </c>
      <c r="N119" s="573">
        <v>591050.52</v>
      </c>
      <c r="O119" s="390">
        <v>0.35061967798815752</v>
      </c>
      <c r="P119" s="211">
        <f t="shared" si="22"/>
        <v>1.2415196420096204</v>
      </c>
      <c r="R119"/>
    </row>
    <row r="120" spans="1:18" ht="14.1" customHeight="1" x14ac:dyDescent="0.2">
      <c r="A120" s="41" t="s">
        <v>603</v>
      </c>
      <c r="B120" s="42" t="s">
        <v>604</v>
      </c>
      <c r="C120" s="200">
        <v>2576457.23</v>
      </c>
      <c r="D120" s="206">
        <v>3047067.44</v>
      </c>
      <c r="E120" s="34">
        <v>2760706.51</v>
      </c>
      <c r="F120" s="280">
        <f t="shared" si="23"/>
        <v>0.90602080996277512</v>
      </c>
      <c r="G120" s="34">
        <v>2459307.38</v>
      </c>
      <c r="H120" s="280">
        <f t="shared" si="24"/>
        <v>0.80710631727927884</v>
      </c>
      <c r="I120" s="34">
        <v>1488240.69</v>
      </c>
      <c r="J120" s="178">
        <f t="shared" si="25"/>
        <v>0.48841737812012459</v>
      </c>
      <c r="K120" s="573">
        <v>1136873.1200000001</v>
      </c>
      <c r="L120" s="390">
        <v>0.79600261546499584</v>
      </c>
      <c r="M120" s="211">
        <f t="shared" si="21"/>
        <v>1.163220623951422</v>
      </c>
      <c r="N120" s="573">
        <v>858372.63</v>
      </c>
      <c r="O120" s="390">
        <v>0.60100537738421245</v>
      </c>
      <c r="P120" s="211">
        <f t="shared" si="22"/>
        <v>0.73379327111117232</v>
      </c>
      <c r="R120"/>
    </row>
    <row r="121" spans="1:18" ht="14.1" customHeight="1" x14ac:dyDescent="0.2">
      <c r="A121" s="41" t="s">
        <v>605</v>
      </c>
      <c r="B121" s="42" t="s">
        <v>606</v>
      </c>
      <c r="C121" s="654">
        <v>3772412.45</v>
      </c>
      <c r="D121" s="397">
        <v>3095183.41</v>
      </c>
      <c r="E121" s="398">
        <v>2803261.87</v>
      </c>
      <c r="F121" s="412">
        <f t="shared" si="23"/>
        <v>0.90568522076693347</v>
      </c>
      <c r="G121" s="398">
        <v>2704408.53</v>
      </c>
      <c r="H121" s="412">
        <f t="shared" si="24"/>
        <v>0.87374742358159629</v>
      </c>
      <c r="I121" s="398">
        <v>2147987.9300000002</v>
      </c>
      <c r="J121" s="427">
        <f t="shared" si="25"/>
        <v>0.69397759210656929</v>
      </c>
      <c r="K121" s="657">
        <v>2157732.6</v>
      </c>
      <c r="L121" s="412">
        <v>0.56252886674277025</v>
      </c>
      <c r="M121" s="211">
        <f t="shared" si="21"/>
        <v>0.25335666245205712</v>
      </c>
      <c r="N121" s="657">
        <v>1268580.26</v>
      </c>
      <c r="O121" s="412">
        <v>0.33072356418494525</v>
      </c>
      <c r="P121" s="211">
        <f t="shared" si="22"/>
        <v>0.69322194088058731</v>
      </c>
      <c r="R121"/>
    </row>
    <row r="122" spans="1:18" ht="14.1" customHeight="1" x14ac:dyDescent="0.2">
      <c r="A122" s="18">
        <v>1</v>
      </c>
      <c r="B122" s="2" t="s">
        <v>126</v>
      </c>
      <c r="C122" s="201">
        <f>SUBTOTAL(9,C88:C121)</f>
        <v>1145639872.53</v>
      </c>
      <c r="D122" s="207">
        <f>SUBTOTAL(9,D88:D121)</f>
        <v>1164511648.5400002</v>
      </c>
      <c r="E122" s="203">
        <f>SUBTOTAL(9,E88:E121)</f>
        <v>912272150.29000008</v>
      </c>
      <c r="F122" s="90">
        <f t="shared" si="23"/>
        <v>0.78339461132377342</v>
      </c>
      <c r="G122" s="203">
        <f>SUBTOTAL(9,G88:G121)</f>
        <v>904705965.10000014</v>
      </c>
      <c r="H122" s="90">
        <f t="shared" si="24"/>
        <v>0.77689730818431058</v>
      </c>
      <c r="I122" s="203">
        <f>SUBTOTAL(9,I88:I121)</f>
        <v>670562462.03999996</v>
      </c>
      <c r="J122" s="170">
        <f t="shared" si="25"/>
        <v>0.57583147655131983</v>
      </c>
      <c r="K122" s="561">
        <f>SUM(K88:K121)</f>
        <v>948779319.18000007</v>
      </c>
      <c r="L122" s="90">
        <v>0.82861354699508349</v>
      </c>
      <c r="M122" s="213">
        <f t="shared" ref="M122:M148" si="26">+G122/K122-1</f>
        <v>-4.6452692622022118E-2</v>
      </c>
      <c r="N122" s="561">
        <f>SUM(N88:N121)</f>
        <v>768577624.37</v>
      </c>
      <c r="O122" s="90">
        <v>0.67123494219993463</v>
      </c>
      <c r="P122" s="213">
        <f t="shared" ref="P122:P148" si="27">+I122/N122-1</f>
        <v>-0.12752799355867628</v>
      </c>
      <c r="R122"/>
    </row>
    <row r="123" spans="1:18" ht="14.1" customHeight="1" x14ac:dyDescent="0.2">
      <c r="A123" s="37" t="s">
        <v>607</v>
      </c>
      <c r="B123" s="38" t="s">
        <v>100</v>
      </c>
      <c r="C123" s="198">
        <v>557191.48</v>
      </c>
      <c r="D123" s="204">
        <v>513059.79</v>
      </c>
      <c r="E123" s="30">
        <v>409750.75</v>
      </c>
      <c r="F123" s="48">
        <f t="shared" si="23"/>
        <v>0.79864132404529309</v>
      </c>
      <c r="G123" s="30">
        <v>409750.75</v>
      </c>
      <c r="H123" s="48">
        <f t="shared" si="24"/>
        <v>0.79864132404529309</v>
      </c>
      <c r="I123" s="30">
        <v>409750.75</v>
      </c>
      <c r="J123" s="153">
        <f t="shared" si="25"/>
        <v>0.79864132404529309</v>
      </c>
      <c r="K123" s="608">
        <v>453729.83</v>
      </c>
      <c r="L123" s="48">
        <v>0.79579426964420208</v>
      </c>
      <c r="M123" s="210">
        <f t="shared" si="26"/>
        <v>-9.6927900905259046E-2</v>
      </c>
      <c r="N123" s="608">
        <v>453729.83</v>
      </c>
      <c r="O123" s="48">
        <v>0.79579426964420208</v>
      </c>
      <c r="P123" s="210">
        <f t="shared" si="27"/>
        <v>-9.6927900905259046E-2</v>
      </c>
      <c r="R123"/>
    </row>
    <row r="124" spans="1:18" ht="14.1" customHeight="1" x14ac:dyDescent="0.2">
      <c r="A124" s="39" t="s">
        <v>608</v>
      </c>
      <c r="B124" s="40" t="s">
        <v>609</v>
      </c>
      <c r="C124" s="199">
        <v>9281481.3800000008</v>
      </c>
      <c r="D124" s="205">
        <v>9782164.6600000001</v>
      </c>
      <c r="E124" s="32">
        <v>6947363.4500000002</v>
      </c>
      <c r="F124" s="280">
        <f t="shared" si="23"/>
        <v>0.71020716696870645</v>
      </c>
      <c r="G124" s="32">
        <v>6430027.2300000004</v>
      </c>
      <c r="H124" s="48">
        <f t="shared" si="24"/>
        <v>0.6573215084277676</v>
      </c>
      <c r="I124" s="32">
        <v>5799703.8899999997</v>
      </c>
      <c r="J124" s="178">
        <f t="shared" si="25"/>
        <v>0.59288553112537767</v>
      </c>
      <c r="K124" s="609">
        <v>6912476.0599999996</v>
      </c>
      <c r="L124" s="280">
        <v>0.72143572236298203</v>
      </c>
      <c r="M124" s="211">
        <f t="shared" si="26"/>
        <v>-6.9793924175991839E-2</v>
      </c>
      <c r="N124" s="609">
        <v>6020432.8700000001</v>
      </c>
      <c r="O124" s="280">
        <v>0.62833567867811058</v>
      </c>
      <c r="P124" s="211">
        <f t="shared" si="27"/>
        <v>-3.6663307234916509E-2</v>
      </c>
      <c r="R124"/>
    </row>
    <row r="125" spans="1:18" ht="14.1" customHeight="1" x14ac:dyDescent="0.2">
      <c r="A125" s="39" t="s">
        <v>610</v>
      </c>
      <c r="B125" s="40" t="s">
        <v>611</v>
      </c>
      <c r="C125" s="199">
        <v>9392699.8300000001</v>
      </c>
      <c r="D125" s="205">
        <v>9704957.4600000009</v>
      </c>
      <c r="E125" s="32">
        <v>7900819.5199999996</v>
      </c>
      <c r="F125" s="280">
        <f t="shared" si="23"/>
        <v>0.81410140668457898</v>
      </c>
      <c r="G125" s="32">
        <v>7876064.8499999996</v>
      </c>
      <c r="H125" s="48">
        <f t="shared" si="24"/>
        <v>0.81155068246945194</v>
      </c>
      <c r="I125" s="32">
        <v>7826926.7300000004</v>
      </c>
      <c r="J125" s="178">
        <f t="shared" si="25"/>
        <v>0.80648748459326058</v>
      </c>
      <c r="K125" s="611">
        <v>8587736.2100000009</v>
      </c>
      <c r="L125" s="280">
        <v>0.83443891724069985</v>
      </c>
      <c r="M125" s="211">
        <f t="shared" si="26"/>
        <v>-8.2870659111687006E-2</v>
      </c>
      <c r="N125" s="611">
        <v>8531752.0500000007</v>
      </c>
      <c r="O125" s="280">
        <v>0.82899914117973605</v>
      </c>
      <c r="P125" s="211">
        <f t="shared" si="27"/>
        <v>-8.2612025744465911E-2</v>
      </c>
      <c r="R125"/>
    </row>
    <row r="126" spans="1:18" ht="14.1" customHeight="1" x14ac:dyDescent="0.2">
      <c r="A126" s="39" t="s">
        <v>612</v>
      </c>
      <c r="B126" s="40" t="s">
        <v>613</v>
      </c>
      <c r="C126" s="199">
        <v>8507680.8399999999</v>
      </c>
      <c r="D126" s="205">
        <v>6858471.71</v>
      </c>
      <c r="E126" s="32">
        <v>5051308.7699999996</v>
      </c>
      <c r="F126" s="280">
        <f t="shared" si="23"/>
        <v>0.73650646726951352</v>
      </c>
      <c r="G126" s="32">
        <v>4337081.59</v>
      </c>
      <c r="H126" s="48">
        <f t="shared" si="24"/>
        <v>0.63236851785454107</v>
      </c>
      <c r="I126" s="32">
        <v>3429641.02</v>
      </c>
      <c r="J126" s="178">
        <f t="shared" si="25"/>
        <v>0.50005907511427206</v>
      </c>
      <c r="K126" s="611">
        <v>3240684.78</v>
      </c>
      <c r="L126" s="280">
        <v>0.62309600011731725</v>
      </c>
      <c r="M126" s="211">
        <f t="shared" si="26"/>
        <v>0.33832257205836602</v>
      </c>
      <c r="N126" s="611">
        <v>2446592.7000000002</v>
      </c>
      <c r="O126" s="280">
        <v>0.47041357885052543</v>
      </c>
      <c r="P126" s="211">
        <f t="shared" si="27"/>
        <v>0.40180301363606619</v>
      </c>
      <c r="R126"/>
    </row>
    <row r="127" spans="1:18" ht="14.1" customHeight="1" x14ac:dyDescent="0.2">
      <c r="A127" s="39" t="s">
        <v>614</v>
      </c>
      <c r="B127" s="40" t="s">
        <v>616</v>
      </c>
      <c r="C127" s="199">
        <v>8498539.1999999993</v>
      </c>
      <c r="D127" s="205">
        <v>8823140.0600000005</v>
      </c>
      <c r="E127" s="32">
        <v>7310579.1299999999</v>
      </c>
      <c r="F127" s="280">
        <f t="shared" si="23"/>
        <v>0.82856886327156409</v>
      </c>
      <c r="G127" s="32">
        <v>7010473.2300000004</v>
      </c>
      <c r="H127" s="48">
        <f t="shared" si="24"/>
        <v>0.79455536037359475</v>
      </c>
      <c r="I127" s="32">
        <v>6645368.8099999996</v>
      </c>
      <c r="J127" s="178">
        <f t="shared" si="25"/>
        <v>0.75317503346988679</v>
      </c>
      <c r="K127" s="611">
        <v>7539034.2699999996</v>
      </c>
      <c r="L127" s="280">
        <v>0.86661501937445351</v>
      </c>
      <c r="M127" s="211">
        <f t="shared" si="26"/>
        <v>-7.0109913427943482E-2</v>
      </c>
      <c r="N127" s="611">
        <v>6415917.4500000002</v>
      </c>
      <c r="O127" s="280">
        <v>0.73751228951989423</v>
      </c>
      <c r="P127" s="211">
        <f t="shared" si="27"/>
        <v>3.5762829211588354E-2</v>
      </c>
      <c r="R127"/>
    </row>
    <row r="128" spans="1:18" ht="14.1" customHeight="1" x14ac:dyDescent="0.2">
      <c r="A128" s="39" t="s">
        <v>615</v>
      </c>
      <c r="B128" s="40" t="s">
        <v>617</v>
      </c>
      <c r="C128" s="199">
        <v>1364200</v>
      </c>
      <c r="D128" s="205">
        <v>1303854.8999999999</v>
      </c>
      <c r="E128" s="32">
        <v>665685.32999999996</v>
      </c>
      <c r="F128" s="280">
        <f t="shared" si="23"/>
        <v>0.51055169559128089</v>
      </c>
      <c r="G128" s="32">
        <v>647035.32999999996</v>
      </c>
      <c r="H128" s="48">
        <f t="shared" si="24"/>
        <v>0.49624795673199523</v>
      </c>
      <c r="I128" s="32">
        <v>560680.82999999996</v>
      </c>
      <c r="J128" s="178">
        <f t="shared" si="25"/>
        <v>0.4300178110309667</v>
      </c>
      <c r="K128" s="611">
        <v>628296.35</v>
      </c>
      <c r="L128" s="280">
        <v>0.44088487195504089</v>
      </c>
      <c r="M128" s="211">
        <f t="shared" si="26"/>
        <v>2.9825065830797914E-2</v>
      </c>
      <c r="N128" s="611">
        <v>598425.87</v>
      </c>
      <c r="O128" s="280">
        <v>0.41992431289714471</v>
      </c>
      <c r="P128" s="211">
        <f t="shared" si="27"/>
        <v>-6.3073877471239714E-2</v>
      </c>
      <c r="R128"/>
    </row>
    <row r="129" spans="1:18" ht="14.1" customHeight="1" x14ac:dyDescent="0.2">
      <c r="A129" s="39" t="s">
        <v>618</v>
      </c>
      <c r="B129" s="40" t="s">
        <v>619</v>
      </c>
      <c r="C129" s="199">
        <v>33334210.969999999</v>
      </c>
      <c r="D129" s="205">
        <v>31159852.760000002</v>
      </c>
      <c r="E129" s="32">
        <v>30772815.789999999</v>
      </c>
      <c r="F129" s="280">
        <f t="shared" si="23"/>
        <v>0.98757898591559323</v>
      </c>
      <c r="G129" s="32">
        <v>26917812.199999999</v>
      </c>
      <c r="H129" s="48">
        <f t="shared" si="24"/>
        <v>0.86386198315270846</v>
      </c>
      <c r="I129" s="32">
        <v>17698559.23</v>
      </c>
      <c r="J129" s="178">
        <f t="shared" si="25"/>
        <v>0.56799238964054721</v>
      </c>
      <c r="K129" s="611">
        <v>27810763.109999999</v>
      </c>
      <c r="L129" s="280">
        <v>0.87225573473825735</v>
      </c>
      <c r="M129" s="211">
        <f t="shared" si="26"/>
        <v>-3.210810528528496E-2</v>
      </c>
      <c r="N129" s="611">
        <v>21082306.649999999</v>
      </c>
      <c r="O129" s="280">
        <v>0.66122467780687222</v>
      </c>
      <c r="P129" s="211">
        <f t="shared" si="27"/>
        <v>-0.16050176463968657</v>
      </c>
      <c r="R129"/>
    </row>
    <row r="130" spans="1:18" ht="14.1" customHeight="1" x14ac:dyDescent="0.2">
      <c r="A130" s="39" t="s">
        <v>620</v>
      </c>
      <c r="B130" s="40" t="s">
        <v>623</v>
      </c>
      <c r="C130" s="199">
        <v>36709256.140000001</v>
      </c>
      <c r="D130" s="205">
        <v>36651919.469999999</v>
      </c>
      <c r="E130" s="32">
        <v>30682782.239999998</v>
      </c>
      <c r="F130" s="280">
        <f t="shared" si="23"/>
        <v>0.83713984652602424</v>
      </c>
      <c r="G130" s="32">
        <v>30667782.239999998</v>
      </c>
      <c r="H130" s="48">
        <f t="shared" si="24"/>
        <v>0.83673059101589253</v>
      </c>
      <c r="I130" s="32">
        <v>19277612.73</v>
      </c>
      <c r="J130" s="178">
        <f t="shared" si="25"/>
        <v>0.52596461546247097</v>
      </c>
      <c r="K130" s="611">
        <v>25486911.050000001</v>
      </c>
      <c r="L130" s="280">
        <v>0.85296679237652373</v>
      </c>
      <c r="M130" s="211">
        <f t="shared" si="26"/>
        <v>0.20327575906849638</v>
      </c>
      <c r="N130" s="611">
        <v>17901213.300000001</v>
      </c>
      <c r="O130" s="280">
        <v>0.5990973350279325</v>
      </c>
      <c r="P130" s="211">
        <f t="shared" si="27"/>
        <v>7.6888611231731296E-2</v>
      </c>
    </row>
    <row r="131" spans="1:18" ht="14.1" customHeight="1" x14ac:dyDescent="0.2">
      <c r="A131" s="39" t="s">
        <v>621</v>
      </c>
      <c r="B131" s="40" t="s">
        <v>622</v>
      </c>
      <c r="C131" s="199">
        <v>140973391.11000001</v>
      </c>
      <c r="D131" s="205">
        <v>150914952.47999999</v>
      </c>
      <c r="E131" s="32">
        <v>148907786.78999999</v>
      </c>
      <c r="F131" s="280">
        <f t="shared" si="23"/>
        <v>0.98670002105811216</v>
      </c>
      <c r="G131" s="32">
        <v>147407786.78999999</v>
      </c>
      <c r="H131" s="48">
        <f t="shared" si="24"/>
        <v>0.97676064808445817</v>
      </c>
      <c r="I131" s="32">
        <v>134562075.08000001</v>
      </c>
      <c r="J131" s="178">
        <f t="shared" si="25"/>
        <v>0.89164176821930785</v>
      </c>
      <c r="K131" s="656">
        <v>133555861.88</v>
      </c>
      <c r="L131" s="280">
        <v>0.97439907353635213</v>
      </c>
      <c r="M131" s="211">
        <f t="shared" si="26"/>
        <v>0.10371633798032742</v>
      </c>
      <c r="N131" s="657">
        <v>125100353.87</v>
      </c>
      <c r="O131" s="280">
        <v>0.91270923787323477</v>
      </c>
      <c r="P131" s="211">
        <f t="shared" si="27"/>
        <v>7.5633049126561991E-2</v>
      </c>
    </row>
    <row r="132" spans="1:18" ht="15.75" thickBot="1" x14ac:dyDescent="0.3">
      <c r="A132" s="7" t="s">
        <v>19</v>
      </c>
      <c r="L132" s="679"/>
      <c r="N132" s="97"/>
      <c r="O132" s="679"/>
    </row>
    <row r="133" spans="1:18" ht="12.75" customHeight="1" x14ac:dyDescent="0.2">
      <c r="A133" s="8" t="s">
        <v>757</v>
      </c>
      <c r="C133" s="164" t="s">
        <v>765</v>
      </c>
      <c r="D133" s="754" t="s">
        <v>784</v>
      </c>
      <c r="E133" s="752"/>
      <c r="F133" s="752"/>
      <c r="G133" s="752"/>
      <c r="H133" s="752"/>
      <c r="I133" s="752"/>
      <c r="J133" s="753"/>
      <c r="K133" s="763" t="s">
        <v>785</v>
      </c>
      <c r="L133" s="761"/>
      <c r="M133" s="761"/>
      <c r="N133" s="761"/>
      <c r="O133" s="761"/>
      <c r="P133" s="764"/>
    </row>
    <row r="134" spans="1:18" ht="12.75" customHeight="1" x14ac:dyDescent="0.2">
      <c r="A134" s="8" t="s">
        <v>148</v>
      </c>
      <c r="C134" s="157">
        <v>1</v>
      </c>
      <c r="D134" s="148">
        <v>2</v>
      </c>
      <c r="E134" s="87">
        <v>3</v>
      </c>
      <c r="F134" s="88" t="s">
        <v>36</v>
      </c>
      <c r="G134" s="87">
        <v>4</v>
      </c>
      <c r="H134" s="88" t="s">
        <v>37</v>
      </c>
      <c r="I134" s="87">
        <v>5</v>
      </c>
      <c r="J134" s="149" t="s">
        <v>38</v>
      </c>
      <c r="K134" s="87" t="s">
        <v>543</v>
      </c>
      <c r="L134" s="88" t="s">
        <v>544</v>
      </c>
      <c r="M134" s="88" t="s">
        <v>545</v>
      </c>
      <c r="N134" s="87" t="s">
        <v>39</v>
      </c>
      <c r="O134" s="88" t="s">
        <v>40</v>
      </c>
      <c r="P134" s="604" t="s">
        <v>362</v>
      </c>
    </row>
    <row r="135" spans="1:18" ht="14.1" customHeight="1" x14ac:dyDescent="0.2">
      <c r="A135" s="1"/>
      <c r="B135" s="2" t="s">
        <v>425</v>
      </c>
      <c r="C135" s="248" t="s">
        <v>13</v>
      </c>
      <c r="D135" s="249" t="s">
        <v>14</v>
      </c>
      <c r="E135" s="89" t="s">
        <v>15</v>
      </c>
      <c r="F135" s="89" t="s">
        <v>18</v>
      </c>
      <c r="G135" s="89" t="s">
        <v>16</v>
      </c>
      <c r="H135" s="89" t="s">
        <v>18</v>
      </c>
      <c r="I135" s="89" t="s">
        <v>17</v>
      </c>
      <c r="J135" s="113" t="s">
        <v>18</v>
      </c>
      <c r="K135" s="89" t="s">
        <v>16</v>
      </c>
      <c r="L135" s="89" t="s">
        <v>18</v>
      </c>
      <c r="M135" s="606" t="s">
        <v>764</v>
      </c>
      <c r="N135" s="557" t="s">
        <v>17</v>
      </c>
      <c r="O135" s="89" t="s">
        <v>18</v>
      </c>
      <c r="P135" s="605" t="s">
        <v>764</v>
      </c>
    </row>
    <row r="136" spans="1:18" ht="14.1" customHeight="1" x14ac:dyDescent="0.2">
      <c r="A136" s="39" t="s">
        <v>624</v>
      </c>
      <c r="B136" s="40" t="s">
        <v>625</v>
      </c>
      <c r="C136" s="199">
        <v>7411204.5599999996</v>
      </c>
      <c r="D136" s="204">
        <v>8282952.25</v>
      </c>
      <c r="E136" s="30">
        <v>7259046.5999999996</v>
      </c>
      <c r="F136" s="48">
        <f t="shared" si="23"/>
        <v>0.87638397287633762</v>
      </c>
      <c r="G136" s="30">
        <v>7155006.1100000003</v>
      </c>
      <c r="H136" s="48">
        <f t="shared" si="24"/>
        <v>0.86382317488308591</v>
      </c>
      <c r="I136" s="30">
        <v>4715752.5</v>
      </c>
      <c r="J136" s="153">
        <f t="shared" si="25"/>
        <v>0.56933232954469826</v>
      </c>
      <c r="K136" s="607">
        <v>4580508.9800000004</v>
      </c>
      <c r="L136" s="48">
        <v>0.72597762307892311</v>
      </c>
      <c r="M136" s="210">
        <f t="shared" si="26"/>
        <v>0.56205481557641224</v>
      </c>
      <c r="N136" s="607">
        <v>2816475.17</v>
      </c>
      <c r="O136" s="48">
        <v>0.4463909924214155</v>
      </c>
      <c r="P136" s="210">
        <f t="shared" si="27"/>
        <v>0.67434549050187442</v>
      </c>
    </row>
    <row r="137" spans="1:18" ht="14.1" customHeight="1" x14ac:dyDescent="0.2">
      <c r="A137" s="39" t="s">
        <v>626</v>
      </c>
      <c r="B137" s="40" t="s">
        <v>627</v>
      </c>
      <c r="C137" s="199">
        <v>11963437.41</v>
      </c>
      <c r="D137" s="205">
        <v>8987477.1500000004</v>
      </c>
      <c r="E137" s="32">
        <v>8397551.1199999992</v>
      </c>
      <c r="F137" s="280">
        <f t="shared" si="23"/>
        <v>0.93436133186719683</v>
      </c>
      <c r="G137" s="32">
        <v>7942149.3700000001</v>
      </c>
      <c r="H137" s="48">
        <f t="shared" si="24"/>
        <v>0.8836906328045574</v>
      </c>
      <c r="I137" s="32">
        <v>4297714.57</v>
      </c>
      <c r="J137" s="178">
        <f t="shared" si="25"/>
        <v>0.47818920685656485</v>
      </c>
      <c r="K137" s="611">
        <v>7724718.21</v>
      </c>
      <c r="L137" s="280">
        <v>0.87955184942342846</v>
      </c>
      <c r="M137" s="211">
        <f t="shared" si="26"/>
        <v>2.8147455232544916E-2</v>
      </c>
      <c r="N137" s="611">
        <v>6935901.0999999996</v>
      </c>
      <c r="O137" s="280">
        <v>0.78973555721756117</v>
      </c>
      <c r="P137" s="211">
        <f t="shared" si="27"/>
        <v>-0.3803668033847829</v>
      </c>
    </row>
    <row r="138" spans="1:18" ht="14.1" customHeight="1" x14ac:dyDescent="0.2">
      <c r="A138" s="39" t="s">
        <v>628</v>
      </c>
      <c r="B138" s="40" t="s">
        <v>629</v>
      </c>
      <c r="C138" s="199">
        <v>619200</v>
      </c>
      <c r="D138" s="205">
        <v>608176</v>
      </c>
      <c r="E138" s="32">
        <v>557988</v>
      </c>
      <c r="F138" s="280">
        <f t="shared" si="23"/>
        <v>0.9174778353634474</v>
      </c>
      <c r="G138" s="32">
        <v>172817.55</v>
      </c>
      <c r="H138" s="48">
        <f t="shared" si="24"/>
        <v>0.28415713543447946</v>
      </c>
      <c r="I138" s="32">
        <v>151536.04999999999</v>
      </c>
      <c r="J138" s="178">
        <f t="shared" si="25"/>
        <v>0.2491647976901423</v>
      </c>
      <c r="K138" s="611">
        <v>436941.4</v>
      </c>
      <c r="L138" s="280">
        <v>0.73512625005047316</v>
      </c>
      <c r="M138" s="211">
        <f t="shared" si="26"/>
        <v>-0.60448346162666211</v>
      </c>
      <c r="N138" s="611">
        <v>413446.40000000002</v>
      </c>
      <c r="O138" s="280">
        <v>0.69559739962582612</v>
      </c>
      <c r="P138" s="211">
        <f t="shared" si="27"/>
        <v>-0.63348078493366988</v>
      </c>
    </row>
    <row r="139" spans="1:18" ht="14.1" customHeight="1" x14ac:dyDescent="0.2">
      <c r="A139" s="39" t="s">
        <v>630</v>
      </c>
      <c r="B139" s="40" t="s">
        <v>631</v>
      </c>
      <c r="C139" s="199">
        <v>3840200</v>
      </c>
      <c r="D139" s="205">
        <v>3958400.26</v>
      </c>
      <c r="E139" s="32">
        <v>3400527.31</v>
      </c>
      <c r="F139" s="280">
        <f t="shared" si="23"/>
        <v>0.85906605867088348</v>
      </c>
      <c r="G139" s="32">
        <v>3400527.31</v>
      </c>
      <c r="H139" s="48">
        <f t="shared" si="24"/>
        <v>0.85906605867088348</v>
      </c>
      <c r="I139" s="32">
        <v>2081970.54</v>
      </c>
      <c r="J139" s="178">
        <f t="shared" si="25"/>
        <v>0.52596261197699101</v>
      </c>
      <c r="K139" s="611">
        <v>3132342.26</v>
      </c>
      <c r="L139" s="280">
        <v>0.95483706024319315</v>
      </c>
      <c r="M139" s="211">
        <f t="shared" si="26"/>
        <v>8.5618054394860588E-2</v>
      </c>
      <c r="N139" s="611">
        <v>2282262.29</v>
      </c>
      <c r="O139" s="280">
        <v>0.69570578014916484</v>
      </c>
      <c r="P139" s="211">
        <f t="shared" si="27"/>
        <v>-8.7760180272706489E-2</v>
      </c>
    </row>
    <row r="140" spans="1:18" ht="14.1" customHeight="1" x14ac:dyDescent="0.2">
      <c r="A140" s="39" t="s">
        <v>632</v>
      </c>
      <c r="B140" s="40" t="s">
        <v>633</v>
      </c>
      <c r="C140" s="199">
        <v>7354400.5099999998</v>
      </c>
      <c r="D140" s="205">
        <v>7835925.4500000002</v>
      </c>
      <c r="E140" s="32">
        <v>7275480.6799999997</v>
      </c>
      <c r="F140" s="280">
        <f t="shared" si="23"/>
        <v>0.92847752654410454</v>
      </c>
      <c r="G140" s="32">
        <v>6330655.4000000004</v>
      </c>
      <c r="H140" s="48">
        <f t="shared" si="24"/>
        <v>0.80790143300814588</v>
      </c>
      <c r="I140" s="32">
        <v>5280758.1500000004</v>
      </c>
      <c r="J140" s="178">
        <f t="shared" si="25"/>
        <v>0.67391633364761017</v>
      </c>
      <c r="K140" s="609">
        <v>5630213.6299999999</v>
      </c>
      <c r="L140" s="280">
        <v>0.80332269826278158</v>
      </c>
      <c r="M140" s="211">
        <f t="shared" si="26"/>
        <v>0.12440767189858848</v>
      </c>
      <c r="N140" s="609">
        <v>4736799.88</v>
      </c>
      <c r="O140" s="280">
        <v>0.67584981863866145</v>
      </c>
      <c r="P140" s="211">
        <f t="shared" si="27"/>
        <v>0.11483665845727065</v>
      </c>
    </row>
    <row r="141" spans="1:18" ht="14.1" customHeight="1" x14ac:dyDescent="0.2">
      <c r="A141" s="39" t="s">
        <v>634</v>
      </c>
      <c r="B141" s="40" t="s">
        <v>635</v>
      </c>
      <c r="C141" s="199">
        <v>6846944.8200000003</v>
      </c>
      <c r="D141" s="205">
        <v>6702956.5499999998</v>
      </c>
      <c r="E141" s="32">
        <v>5906318.9400000004</v>
      </c>
      <c r="F141" s="280">
        <f t="shared" si="23"/>
        <v>0.88115130926814689</v>
      </c>
      <c r="G141" s="32">
        <v>5486496.6900000004</v>
      </c>
      <c r="H141" s="48">
        <f t="shared" si="24"/>
        <v>0.8185189101367516</v>
      </c>
      <c r="I141" s="32">
        <v>3736848.92</v>
      </c>
      <c r="J141" s="178">
        <f t="shared" si="25"/>
        <v>0.55749263658884973</v>
      </c>
      <c r="K141" s="609">
        <v>4661757.76</v>
      </c>
      <c r="L141" s="390">
        <v>0.79874890026676504</v>
      </c>
      <c r="M141" s="211">
        <f t="shared" si="26"/>
        <v>0.17691587003439668</v>
      </c>
      <c r="N141" s="609">
        <v>3560386.17</v>
      </c>
      <c r="O141" s="390">
        <v>0.61003910632467095</v>
      </c>
      <c r="P141" s="211">
        <f t="shared" si="27"/>
        <v>4.9562811890149439E-2</v>
      </c>
    </row>
    <row r="142" spans="1:18" ht="14.1" customHeight="1" x14ac:dyDescent="0.2">
      <c r="A142" s="39" t="s">
        <v>636</v>
      </c>
      <c r="B142" s="40" t="s">
        <v>637</v>
      </c>
      <c r="C142" s="199">
        <v>6662283.29</v>
      </c>
      <c r="D142" s="205">
        <v>5740904.9000000004</v>
      </c>
      <c r="E142" s="32">
        <v>4241138.4400000004</v>
      </c>
      <c r="F142" s="280">
        <f t="shared" si="23"/>
        <v>0.73875782892693453</v>
      </c>
      <c r="G142" s="32">
        <v>3913427.89</v>
      </c>
      <c r="H142" s="48">
        <f t="shared" si="24"/>
        <v>0.68167439770688409</v>
      </c>
      <c r="I142" s="32">
        <v>3044486.18</v>
      </c>
      <c r="J142" s="178">
        <f t="shared" si="25"/>
        <v>0.5303146861046244</v>
      </c>
      <c r="K142" s="609">
        <v>3739795.46</v>
      </c>
      <c r="L142" s="390">
        <v>0.59318596785563249</v>
      </c>
      <c r="M142" s="211">
        <f t="shared" si="26"/>
        <v>4.6428322579973536E-2</v>
      </c>
      <c r="N142" s="609">
        <v>2947784.72</v>
      </c>
      <c r="O142" s="390">
        <v>0.46756154203236683</v>
      </c>
      <c r="P142" s="211">
        <f t="shared" si="27"/>
        <v>3.2804790439377784E-2</v>
      </c>
    </row>
    <row r="143" spans="1:18" ht="14.1" customHeight="1" x14ac:dyDescent="0.2">
      <c r="A143" s="39" t="s">
        <v>638</v>
      </c>
      <c r="B143" s="40" t="s">
        <v>639</v>
      </c>
      <c r="C143" s="199">
        <v>1046944.94</v>
      </c>
      <c r="D143" s="205">
        <v>977816.15</v>
      </c>
      <c r="E143" s="32">
        <v>884270.95</v>
      </c>
      <c r="F143" s="280">
        <f t="shared" si="23"/>
        <v>0.90433252713201751</v>
      </c>
      <c r="G143" s="32">
        <v>656392.76</v>
      </c>
      <c r="H143" s="48">
        <f t="shared" si="24"/>
        <v>0.67128443317284137</v>
      </c>
      <c r="I143" s="32">
        <v>412204.34</v>
      </c>
      <c r="J143" s="178">
        <f t="shared" si="25"/>
        <v>0.42155607677373708</v>
      </c>
      <c r="K143" s="609">
        <v>670305.49</v>
      </c>
      <c r="L143" s="390">
        <v>0.67214790116893608</v>
      </c>
      <c r="M143" s="211">
        <f t="shared" si="26"/>
        <v>-2.0755804939028621E-2</v>
      </c>
      <c r="N143" s="609">
        <v>477182.66</v>
      </c>
      <c r="O143" s="390">
        <v>0.47849425102159021</v>
      </c>
      <c r="P143" s="211">
        <f t="shared" si="27"/>
        <v>-0.13617074853474342</v>
      </c>
    </row>
    <row r="144" spans="1:18" ht="14.1" customHeight="1" x14ac:dyDescent="0.2">
      <c r="A144" s="39" t="s">
        <v>640</v>
      </c>
      <c r="B144" s="40" t="s">
        <v>641</v>
      </c>
      <c r="C144" s="199">
        <v>3071168.61</v>
      </c>
      <c r="D144" s="205">
        <v>2558474.4700000002</v>
      </c>
      <c r="E144" s="32">
        <v>2341322.7400000002</v>
      </c>
      <c r="F144" s="280">
        <f t="shared" si="23"/>
        <v>0.915124527312559</v>
      </c>
      <c r="G144" s="32">
        <v>1934941.12</v>
      </c>
      <c r="H144" s="48">
        <f t="shared" si="24"/>
        <v>0.75628705413660036</v>
      </c>
      <c r="I144" s="32">
        <v>1714379.79</v>
      </c>
      <c r="J144" s="178">
        <f t="shared" si="25"/>
        <v>0.67007891229807737</v>
      </c>
      <c r="K144" s="609">
        <v>1435885.86</v>
      </c>
      <c r="L144" s="390">
        <v>0.61360344936821731</v>
      </c>
      <c r="M144" s="211">
        <f t="shared" si="26"/>
        <v>0.34755914373305408</v>
      </c>
      <c r="N144" s="609">
        <v>930410.7</v>
      </c>
      <c r="O144" s="390">
        <v>0.39759651567924592</v>
      </c>
      <c r="P144" s="211">
        <f t="shared" si="27"/>
        <v>0.84260541070733619</v>
      </c>
    </row>
    <row r="145" spans="1:19" ht="14.1" customHeight="1" x14ac:dyDescent="0.2">
      <c r="A145" s="39" t="s">
        <v>642</v>
      </c>
      <c r="B145" s="40" t="s">
        <v>643</v>
      </c>
      <c r="C145" s="199">
        <v>3957522.84</v>
      </c>
      <c r="D145" s="205">
        <v>3776950.06</v>
      </c>
      <c r="E145" s="32">
        <v>3389563.35</v>
      </c>
      <c r="F145" s="280">
        <f t="shared" si="23"/>
        <v>0.89743398672313923</v>
      </c>
      <c r="G145" s="32">
        <v>3225614.28</v>
      </c>
      <c r="H145" s="48">
        <f t="shared" si="24"/>
        <v>0.85402619276358649</v>
      </c>
      <c r="I145" s="32">
        <v>2516831.6800000002</v>
      </c>
      <c r="J145" s="178">
        <f t="shared" si="25"/>
        <v>0.66636615258820764</v>
      </c>
      <c r="K145" s="609">
        <v>2850507.62</v>
      </c>
      <c r="L145" s="390">
        <v>0.744531900567862</v>
      </c>
      <c r="M145" s="211">
        <f t="shared" si="26"/>
        <v>0.13159293361229452</v>
      </c>
      <c r="N145" s="609">
        <v>2204443.7999999998</v>
      </c>
      <c r="O145" s="390">
        <v>0.57578472009453519</v>
      </c>
      <c r="P145" s="211">
        <f t="shared" si="27"/>
        <v>0.1417082531203564</v>
      </c>
      <c r="R145" s="275"/>
      <c r="S145" s="275"/>
    </row>
    <row r="146" spans="1:19" ht="14.1" customHeight="1" x14ac:dyDescent="0.2">
      <c r="A146" s="39" t="s">
        <v>646</v>
      </c>
      <c r="B146" s="40" t="s">
        <v>647</v>
      </c>
      <c r="C146" s="199">
        <v>543815.78</v>
      </c>
      <c r="D146" s="205">
        <v>740552.38</v>
      </c>
      <c r="E146" s="32">
        <v>687202.25</v>
      </c>
      <c r="F146" s="280">
        <f t="shared" ref="F146:F175" si="28">+E146/D146</f>
        <v>0.92795900541160914</v>
      </c>
      <c r="G146" s="32">
        <v>684456.33</v>
      </c>
      <c r="H146" s="48">
        <f>+G146/D146</f>
        <v>0.92425107053197231</v>
      </c>
      <c r="I146" s="32">
        <v>571867.89</v>
      </c>
      <c r="J146" s="178">
        <f>+I146/D146</f>
        <v>0.77221801650276245</v>
      </c>
      <c r="K146" s="609">
        <v>512279.94</v>
      </c>
      <c r="L146" s="390">
        <v>0.78634501015695768</v>
      </c>
      <c r="M146" s="211">
        <f t="shared" si="26"/>
        <v>0.33609824737622951</v>
      </c>
      <c r="N146" s="609">
        <v>468164.93</v>
      </c>
      <c r="O146" s="390">
        <v>0.71862887435331035</v>
      </c>
      <c r="P146" s="211">
        <f t="shared" si="27"/>
        <v>0.22150945821593271</v>
      </c>
      <c r="R146" s="275"/>
      <c r="S146" s="275"/>
    </row>
    <row r="147" spans="1:19" ht="14.1" customHeight="1" x14ac:dyDescent="0.2">
      <c r="A147" s="39" t="s">
        <v>648</v>
      </c>
      <c r="B147" s="40" t="s">
        <v>649</v>
      </c>
      <c r="C147" s="199">
        <v>10158466.529999999</v>
      </c>
      <c r="D147" s="205">
        <v>10156186.529999999</v>
      </c>
      <c r="E147" s="32">
        <v>9161826.3800000008</v>
      </c>
      <c r="F147" s="280">
        <f t="shared" si="28"/>
        <v>0.90209315799165435</v>
      </c>
      <c r="G147" s="32">
        <v>8839636.6899999995</v>
      </c>
      <c r="H147" s="48">
        <f>+G147/D147</f>
        <v>0.87036966718648878</v>
      </c>
      <c r="I147" s="32">
        <v>4176761.72</v>
      </c>
      <c r="J147" s="178">
        <f>+I147/D147</f>
        <v>0.41125295480369645</v>
      </c>
      <c r="K147" s="609">
        <v>2983623.99</v>
      </c>
      <c r="L147" s="390">
        <v>0.32729767350224348</v>
      </c>
      <c r="M147" s="211">
        <f t="shared" si="26"/>
        <v>1.9627180635452657</v>
      </c>
      <c r="N147" s="609">
        <v>732677.27</v>
      </c>
      <c r="O147" s="390">
        <v>8.0373253031450209E-2</v>
      </c>
      <c r="P147" s="211">
        <f t="shared" si="27"/>
        <v>4.7006841770865915</v>
      </c>
    </row>
    <row r="148" spans="1:19" ht="14.1" customHeight="1" x14ac:dyDescent="0.2">
      <c r="A148" s="253">
        <v>2341</v>
      </c>
      <c r="B148" s="40" t="s">
        <v>431</v>
      </c>
      <c r="C148" s="199">
        <v>10668077.699999999</v>
      </c>
      <c r="D148" s="205">
        <v>10746163.939999999</v>
      </c>
      <c r="E148" s="32">
        <v>10728080.539999999</v>
      </c>
      <c r="F148" s="280">
        <f t="shared" si="28"/>
        <v>0.99831722276889068</v>
      </c>
      <c r="G148" s="32">
        <v>10660231.960000001</v>
      </c>
      <c r="H148" s="48">
        <f>+G148/D148</f>
        <v>0.9920034739391852</v>
      </c>
      <c r="I148" s="32">
        <v>7994709.54</v>
      </c>
      <c r="J148" s="178">
        <f>+I148/D148</f>
        <v>0.7439593872415835</v>
      </c>
      <c r="K148" s="609">
        <v>10766557.390000001</v>
      </c>
      <c r="L148" s="390">
        <v>0.98906359450719827</v>
      </c>
      <c r="M148" s="211">
        <f t="shared" si="26"/>
        <v>-9.8755271669991318E-3</v>
      </c>
      <c r="N148" s="609">
        <v>7385216.9800000004</v>
      </c>
      <c r="O148" s="390">
        <v>0.67843870495120218</v>
      </c>
      <c r="P148" s="211">
        <f t="shared" si="27"/>
        <v>8.2528727544576519E-2</v>
      </c>
    </row>
    <row r="149" spans="1:19" ht="14.1" customHeight="1" x14ac:dyDescent="0.2">
      <c r="A149" s="526">
        <v>2</v>
      </c>
      <c r="B149" s="513" t="s">
        <v>125</v>
      </c>
      <c r="C149" s="201">
        <f>SUM(C123:C131,C136:C148)</f>
        <v>322762317.93999994</v>
      </c>
      <c r="D149" s="207">
        <f>SUM(D123:D131,D136:D148)</f>
        <v>326785309.37999994</v>
      </c>
      <c r="E149" s="203">
        <f>SUM(E123:E131,E136:E148)</f>
        <v>302879209.07000005</v>
      </c>
      <c r="F149" s="263">
        <f t="shared" si="28"/>
        <v>0.92684462971926063</v>
      </c>
      <c r="G149" s="203">
        <f>SUM(G123:G131,G136:G148)</f>
        <v>292106167.6699999</v>
      </c>
      <c r="H149" s="232">
        <f>G149/D149</f>
        <v>0.89387790480607665</v>
      </c>
      <c r="I149" s="203">
        <f>SUM(I123:I131,I136:I148)</f>
        <v>236906140.93999997</v>
      </c>
      <c r="J149" s="277">
        <f>I149/D149</f>
        <v>0.72495958092325186</v>
      </c>
      <c r="K149" s="561">
        <f>SUM(K123:K148)</f>
        <v>263340931.53000003</v>
      </c>
      <c r="L149" s="90">
        <v>0.86906145982121008</v>
      </c>
      <c r="M149" s="213">
        <f t="shared" ref="M149:M173" si="29">+G149/K149-1</f>
        <v>0.10923192218116262</v>
      </c>
      <c r="N149" s="561">
        <f>SUM(N123:N148)</f>
        <v>224441876.65999997</v>
      </c>
      <c r="O149" s="90">
        <v>0.74068920407434213</v>
      </c>
      <c r="P149" s="213">
        <f>+I149/N149-1</f>
        <v>5.5534486101636693E-2</v>
      </c>
    </row>
    <row r="150" spans="1:19" ht="14.1" customHeight="1" x14ac:dyDescent="0.2">
      <c r="A150" s="37">
        <v>3111</v>
      </c>
      <c r="B150" s="38" t="s">
        <v>651</v>
      </c>
      <c r="C150" s="198">
        <v>19998074.850000001</v>
      </c>
      <c r="D150" s="511">
        <v>19318987.59</v>
      </c>
      <c r="E150" s="180">
        <v>18622675.690000001</v>
      </c>
      <c r="F150" s="48">
        <f t="shared" si="28"/>
        <v>0.96395712266203704</v>
      </c>
      <c r="G150" s="180">
        <v>18572459.359999999</v>
      </c>
      <c r="H150" s="48">
        <f t="shared" ref="H150:H200" si="30">+G150/D150</f>
        <v>0.96135779752835382</v>
      </c>
      <c r="I150" s="180">
        <v>13453399.48</v>
      </c>
      <c r="J150" s="153">
        <f t="shared" ref="J150:J200" si="31">+I150/D150</f>
        <v>0.6963822207207081</v>
      </c>
      <c r="K150" s="608">
        <v>19365498.219999999</v>
      </c>
      <c r="L150" s="48">
        <v>0.9812782217179119</v>
      </c>
      <c r="M150" s="210">
        <f t="shared" si="29"/>
        <v>-4.0951120957010922E-2</v>
      </c>
      <c r="N150" s="608">
        <v>18866533.960000001</v>
      </c>
      <c r="O150" s="48">
        <v>0.95599497022645652</v>
      </c>
      <c r="P150" s="210">
        <f>+I150/N150-1</f>
        <v>-0.28691727327747063</v>
      </c>
    </row>
    <row r="151" spans="1:19" ht="14.1" customHeight="1" x14ac:dyDescent="0.2">
      <c r="A151" s="37" t="s">
        <v>650</v>
      </c>
      <c r="B151" s="38" t="s">
        <v>652</v>
      </c>
      <c r="C151" s="200">
        <v>2248848</v>
      </c>
      <c r="D151" s="206">
        <v>4057577.19</v>
      </c>
      <c r="E151" s="34">
        <v>4057577.19</v>
      </c>
      <c r="F151" s="48">
        <f t="shared" si="28"/>
        <v>1</v>
      </c>
      <c r="G151" s="34">
        <v>4057577.19</v>
      </c>
      <c r="H151" s="48">
        <f t="shared" si="30"/>
        <v>1</v>
      </c>
      <c r="I151" s="34">
        <v>2248848</v>
      </c>
      <c r="J151" s="153">
        <f t="shared" si="31"/>
        <v>0.55423418821023096</v>
      </c>
      <c r="K151" s="608">
        <v>2248848</v>
      </c>
      <c r="L151" s="48">
        <v>1</v>
      </c>
      <c r="M151" s="210">
        <f t="shared" si="29"/>
        <v>0.8042914372158545</v>
      </c>
      <c r="N151" s="608">
        <v>2248848</v>
      </c>
      <c r="O151" s="48">
        <v>1</v>
      </c>
      <c r="P151" s="210">
        <f>+I151/N151-1</f>
        <v>0</v>
      </c>
    </row>
    <row r="152" spans="1:19" ht="14.1" customHeight="1" x14ac:dyDescent="0.2">
      <c r="A152" s="37">
        <v>3131</v>
      </c>
      <c r="B152" s="38" t="s">
        <v>761</v>
      </c>
      <c r="C152" s="200">
        <v>9000</v>
      </c>
      <c r="D152" s="206">
        <v>6000</v>
      </c>
      <c r="E152" s="34">
        <v>6000</v>
      </c>
      <c r="F152" s="48">
        <f t="shared" si="28"/>
        <v>1</v>
      </c>
      <c r="G152" s="34">
        <v>5190</v>
      </c>
      <c r="H152" s="48">
        <f t="shared" si="30"/>
        <v>0.86499999999999999</v>
      </c>
      <c r="I152" s="34">
        <v>5190</v>
      </c>
      <c r="J152" s="153">
        <f t="shared" si="31"/>
        <v>0.86499999999999999</v>
      </c>
      <c r="K152" s="608">
        <v>0</v>
      </c>
      <c r="L152" s="48">
        <v>0</v>
      </c>
      <c r="M152" s="210" t="s">
        <v>129</v>
      </c>
      <c r="N152" s="608">
        <v>0</v>
      </c>
      <c r="O152" s="48">
        <v>0</v>
      </c>
      <c r="P152" s="210" t="s">
        <v>129</v>
      </c>
    </row>
    <row r="153" spans="1:19" ht="14.1" customHeight="1" x14ac:dyDescent="0.2">
      <c r="A153" s="39" t="s">
        <v>653</v>
      </c>
      <c r="B153" s="40" t="s">
        <v>654</v>
      </c>
      <c r="C153" s="200">
        <v>10674936.689999999</v>
      </c>
      <c r="D153" s="206">
        <v>10674936.689999999</v>
      </c>
      <c r="E153" s="34">
        <v>10674936.689999999</v>
      </c>
      <c r="F153" s="280">
        <f t="shared" si="28"/>
        <v>1</v>
      </c>
      <c r="G153" s="34">
        <v>10674936.689999999</v>
      </c>
      <c r="H153" s="280">
        <f t="shared" si="30"/>
        <v>1</v>
      </c>
      <c r="I153" s="34">
        <v>7100000</v>
      </c>
      <c r="J153" s="178">
        <f t="shared" si="31"/>
        <v>0.66510933096690805</v>
      </c>
      <c r="K153" s="609">
        <v>29852779.66</v>
      </c>
      <c r="L153" s="280">
        <v>0.95625071058868372</v>
      </c>
      <c r="M153" s="212">
        <f t="shared" si="29"/>
        <v>-0.64241397914769593</v>
      </c>
      <c r="N153" s="609">
        <v>19583142.57</v>
      </c>
      <c r="O153" s="280">
        <v>0.62729146871417341</v>
      </c>
      <c r="P153" s="210">
        <f t="shared" ref="P153:P172" si="32">+I153/N153-1</f>
        <v>-0.63744327680702784</v>
      </c>
    </row>
    <row r="154" spans="1:19" ht="14.1" customHeight="1" x14ac:dyDescent="0.2">
      <c r="A154" s="253">
        <v>3232</v>
      </c>
      <c r="B154" s="40" t="s">
        <v>480</v>
      </c>
      <c r="C154" s="200">
        <v>40599839.609999999</v>
      </c>
      <c r="D154" s="206">
        <v>40599839.609999999</v>
      </c>
      <c r="E154" s="34">
        <v>40599839.609999999</v>
      </c>
      <c r="F154" s="280">
        <f t="shared" si="28"/>
        <v>1</v>
      </c>
      <c r="G154" s="34">
        <v>40599839.609999999</v>
      </c>
      <c r="H154" s="280">
        <f t="shared" si="30"/>
        <v>1</v>
      </c>
      <c r="I154" s="34">
        <v>39938923</v>
      </c>
      <c r="J154" s="178">
        <f t="shared" si="31"/>
        <v>0.98372120145427344</v>
      </c>
      <c r="K154" s="572">
        <v>37980210.549999997</v>
      </c>
      <c r="L154" s="603">
        <v>1</v>
      </c>
      <c r="M154" s="211">
        <f t="shared" si="29"/>
        <v>6.8973526530384133E-2</v>
      </c>
      <c r="N154" s="572">
        <v>37980210.549999997</v>
      </c>
      <c r="O154" s="603">
        <v>1</v>
      </c>
      <c r="P154" s="210">
        <f t="shared" si="32"/>
        <v>5.1571921841281121E-2</v>
      </c>
    </row>
    <row r="155" spans="1:19" ht="14.1" customHeight="1" x14ac:dyDescent="0.2">
      <c r="A155" s="253" t="s">
        <v>655</v>
      </c>
      <c r="B155" s="40" t="s">
        <v>656</v>
      </c>
      <c r="C155" s="200">
        <v>1576943.5</v>
      </c>
      <c r="D155" s="206">
        <v>1576943.5</v>
      </c>
      <c r="E155" s="34">
        <v>1576943.5</v>
      </c>
      <c r="F155" s="280">
        <f t="shared" si="28"/>
        <v>1</v>
      </c>
      <c r="G155" s="34">
        <v>1576943.5</v>
      </c>
      <c r="H155" s="280">
        <f t="shared" si="30"/>
        <v>1</v>
      </c>
      <c r="I155" s="34">
        <v>0</v>
      </c>
      <c r="J155" s="178">
        <f t="shared" si="31"/>
        <v>0</v>
      </c>
      <c r="K155" s="572">
        <v>1326943.5</v>
      </c>
      <c r="L155" s="603">
        <v>1</v>
      </c>
      <c r="M155" s="211">
        <f t="shared" si="29"/>
        <v>0.18840289733511639</v>
      </c>
      <c r="N155" s="572">
        <v>1326943.5</v>
      </c>
      <c r="O155" s="603">
        <v>1</v>
      </c>
      <c r="P155" s="210" t="s">
        <v>129</v>
      </c>
    </row>
    <row r="156" spans="1:19" ht="14.1" customHeight="1" x14ac:dyDescent="0.2">
      <c r="A156" s="39" t="s">
        <v>657</v>
      </c>
      <c r="B156" s="40" t="s">
        <v>658</v>
      </c>
      <c r="C156" s="200">
        <v>8163831</v>
      </c>
      <c r="D156" s="206">
        <v>8163831</v>
      </c>
      <c r="E156" s="34">
        <v>8163831</v>
      </c>
      <c r="F156" s="280">
        <f t="shared" si="28"/>
        <v>1</v>
      </c>
      <c r="G156" s="34">
        <v>8163831</v>
      </c>
      <c r="H156" s="280">
        <f t="shared" si="30"/>
        <v>1</v>
      </c>
      <c r="I156" s="34">
        <v>5416531</v>
      </c>
      <c r="J156" s="178">
        <f t="shared" si="31"/>
        <v>0.66347907005914253</v>
      </c>
      <c r="K156" s="572">
        <v>7557020.8600000003</v>
      </c>
      <c r="L156" s="280">
        <v>1</v>
      </c>
      <c r="M156" s="211">
        <f t="shared" si="29"/>
        <v>8.0297534073499932E-2</v>
      </c>
      <c r="N156" s="572">
        <v>7557020.8600000003</v>
      </c>
      <c r="O156" s="280">
        <v>1</v>
      </c>
      <c r="P156" s="210">
        <f t="shared" si="32"/>
        <v>-0.28324519670572934</v>
      </c>
    </row>
    <row r="157" spans="1:19" ht="14.1" customHeight="1" x14ac:dyDescent="0.2">
      <c r="A157" s="39" t="s">
        <v>659</v>
      </c>
      <c r="B157" s="40" t="s">
        <v>114</v>
      </c>
      <c r="C157" s="200">
        <v>9096798.4100000001</v>
      </c>
      <c r="D157" s="206">
        <v>9079761.7899999991</v>
      </c>
      <c r="E157" s="34">
        <v>8973829.2400000002</v>
      </c>
      <c r="F157" s="280">
        <f t="shared" si="28"/>
        <v>0.98833311352764042</v>
      </c>
      <c r="G157" s="34">
        <v>8896753.1099999994</v>
      </c>
      <c r="H157" s="280">
        <f t="shared" si="30"/>
        <v>0.97984433025527651</v>
      </c>
      <c r="I157" s="34">
        <v>8567412.6999999993</v>
      </c>
      <c r="J157" s="178">
        <f t="shared" si="31"/>
        <v>0.94357240841226964</v>
      </c>
      <c r="K157" s="572">
        <v>6873751.96</v>
      </c>
      <c r="L157" s="280">
        <v>0.8338120265159803</v>
      </c>
      <c r="M157" s="211">
        <f t="shared" si="29"/>
        <v>0.29430813939349654</v>
      </c>
      <c r="N157" s="572">
        <v>6092671.4400000004</v>
      </c>
      <c r="O157" s="280">
        <v>0.73906401479788575</v>
      </c>
      <c r="P157" s="210">
        <f t="shared" si="32"/>
        <v>0.4061832784470647</v>
      </c>
    </row>
    <row r="158" spans="1:19" ht="14.1" customHeight="1" x14ac:dyDescent="0.2">
      <c r="A158" s="39" t="s">
        <v>660</v>
      </c>
      <c r="B158" s="40" t="s">
        <v>661</v>
      </c>
      <c r="C158" s="200">
        <v>8827393.0999999996</v>
      </c>
      <c r="D158" s="206">
        <v>8771335.0999999996</v>
      </c>
      <c r="E158" s="34">
        <v>8751716.0299999993</v>
      </c>
      <c r="F158" s="280">
        <f t="shared" si="28"/>
        <v>0.99776327437313383</v>
      </c>
      <c r="G158" s="34">
        <v>8751716.0299999993</v>
      </c>
      <c r="H158" s="280">
        <f t="shared" si="30"/>
        <v>0.99776327437313383</v>
      </c>
      <c r="I158" s="34">
        <v>7479296</v>
      </c>
      <c r="J158" s="178">
        <f t="shared" si="31"/>
        <v>0.85269755570049999</v>
      </c>
      <c r="K158" s="572">
        <v>8147393.0999999996</v>
      </c>
      <c r="L158" s="280">
        <v>0.83328889578961496</v>
      </c>
      <c r="M158" s="211">
        <f t="shared" si="29"/>
        <v>7.4173778358626041E-2</v>
      </c>
      <c r="N158" s="572">
        <v>4168699.45</v>
      </c>
      <c r="O158" s="280">
        <v>0.42636103584707058</v>
      </c>
      <c r="P158" s="210">
        <f t="shared" si="32"/>
        <v>0.79415572883288577</v>
      </c>
    </row>
    <row r="159" spans="1:19" ht="14.1" customHeight="1" x14ac:dyDescent="0.2">
      <c r="A159" s="39">
        <v>3281</v>
      </c>
      <c r="B159" s="40" t="s">
        <v>664</v>
      </c>
      <c r="C159" s="200">
        <v>5255775.0999999996</v>
      </c>
      <c r="D159" s="206">
        <v>5255775.0999999996</v>
      </c>
      <c r="E159" s="34">
        <v>5255775.0999999996</v>
      </c>
      <c r="F159" s="280">
        <f t="shared" si="28"/>
        <v>1</v>
      </c>
      <c r="G159" s="34">
        <v>5255775.0999999996</v>
      </c>
      <c r="H159" s="280">
        <f t="shared" si="30"/>
        <v>1</v>
      </c>
      <c r="I159" s="34">
        <v>0</v>
      </c>
      <c r="J159" s="178">
        <f t="shared" si="31"/>
        <v>0</v>
      </c>
      <c r="K159" s="572">
        <v>5155750.58</v>
      </c>
      <c r="L159" s="280">
        <v>1</v>
      </c>
      <c r="M159" s="211">
        <f t="shared" si="29"/>
        <v>1.9400573873377569E-2</v>
      </c>
      <c r="N159" s="572">
        <v>5155750.58</v>
      </c>
      <c r="O159" s="280">
        <v>1</v>
      </c>
      <c r="P159" s="210">
        <f t="shared" si="32"/>
        <v>-1</v>
      </c>
    </row>
    <row r="160" spans="1:19" ht="14.1" customHeight="1" x14ac:dyDescent="0.2">
      <c r="A160" s="39" t="s">
        <v>662</v>
      </c>
      <c r="B160" s="40" t="s">
        <v>665</v>
      </c>
      <c r="C160" s="200">
        <v>2919606</v>
      </c>
      <c r="D160" s="206">
        <v>3019606</v>
      </c>
      <c r="E160" s="34">
        <v>3019606</v>
      </c>
      <c r="F160" s="280">
        <f t="shared" si="28"/>
        <v>1</v>
      </c>
      <c r="G160" s="34">
        <v>3019606</v>
      </c>
      <c r="H160" s="280">
        <f t="shared" si="30"/>
        <v>1</v>
      </c>
      <c r="I160" s="34">
        <v>0</v>
      </c>
      <c r="J160" s="178">
        <f t="shared" si="31"/>
        <v>0</v>
      </c>
      <c r="K160" s="572">
        <v>2919606</v>
      </c>
      <c r="L160" s="280">
        <v>1</v>
      </c>
      <c r="M160" s="211">
        <f t="shared" si="29"/>
        <v>3.4251196908075876E-2</v>
      </c>
      <c r="N160" s="572">
        <v>2519606</v>
      </c>
      <c r="O160" s="280">
        <v>0.86299521236769616</v>
      </c>
      <c r="P160" s="210" t="s">
        <v>129</v>
      </c>
    </row>
    <row r="161" spans="1:19" ht="14.1" customHeight="1" x14ac:dyDescent="0.2">
      <c r="A161" s="39" t="s">
        <v>663</v>
      </c>
      <c r="B161" s="40" t="s">
        <v>666</v>
      </c>
      <c r="C161" s="200">
        <v>1326943.5</v>
      </c>
      <c r="D161" s="206">
        <v>1326943.5</v>
      </c>
      <c r="E161" s="34">
        <v>1326943.5</v>
      </c>
      <c r="F161" s="280">
        <f t="shared" si="28"/>
        <v>1</v>
      </c>
      <c r="G161" s="34">
        <v>1326943.5</v>
      </c>
      <c r="H161" s="280">
        <f t="shared" si="30"/>
        <v>1</v>
      </c>
      <c r="I161" s="34">
        <v>0</v>
      </c>
      <c r="J161" s="178">
        <f t="shared" si="31"/>
        <v>0</v>
      </c>
      <c r="K161" s="572">
        <v>1326943.5</v>
      </c>
      <c r="L161" s="280">
        <v>1</v>
      </c>
      <c r="M161" s="211">
        <f t="shared" si="29"/>
        <v>0</v>
      </c>
      <c r="N161" s="572">
        <v>1326943.5</v>
      </c>
      <c r="O161" s="280">
        <v>1</v>
      </c>
      <c r="P161" s="210">
        <f t="shared" si="32"/>
        <v>-1</v>
      </c>
    </row>
    <row r="162" spans="1:19" ht="14.1" customHeight="1" x14ac:dyDescent="0.2">
      <c r="A162" s="39">
        <v>3291</v>
      </c>
      <c r="B162" s="40" t="s">
        <v>495</v>
      </c>
      <c r="C162" s="200">
        <v>33376191.52</v>
      </c>
      <c r="D162" s="206">
        <v>33376191.52</v>
      </c>
      <c r="E162" s="34">
        <v>33376191.52</v>
      </c>
      <c r="F162" s="280">
        <f t="shared" si="28"/>
        <v>1</v>
      </c>
      <c r="G162" s="34">
        <v>33376191.52</v>
      </c>
      <c r="H162" s="280">
        <f t="shared" si="30"/>
        <v>1</v>
      </c>
      <c r="I162" s="34">
        <v>29700000</v>
      </c>
      <c r="J162" s="178">
        <f t="shared" si="31"/>
        <v>0.88985587172829117</v>
      </c>
      <c r="K162" s="572">
        <v>30377801.829999998</v>
      </c>
      <c r="L162" s="603">
        <v>1</v>
      </c>
      <c r="M162" s="211">
        <f t="shared" si="29"/>
        <v>9.8703313254183689E-2</v>
      </c>
      <c r="N162" s="572">
        <v>30377801.829999998</v>
      </c>
      <c r="O162" s="603">
        <v>1</v>
      </c>
      <c r="P162" s="210">
        <f t="shared" si="32"/>
        <v>-2.2312405413436709E-2</v>
      </c>
    </row>
    <row r="163" spans="1:19" ht="14.1" customHeight="1" x14ac:dyDescent="0.2">
      <c r="A163" s="253" t="s">
        <v>667</v>
      </c>
      <c r="B163" s="40" t="s">
        <v>668</v>
      </c>
      <c r="C163" s="200">
        <v>28640778.239999998</v>
      </c>
      <c r="D163" s="206">
        <v>24601343.57</v>
      </c>
      <c r="E163" s="34">
        <v>23128391.920000002</v>
      </c>
      <c r="F163" s="280">
        <f t="shared" si="28"/>
        <v>0.94012718672015205</v>
      </c>
      <c r="G163" s="34">
        <v>23128391.920000002</v>
      </c>
      <c r="H163" s="280">
        <f t="shared" si="30"/>
        <v>0.94012718672015205</v>
      </c>
      <c r="I163" s="34">
        <v>16548535.880000001</v>
      </c>
      <c r="J163" s="178">
        <f t="shared" si="31"/>
        <v>0.67266797168671877</v>
      </c>
      <c r="K163" s="572">
        <v>20572954.52</v>
      </c>
      <c r="L163" s="280">
        <v>0.9553350035243271</v>
      </c>
      <c r="M163" s="211">
        <f t="shared" si="29"/>
        <v>0.12421343747762315</v>
      </c>
      <c r="N163" s="572">
        <v>17358046.68</v>
      </c>
      <c r="O163" s="280">
        <v>0.80604609173137054</v>
      </c>
      <c r="P163" s="210">
        <f t="shared" si="32"/>
        <v>-4.6636053867323723E-2</v>
      </c>
    </row>
    <row r="164" spans="1:19" s="6" customFormat="1" ht="14.1" customHeight="1" x14ac:dyDescent="0.2">
      <c r="A164" s="39" t="s">
        <v>669</v>
      </c>
      <c r="B164" s="40" t="s">
        <v>670</v>
      </c>
      <c r="C164" s="200">
        <v>12623127.310000001</v>
      </c>
      <c r="D164" s="206">
        <v>12970033.42</v>
      </c>
      <c r="E164" s="34">
        <v>12968189.83</v>
      </c>
      <c r="F164" s="280">
        <f t="shared" si="28"/>
        <v>0.99985785772940594</v>
      </c>
      <c r="G164" s="34">
        <v>12923971.6</v>
      </c>
      <c r="H164" s="280">
        <f t="shared" si="30"/>
        <v>0.9964485966605936</v>
      </c>
      <c r="I164" s="34">
        <v>7094756.8200000003</v>
      </c>
      <c r="J164" s="178">
        <f t="shared" si="31"/>
        <v>0.547011452496319</v>
      </c>
      <c r="K164" s="572">
        <v>14701213.880000001</v>
      </c>
      <c r="L164" s="280">
        <v>0.99000298206028514</v>
      </c>
      <c r="M164" s="211">
        <f t="shared" si="29"/>
        <v>-0.12089085258584109</v>
      </c>
      <c r="N164" s="572">
        <v>14569723.23</v>
      </c>
      <c r="O164" s="280">
        <v>0.98114819383152929</v>
      </c>
      <c r="P164" s="210">
        <f t="shared" si="32"/>
        <v>-0.51304793454199338</v>
      </c>
      <c r="R164" s="255"/>
    </row>
    <row r="165" spans="1:19" s="272" customFormat="1" ht="14.1" customHeight="1" x14ac:dyDescent="0.2">
      <c r="A165" s="39" t="s">
        <v>671</v>
      </c>
      <c r="B165" s="40" t="s">
        <v>672</v>
      </c>
      <c r="C165" s="200">
        <v>48067327.659999996</v>
      </c>
      <c r="D165" s="206">
        <v>51847827.659999996</v>
      </c>
      <c r="E165" s="34">
        <v>51817327.659999996</v>
      </c>
      <c r="F165" s="280">
        <f t="shared" si="28"/>
        <v>0.99941174005977629</v>
      </c>
      <c r="G165" s="34">
        <v>51817327.659999996</v>
      </c>
      <c r="H165" s="280">
        <f t="shared" si="30"/>
        <v>0.99941174005977629</v>
      </c>
      <c r="I165" s="34">
        <v>48000000</v>
      </c>
      <c r="J165" s="178">
        <f t="shared" si="31"/>
        <v>0.92578613543401067</v>
      </c>
      <c r="K165" s="572">
        <v>48997115.619999997</v>
      </c>
      <c r="L165" s="280">
        <v>1</v>
      </c>
      <c r="M165" s="211">
        <f t="shared" si="29"/>
        <v>5.7558735944220007E-2</v>
      </c>
      <c r="N165" s="572">
        <v>47461939.759999998</v>
      </c>
      <c r="O165" s="280">
        <v>0.96866803605530283</v>
      </c>
      <c r="P165" s="210">
        <f t="shared" si="32"/>
        <v>1.1336667711450588E-2</v>
      </c>
      <c r="R165" s="273"/>
      <c r="S165" s="274"/>
    </row>
    <row r="166" spans="1:19" x14ac:dyDescent="0.2">
      <c r="A166" s="39" t="s">
        <v>673</v>
      </c>
      <c r="B166" s="40" t="s">
        <v>674</v>
      </c>
      <c r="C166" s="200">
        <v>17219551.329999998</v>
      </c>
      <c r="D166" s="206">
        <v>18169551.329999998</v>
      </c>
      <c r="E166" s="34">
        <v>18169551.329999998</v>
      </c>
      <c r="F166" s="280">
        <f t="shared" si="28"/>
        <v>1</v>
      </c>
      <c r="G166" s="34">
        <v>18169551.329999998</v>
      </c>
      <c r="H166" s="280">
        <f t="shared" si="30"/>
        <v>1</v>
      </c>
      <c r="I166" s="34">
        <v>13500000</v>
      </c>
      <c r="J166" s="178">
        <f t="shared" si="31"/>
        <v>0.74300128576702729</v>
      </c>
      <c r="K166" s="572">
        <v>17284551.329999998</v>
      </c>
      <c r="L166" s="280">
        <v>1</v>
      </c>
      <c r="M166" s="211">
        <f t="shared" si="29"/>
        <v>5.1201791883596526E-2</v>
      </c>
      <c r="N166" s="572">
        <v>14265000</v>
      </c>
      <c r="O166" s="280">
        <v>0.82530345900508839</v>
      </c>
      <c r="P166" s="210">
        <f t="shared" si="32"/>
        <v>-5.362776025236593E-2</v>
      </c>
    </row>
    <row r="167" spans="1:19" x14ac:dyDescent="0.2">
      <c r="A167" s="39" t="s">
        <v>675</v>
      </c>
      <c r="B167" s="40" t="s">
        <v>102</v>
      </c>
      <c r="C167" s="200">
        <v>17748245.370000001</v>
      </c>
      <c r="D167" s="206">
        <v>20659785.010000002</v>
      </c>
      <c r="E167" s="34">
        <v>20416778.579999998</v>
      </c>
      <c r="F167" s="280">
        <f t="shared" si="28"/>
        <v>0.98823770770691077</v>
      </c>
      <c r="G167" s="34">
        <v>20199811.02</v>
      </c>
      <c r="H167" s="280">
        <f t="shared" si="30"/>
        <v>0.97773578041701015</v>
      </c>
      <c r="I167" s="34">
        <v>16878725.949999999</v>
      </c>
      <c r="J167" s="178">
        <f t="shared" si="31"/>
        <v>0.81698458826314757</v>
      </c>
      <c r="K167" s="572">
        <v>16002471.77</v>
      </c>
      <c r="L167" s="603">
        <v>0.98702508838642533</v>
      </c>
      <c r="M167" s="211">
        <f t="shared" si="29"/>
        <v>0.26229318259875289</v>
      </c>
      <c r="N167" s="572">
        <v>9751599.9600000009</v>
      </c>
      <c r="O167" s="603">
        <v>0.60147419415994774</v>
      </c>
      <c r="P167" s="210">
        <f t="shared" si="32"/>
        <v>0.73086734681843923</v>
      </c>
    </row>
    <row r="168" spans="1:19" x14ac:dyDescent="0.2">
      <c r="A168" s="253">
        <v>3361</v>
      </c>
      <c r="B168" s="40" t="s">
        <v>676</v>
      </c>
      <c r="C168" s="200">
        <v>211322.62</v>
      </c>
      <c r="D168" s="206">
        <v>211322.62</v>
      </c>
      <c r="E168" s="34">
        <v>211322.62</v>
      </c>
      <c r="F168" s="280">
        <f t="shared" si="28"/>
        <v>1</v>
      </c>
      <c r="G168" s="34">
        <v>211322.62</v>
      </c>
      <c r="H168" s="280">
        <f t="shared" si="30"/>
        <v>1</v>
      </c>
      <c r="I168" s="34">
        <v>0</v>
      </c>
      <c r="J168" s="178">
        <f t="shared" si="31"/>
        <v>0</v>
      </c>
      <c r="K168" s="572">
        <v>211322.62</v>
      </c>
      <c r="L168" s="280">
        <v>1</v>
      </c>
      <c r="M168" s="212">
        <f t="shared" si="29"/>
        <v>0</v>
      </c>
      <c r="N168" s="572">
        <v>0</v>
      </c>
      <c r="O168" s="280">
        <v>0</v>
      </c>
      <c r="P168" s="210" t="s">
        <v>129</v>
      </c>
    </row>
    <row r="169" spans="1:19" x14ac:dyDescent="0.2">
      <c r="A169" s="253">
        <v>3371</v>
      </c>
      <c r="B169" s="40" t="s">
        <v>677</v>
      </c>
      <c r="C169" s="200">
        <v>15245118.1</v>
      </c>
      <c r="D169" s="206">
        <v>15640781.130000001</v>
      </c>
      <c r="E169" s="34">
        <v>14846795.640000001</v>
      </c>
      <c r="F169" s="280">
        <f t="shared" si="28"/>
        <v>0.94923619968844863</v>
      </c>
      <c r="G169" s="34">
        <v>14763795.25</v>
      </c>
      <c r="H169" s="280">
        <f t="shared" si="30"/>
        <v>0.94392953441961491</v>
      </c>
      <c r="I169" s="34">
        <v>10463564.789999999</v>
      </c>
      <c r="J169" s="178">
        <f t="shared" si="31"/>
        <v>0.66899246930386513</v>
      </c>
      <c r="K169" s="572">
        <v>14227159.33</v>
      </c>
      <c r="L169" s="280">
        <v>0.95566902555992461</v>
      </c>
      <c r="M169" s="211">
        <f t="shared" si="29"/>
        <v>3.7719119295193781E-2</v>
      </c>
      <c r="N169" s="572">
        <v>11498376.550000001</v>
      </c>
      <c r="O169" s="280">
        <v>0.77237079153872024</v>
      </c>
      <c r="P169" s="210">
        <f t="shared" si="32"/>
        <v>-8.9996336047978964E-2</v>
      </c>
    </row>
    <row r="170" spans="1:19" x14ac:dyDescent="0.2">
      <c r="A170" s="253">
        <v>3381</v>
      </c>
      <c r="B170" s="40" t="s">
        <v>678</v>
      </c>
      <c r="C170" s="200">
        <v>8127724.7699999996</v>
      </c>
      <c r="D170" s="206">
        <v>8809568.1999999993</v>
      </c>
      <c r="E170" s="34">
        <v>8332951.2599999998</v>
      </c>
      <c r="F170" s="280">
        <f t="shared" si="28"/>
        <v>0.94589780915709354</v>
      </c>
      <c r="G170" s="34">
        <v>8251256.1100000003</v>
      </c>
      <c r="H170" s="280">
        <f t="shared" si="30"/>
        <v>0.93662435237177699</v>
      </c>
      <c r="I170" s="34">
        <v>3503532.08</v>
      </c>
      <c r="J170" s="178">
        <f t="shared" si="31"/>
        <v>0.39769623214903999</v>
      </c>
      <c r="K170" s="572">
        <v>7374594.04</v>
      </c>
      <c r="L170" s="280">
        <v>0.93799837674992559</v>
      </c>
      <c r="M170" s="211">
        <f t="shared" si="29"/>
        <v>0.1188759767988532</v>
      </c>
      <c r="N170" s="572">
        <v>6365436.4299999997</v>
      </c>
      <c r="O170" s="280">
        <v>0.80964036884731916</v>
      </c>
      <c r="P170" s="210">
        <f t="shared" si="32"/>
        <v>-0.44960064898488028</v>
      </c>
      <c r="R170"/>
    </row>
    <row r="171" spans="1:19" x14ac:dyDescent="0.2">
      <c r="A171" s="253" t="s">
        <v>679</v>
      </c>
      <c r="B171" s="40" t="s">
        <v>680</v>
      </c>
      <c r="C171" s="200">
        <v>14042820.529999999</v>
      </c>
      <c r="D171" s="206">
        <v>13122178.390000001</v>
      </c>
      <c r="E171" s="34">
        <v>12591103.789999999</v>
      </c>
      <c r="F171" s="390">
        <f t="shared" si="28"/>
        <v>0.95952847277211861</v>
      </c>
      <c r="G171" s="34">
        <v>12533749.57</v>
      </c>
      <c r="H171" s="390">
        <f t="shared" si="30"/>
        <v>0.95515768780826638</v>
      </c>
      <c r="I171" s="34">
        <v>9223315.7699999996</v>
      </c>
      <c r="J171" s="392">
        <f t="shared" si="31"/>
        <v>0.7028799255639443</v>
      </c>
      <c r="K171" s="572">
        <v>12549655.859999999</v>
      </c>
      <c r="L171" s="390">
        <v>0.98283331558546128</v>
      </c>
      <c r="M171" s="211">
        <f t="shared" si="29"/>
        <v>-1.2674682220329414E-3</v>
      </c>
      <c r="N171" s="572">
        <v>11844404.380000001</v>
      </c>
      <c r="O171" s="390">
        <v>0.92760115160085044</v>
      </c>
      <c r="P171" s="210">
        <f t="shared" si="32"/>
        <v>-0.22129340791723295</v>
      </c>
    </row>
    <row r="172" spans="1:19" x14ac:dyDescent="0.2">
      <c r="A172" s="253">
        <v>3421</v>
      </c>
      <c r="B172" s="40" t="s">
        <v>484</v>
      </c>
      <c r="C172" s="200">
        <v>5455050.5800000001</v>
      </c>
      <c r="D172" s="206">
        <v>6478127.2199999997</v>
      </c>
      <c r="E172" s="34">
        <v>6056013.3300000001</v>
      </c>
      <c r="F172" s="390">
        <f t="shared" si="28"/>
        <v>0.93484013578850345</v>
      </c>
      <c r="G172" s="34">
        <v>6056013.3300000001</v>
      </c>
      <c r="H172" s="390">
        <f t="shared" si="30"/>
        <v>0.93484013578850345</v>
      </c>
      <c r="I172" s="34">
        <v>1454850.83</v>
      </c>
      <c r="J172" s="392">
        <f t="shared" si="31"/>
        <v>0.22457892236330612</v>
      </c>
      <c r="K172" s="572">
        <v>6370972.0099999998</v>
      </c>
      <c r="L172" s="390">
        <v>1</v>
      </c>
      <c r="M172" s="211">
        <f t="shared" si="29"/>
        <v>-4.9436519185084293E-2</v>
      </c>
      <c r="N172" s="572">
        <v>4828592.28</v>
      </c>
      <c r="O172" s="390">
        <v>0.75790511595733734</v>
      </c>
      <c r="P172" s="210">
        <f t="shared" si="32"/>
        <v>-0.69870083336172673</v>
      </c>
      <c r="R172"/>
    </row>
    <row r="173" spans="1:19" x14ac:dyDescent="0.2">
      <c r="A173" s="662">
        <v>3431</v>
      </c>
      <c r="B173" s="661" t="s">
        <v>435</v>
      </c>
      <c r="C173" s="654">
        <v>6518951.2199999997</v>
      </c>
      <c r="D173" s="397">
        <v>6518951.2199999997</v>
      </c>
      <c r="E173" s="398">
        <v>6518951.2199999997</v>
      </c>
      <c r="F173" s="412">
        <f t="shared" si="28"/>
        <v>1</v>
      </c>
      <c r="G173" s="398">
        <v>6518951.2199999997</v>
      </c>
      <c r="H173" s="412">
        <f t="shared" si="30"/>
        <v>1</v>
      </c>
      <c r="I173" s="398">
        <v>4500000</v>
      </c>
      <c r="J173" s="427">
        <f t="shared" si="31"/>
        <v>0.69029508706770171</v>
      </c>
      <c r="K173" s="628">
        <v>7608676.7199999997</v>
      </c>
      <c r="L173" s="412">
        <v>1</v>
      </c>
      <c r="M173" s="658">
        <f t="shared" si="29"/>
        <v>-0.14322142208192024</v>
      </c>
      <c r="N173" s="628">
        <v>3000000</v>
      </c>
      <c r="O173" s="412">
        <v>0.39428669536113503</v>
      </c>
      <c r="P173" s="210" t="s">
        <v>129</v>
      </c>
    </row>
    <row r="174" spans="1:19" x14ac:dyDescent="0.2">
      <c r="A174" s="526">
        <v>3</v>
      </c>
      <c r="B174" s="2" t="s">
        <v>124</v>
      </c>
      <c r="C174" s="201">
        <f>SUBTOTAL(9,C150:C173)</f>
        <v>317974199.00999999</v>
      </c>
      <c r="D174" s="207">
        <f>SUBTOTAL(9,D150:D173)</f>
        <v>324257198.36000001</v>
      </c>
      <c r="E174" s="203">
        <f>SUBTOTAL(9,E150:E173)</f>
        <v>319463242.25</v>
      </c>
      <c r="F174" s="90">
        <f t="shared" si="28"/>
        <v>0.98521557536965576</v>
      </c>
      <c r="G174" s="203">
        <f>SUBTOTAL(9,G150:G173)</f>
        <v>318851904.23999995</v>
      </c>
      <c r="H174" s="90">
        <f t="shared" si="30"/>
        <v>0.9833302262915411</v>
      </c>
      <c r="I174" s="203">
        <f>SUBTOTAL(9,I150:I173)</f>
        <v>245076882.30000001</v>
      </c>
      <c r="J174" s="170">
        <f t="shared" si="31"/>
        <v>0.75581015175462152</v>
      </c>
      <c r="K174" s="561">
        <f>SUM(K150:K173)</f>
        <v>319033235.46000004</v>
      </c>
      <c r="L174" s="90">
        <v>0.97589241253298487</v>
      </c>
      <c r="M174" s="213">
        <f t="shared" ref="M174:M180" si="33">+G174/K174-1</f>
        <v>-5.6837720916014245E-4</v>
      </c>
      <c r="N174" s="561">
        <f>SUBTOTAL(9,N150:N173)</f>
        <v>278147291.50999999</v>
      </c>
      <c r="O174" s="90">
        <v>0.8508261873087587</v>
      </c>
      <c r="P174" s="213">
        <f t="shared" ref="P174:P180" si="34">+I174/N174-1</f>
        <v>-0.11889531273329346</v>
      </c>
    </row>
    <row r="175" spans="1:19" x14ac:dyDescent="0.2">
      <c r="A175" s="37">
        <v>4301</v>
      </c>
      <c r="B175" s="528" t="s">
        <v>681</v>
      </c>
      <c r="C175" s="198">
        <v>4583248.97</v>
      </c>
      <c r="D175" s="511">
        <v>5127237.7699999996</v>
      </c>
      <c r="E175" s="180">
        <v>3916966.07</v>
      </c>
      <c r="F175" s="78">
        <f t="shared" si="28"/>
        <v>0.76395249171368163</v>
      </c>
      <c r="G175" s="180">
        <v>3848772.32</v>
      </c>
      <c r="H175" s="78">
        <f t="shared" si="30"/>
        <v>0.75065220156544454</v>
      </c>
      <c r="I175" s="180">
        <v>3817784.35</v>
      </c>
      <c r="J175" s="153">
        <f t="shared" si="31"/>
        <v>0.74460840734522837</v>
      </c>
      <c r="K175" s="608">
        <v>3849733.81</v>
      </c>
      <c r="L175" s="48">
        <v>0.7795548472109205</v>
      </c>
      <c r="M175" s="210">
        <f t="shared" si="33"/>
        <v>-2.4975493045853447E-4</v>
      </c>
      <c r="N175" s="608">
        <v>3770438.44</v>
      </c>
      <c r="O175" s="48">
        <v>0.76349786948318421</v>
      </c>
      <c r="P175" s="210">
        <f t="shared" si="34"/>
        <v>1.255713645864498E-2</v>
      </c>
    </row>
    <row r="176" spans="1:19" x14ac:dyDescent="0.2">
      <c r="A176" s="37" t="s">
        <v>682</v>
      </c>
      <c r="B176" s="38" t="s">
        <v>684</v>
      </c>
      <c r="C176" s="200">
        <v>30096574.920000002</v>
      </c>
      <c r="D176" s="206">
        <v>25885012.039999999</v>
      </c>
      <c r="E176" s="34">
        <v>25885012.039999999</v>
      </c>
      <c r="F176" s="48">
        <f t="shared" ref="F176:F200" si="35">+E176/D176</f>
        <v>1</v>
      </c>
      <c r="G176" s="34">
        <v>25885012.039999999</v>
      </c>
      <c r="H176" s="48">
        <f t="shared" si="30"/>
        <v>1</v>
      </c>
      <c r="I176" s="34">
        <v>18343268.98</v>
      </c>
      <c r="J176" s="153">
        <f t="shared" si="31"/>
        <v>0.70864440594635325</v>
      </c>
      <c r="K176" s="608">
        <v>20688387.969999999</v>
      </c>
      <c r="L176" s="48">
        <v>1</v>
      </c>
      <c r="M176" s="210">
        <f t="shared" si="33"/>
        <v>0.25118554802508375</v>
      </c>
      <c r="N176" s="608">
        <v>7783185.0199999996</v>
      </c>
      <c r="O176" s="48">
        <v>0.37621031814012329</v>
      </c>
      <c r="P176" s="210">
        <f t="shared" si="34"/>
        <v>1.3567818229766302</v>
      </c>
    </row>
    <row r="177" spans="1:16" x14ac:dyDescent="0.2">
      <c r="A177" s="37" t="s">
        <v>683</v>
      </c>
      <c r="B177" s="38" t="s">
        <v>685</v>
      </c>
      <c r="C177" s="200">
        <v>7512544.6100000003</v>
      </c>
      <c r="D177" s="206">
        <v>7176607.75</v>
      </c>
      <c r="E177" s="34">
        <v>4229145.78</v>
      </c>
      <c r="F177" s="48">
        <f t="shared" si="35"/>
        <v>0.58929593581312845</v>
      </c>
      <c r="G177" s="34">
        <v>3164512.64</v>
      </c>
      <c r="H177" s="48">
        <f t="shared" si="30"/>
        <v>0.44094825163044477</v>
      </c>
      <c r="I177" s="34">
        <v>2428036.5099999998</v>
      </c>
      <c r="J177" s="153">
        <f t="shared" si="31"/>
        <v>0.33832648997710651</v>
      </c>
      <c r="K177" s="608">
        <v>3210694.82</v>
      </c>
      <c r="L177" s="48">
        <v>0.43791688465422912</v>
      </c>
      <c r="M177" s="210">
        <f t="shared" si="33"/>
        <v>-1.438385850698809E-2</v>
      </c>
      <c r="N177" s="608">
        <v>2926106.53</v>
      </c>
      <c r="O177" s="48">
        <v>0.39910098206842237</v>
      </c>
      <c r="P177" s="210">
        <f t="shared" si="34"/>
        <v>-0.17021595587635696</v>
      </c>
    </row>
    <row r="178" spans="1:16" x14ac:dyDescent="0.2">
      <c r="A178" s="39" t="s">
        <v>686</v>
      </c>
      <c r="B178" s="40" t="s">
        <v>687</v>
      </c>
      <c r="C178" s="200">
        <v>2743104</v>
      </c>
      <c r="D178" s="206">
        <v>9192228.8699999992</v>
      </c>
      <c r="E178" s="34">
        <v>4767547.59</v>
      </c>
      <c r="F178" s="280">
        <f t="shared" si="35"/>
        <v>0.51864979184313986</v>
      </c>
      <c r="G178" s="34">
        <v>4326622.5599999996</v>
      </c>
      <c r="H178" s="280">
        <f t="shared" si="30"/>
        <v>0.47068264086857969</v>
      </c>
      <c r="I178" s="34">
        <v>3890732.7</v>
      </c>
      <c r="J178" s="178">
        <f t="shared" si="31"/>
        <v>0.42326325367048878</v>
      </c>
      <c r="K178" s="609">
        <v>6252565.2999999998</v>
      </c>
      <c r="L178" s="280">
        <v>0.56487738763058459</v>
      </c>
      <c r="M178" s="211">
        <f t="shared" si="33"/>
        <v>-0.30802441039680151</v>
      </c>
      <c r="N178" s="609">
        <v>5904539.5499999998</v>
      </c>
      <c r="O178" s="280">
        <v>0.53343559261435747</v>
      </c>
      <c r="P178" s="211">
        <f t="shared" si="34"/>
        <v>-0.34106077755038489</v>
      </c>
    </row>
    <row r="179" spans="1:16" x14ac:dyDescent="0.2">
      <c r="A179" s="39" t="s">
        <v>688</v>
      </c>
      <c r="B179" s="40" t="s">
        <v>689</v>
      </c>
      <c r="C179" s="200">
        <v>36360768.060000002</v>
      </c>
      <c r="D179" s="206">
        <v>41774614.119999997</v>
      </c>
      <c r="E179" s="34">
        <v>34056395.789999999</v>
      </c>
      <c r="F179" s="280">
        <f t="shared" si="35"/>
        <v>0.81524142131321742</v>
      </c>
      <c r="G179" s="34">
        <v>30776198.82</v>
      </c>
      <c r="H179" s="280">
        <f t="shared" si="30"/>
        <v>0.73672012221569749</v>
      </c>
      <c r="I179" s="34">
        <v>30126674.82</v>
      </c>
      <c r="J179" s="178">
        <f t="shared" si="31"/>
        <v>0.72117182778659261</v>
      </c>
      <c r="K179" s="609">
        <v>28260158.649999999</v>
      </c>
      <c r="L179" s="280">
        <v>0.86935467492288998</v>
      </c>
      <c r="M179" s="211">
        <f t="shared" si="33"/>
        <v>8.9031353332476915E-2</v>
      </c>
      <c r="N179" s="609">
        <v>27980158.649999999</v>
      </c>
      <c r="O179" s="280">
        <v>0.86074115962054731</v>
      </c>
      <c r="P179" s="211">
        <f t="shared" si="34"/>
        <v>7.6715654005056866E-2</v>
      </c>
    </row>
    <row r="180" spans="1:16" x14ac:dyDescent="0.2">
      <c r="A180" s="659" t="s">
        <v>690</v>
      </c>
      <c r="B180" s="655" t="s">
        <v>691</v>
      </c>
      <c r="C180" s="654">
        <v>1922280</v>
      </c>
      <c r="D180" s="397">
        <v>1922280</v>
      </c>
      <c r="E180" s="398">
        <v>1604001.47</v>
      </c>
      <c r="F180" s="412">
        <f t="shared" si="35"/>
        <v>0.83442655076263605</v>
      </c>
      <c r="G180" s="398">
        <v>1604001.47</v>
      </c>
      <c r="H180" s="412">
        <f t="shared" si="30"/>
        <v>0.83442655076263605</v>
      </c>
      <c r="I180" s="398">
        <v>291411.46999999997</v>
      </c>
      <c r="J180" s="427">
        <f t="shared" si="31"/>
        <v>0.15159678610816321</v>
      </c>
      <c r="K180" s="657">
        <v>334500</v>
      </c>
      <c r="L180" s="412">
        <v>0.37913134152423267</v>
      </c>
      <c r="M180" s="211">
        <f t="shared" si="33"/>
        <v>3.7952211360239163</v>
      </c>
      <c r="N180" s="657">
        <v>129500</v>
      </c>
      <c r="O180" s="412">
        <v>0.14677880038083149</v>
      </c>
      <c r="P180" s="211">
        <f t="shared" si="34"/>
        <v>1.2502816216216215</v>
      </c>
    </row>
    <row r="181" spans="1:16" ht="15.75" thickBot="1" x14ac:dyDescent="0.3">
      <c r="A181" s="7" t="s">
        <v>19</v>
      </c>
      <c r="N181" s="97"/>
    </row>
    <row r="182" spans="1:16" ht="12.75" customHeight="1" x14ac:dyDescent="0.2">
      <c r="A182" s="8" t="s">
        <v>757</v>
      </c>
      <c r="C182" s="164" t="s">
        <v>765</v>
      </c>
      <c r="D182" s="754" t="s">
        <v>784</v>
      </c>
      <c r="E182" s="752"/>
      <c r="F182" s="752"/>
      <c r="G182" s="752"/>
      <c r="H182" s="752"/>
      <c r="I182" s="752"/>
      <c r="J182" s="753"/>
      <c r="K182" s="763" t="s">
        <v>785</v>
      </c>
      <c r="L182" s="761"/>
      <c r="M182" s="761"/>
      <c r="N182" s="761"/>
      <c r="O182" s="761"/>
      <c r="P182" s="764"/>
    </row>
    <row r="183" spans="1:16" ht="12.75" customHeight="1" x14ac:dyDescent="0.2">
      <c r="A183" s="8" t="s">
        <v>148</v>
      </c>
      <c r="C183" s="157">
        <v>1</v>
      </c>
      <c r="D183" s="148">
        <v>2</v>
      </c>
      <c r="E183" s="87">
        <v>3</v>
      </c>
      <c r="F183" s="88" t="s">
        <v>36</v>
      </c>
      <c r="G183" s="87">
        <v>4</v>
      </c>
      <c r="H183" s="88" t="s">
        <v>37</v>
      </c>
      <c r="I183" s="87">
        <v>5</v>
      </c>
      <c r="J183" s="149" t="s">
        <v>38</v>
      </c>
      <c r="K183" s="87" t="s">
        <v>543</v>
      </c>
      <c r="L183" s="88" t="s">
        <v>544</v>
      </c>
      <c r="M183" s="88" t="s">
        <v>545</v>
      </c>
      <c r="N183" s="87" t="s">
        <v>39</v>
      </c>
      <c r="O183" s="88" t="s">
        <v>40</v>
      </c>
      <c r="P183" s="604" t="s">
        <v>362</v>
      </c>
    </row>
    <row r="184" spans="1:16" ht="14.1" customHeight="1" x14ac:dyDescent="0.2">
      <c r="A184" s="673"/>
      <c r="B184" s="2" t="s">
        <v>425</v>
      </c>
      <c r="C184" s="248" t="s">
        <v>13</v>
      </c>
      <c r="D184" s="249" t="s">
        <v>14</v>
      </c>
      <c r="E184" s="89" t="s">
        <v>15</v>
      </c>
      <c r="F184" s="89" t="s">
        <v>18</v>
      </c>
      <c r="G184" s="89" t="s">
        <v>16</v>
      </c>
      <c r="H184" s="89" t="s">
        <v>18</v>
      </c>
      <c r="I184" s="89" t="s">
        <v>17</v>
      </c>
      <c r="J184" s="113" t="s">
        <v>18</v>
      </c>
      <c r="K184" s="89" t="s">
        <v>16</v>
      </c>
      <c r="L184" s="89" t="s">
        <v>18</v>
      </c>
      <c r="M184" s="606" t="s">
        <v>764</v>
      </c>
      <c r="N184" s="557" t="s">
        <v>17</v>
      </c>
      <c r="O184" s="89" t="s">
        <v>18</v>
      </c>
      <c r="P184" s="605" t="s">
        <v>764</v>
      </c>
    </row>
    <row r="185" spans="1:16" x14ac:dyDescent="0.2">
      <c r="A185" s="37" t="s">
        <v>692</v>
      </c>
      <c r="B185" s="40" t="s">
        <v>693</v>
      </c>
      <c r="C185" s="524">
        <v>10510570.890000001</v>
      </c>
      <c r="D185" s="511">
        <v>12654771.609999999</v>
      </c>
      <c r="E185" s="180">
        <v>9665014.2699999996</v>
      </c>
      <c r="F185" s="48">
        <f t="shared" si="35"/>
        <v>0.76374466231872196</v>
      </c>
      <c r="G185" s="180">
        <v>9640014.2699999996</v>
      </c>
      <c r="H185" s="48">
        <f t="shared" si="30"/>
        <v>0.76176912291189114</v>
      </c>
      <c r="I185" s="180">
        <v>9117243.7300000004</v>
      </c>
      <c r="J185" s="153">
        <f t="shared" si="31"/>
        <v>0.72045897081188026</v>
      </c>
      <c r="K185" s="608">
        <v>11989313.550000001</v>
      </c>
      <c r="L185" s="48">
        <v>0.99121518604071446</v>
      </c>
      <c r="M185" s="210">
        <f>+G185/K185-1</f>
        <v>-0.19594944032471329</v>
      </c>
      <c r="N185" s="608">
        <v>9489313.5500000007</v>
      </c>
      <c r="O185" s="48">
        <v>0.78452795955627685</v>
      </c>
      <c r="P185" s="210">
        <f>+I185/N185-1</f>
        <v>-3.9209350396056886E-2</v>
      </c>
    </row>
    <row r="186" spans="1:16" x14ac:dyDescent="0.2">
      <c r="A186" s="39" t="s">
        <v>694</v>
      </c>
      <c r="B186" s="40" t="s">
        <v>695</v>
      </c>
      <c r="C186" s="200">
        <v>1031566.99</v>
      </c>
      <c r="D186" s="206">
        <v>1237310.94</v>
      </c>
      <c r="E186" s="34">
        <v>897905.92</v>
      </c>
      <c r="F186" s="280">
        <f t="shared" si="35"/>
        <v>0.72569140946898936</v>
      </c>
      <c r="G186" s="34">
        <v>624765.31000000006</v>
      </c>
      <c r="H186" s="280">
        <f t="shared" si="30"/>
        <v>0.50493799885095991</v>
      </c>
      <c r="I186" s="34">
        <v>432514.38</v>
      </c>
      <c r="J186" s="178">
        <f t="shared" si="31"/>
        <v>0.34955997398681371</v>
      </c>
      <c r="K186" s="609">
        <v>723222.68</v>
      </c>
      <c r="L186" s="280">
        <v>0.58847283451859733</v>
      </c>
      <c r="M186" s="211">
        <f>+G186/K186-1</f>
        <v>-0.1361370055485539</v>
      </c>
      <c r="N186" s="609">
        <v>400591.13</v>
      </c>
      <c r="O186" s="280">
        <v>0.32595354691325207</v>
      </c>
      <c r="P186" s="211">
        <f t="shared" ref="P186:P193" si="36">+I186/N186-1</f>
        <v>7.9690356598759449E-2</v>
      </c>
    </row>
    <row r="187" spans="1:16" x14ac:dyDescent="0.2">
      <c r="A187" s="39" t="s">
        <v>696</v>
      </c>
      <c r="B187" s="40" t="s">
        <v>697</v>
      </c>
      <c r="C187" s="200">
        <v>4649794.68</v>
      </c>
      <c r="D187" s="206">
        <v>5987503.5800000001</v>
      </c>
      <c r="E187" s="34">
        <v>4408851.4800000004</v>
      </c>
      <c r="F187" s="280">
        <f t="shared" si="35"/>
        <v>0.73634218687181152</v>
      </c>
      <c r="G187" s="34">
        <v>2198334.0499999998</v>
      </c>
      <c r="H187" s="280">
        <f t="shared" si="30"/>
        <v>0.36715369279161247</v>
      </c>
      <c r="I187" s="34">
        <v>1683126.25</v>
      </c>
      <c r="J187" s="178">
        <f t="shared" si="31"/>
        <v>0.28110651250750485</v>
      </c>
      <c r="K187" s="684">
        <v>1224580.1299999999</v>
      </c>
      <c r="L187" s="418">
        <v>0.33141546143437073</v>
      </c>
      <c r="M187" s="211">
        <f>+G187/K187-1</f>
        <v>0.79517370578273217</v>
      </c>
      <c r="N187" s="684">
        <v>571004.24</v>
      </c>
      <c r="O187" s="280">
        <v>0.15453430040595398</v>
      </c>
      <c r="P187" s="211">
        <f t="shared" si="36"/>
        <v>1.947659810722246</v>
      </c>
    </row>
    <row r="188" spans="1:16" x14ac:dyDescent="0.2">
      <c r="A188" s="39" t="s">
        <v>698</v>
      </c>
      <c r="B188" s="40" t="s">
        <v>700</v>
      </c>
      <c r="C188" s="200">
        <v>145653002</v>
      </c>
      <c r="D188" s="206">
        <v>146811840.03</v>
      </c>
      <c r="E188" s="34">
        <v>138918866.52000001</v>
      </c>
      <c r="F188" s="280">
        <f t="shared" si="35"/>
        <v>0.94623748664694129</v>
      </c>
      <c r="G188" s="34">
        <v>138660538.15000001</v>
      </c>
      <c r="H188" s="280">
        <f t="shared" si="30"/>
        <v>0.94447789852416308</v>
      </c>
      <c r="I188" s="34">
        <v>99877091.079999998</v>
      </c>
      <c r="J188" s="178">
        <f t="shared" si="31"/>
        <v>0.68030678628910857</v>
      </c>
      <c r="K188" s="684">
        <v>111313052</v>
      </c>
      <c r="L188" s="418">
        <v>0.77122180229526982</v>
      </c>
      <c r="M188" s="211">
        <f t="shared" ref="M188:M193" si="37">+G188/K188-1</f>
        <v>0.24568085825191477</v>
      </c>
      <c r="N188" s="684">
        <v>107839891.08</v>
      </c>
      <c r="O188" s="280">
        <v>0.74715834004841752</v>
      </c>
      <c r="P188" s="211">
        <f t="shared" si="36"/>
        <v>-7.3839095350095141E-2</v>
      </c>
    </row>
    <row r="189" spans="1:16" x14ac:dyDescent="0.2">
      <c r="A189" s="39" t="s">
        <v>699</v>
      </c>
      <c r="B189" s="40" t="s">
        <v>701</v>
      </c>
      <c r="C189" s="200">
        <v>16809054</v>
      </c>
      <c r="D189" s="206">
        <v>15609054</v>
      </c>
      <c r="E189" s="34">
        <v>14327012</v>
      </c>
      <c r="F189" s="280">
        <f t="shared" si="35"/>
        <v>0.91786549011874774</v>
      </c>
      <c r="G189" s="34">
        <v>14327012</v>
      </c>
      <c r="H189" s="280">
        <f t="shared" si="30"/>
        <v>0.91786549011874774</v>
      </c>
      <c r="I189" s="34">
        <v>11695346.74</v>
      </c>
      <c r="J189" s="178">
        <f t="shared" si="31"/>
        <v>0.74926685114933933</v>
      </c>
      <c r="K189" s="609">
        <v>16692043</v>
      </c>
      <c r="L189" s="280">
        <v>1</v>
      </c>
      <c r="M189" s="211">
        <f t="shared" si="37"/>
        <v>-0.14168613152985532</v>
      </c>
      <c r="N189" s="609">
        <v>11932244.800000001</v>
      </c>
      <c r="O189" s="280">
        <v>0.71484627735502482</v>
      </c>
      <c r="P189" s="211">
        <f t="shared" si="36"/>
        <v>-1.985360374101619E-2</v>
      </c>
    </row>
    <row r="190" spans="1:16" x14ac:dyDescent="0.2">
      <c r="A190" s="39">
        <v>4591</v>
      </c>
      <c r="B190" s="40" t="s">
        <v>760</v>
      </c>
      <c r="C190" s="200">
        <v>0</v>
      </c>
      <c r="D190" s="642">
        <v>0</v>
      </c>
      <c r="E190" s="718">
        <v>0</v>
      </c>
      <c r="F190" s="280" t="s">
        <v>129</v>
      </c>
      <c r="G190" s="718">
        <v>0</v>
      </c>
      <c r="H190" s="280" t="s">
        <v>129</v>
      </c>
      <c r="I190" s="718">
        <v>0</v>
      </c>
      <c r="J190" s="178" t="s">
        <v>129</v>
      </c>
      <c r="K190" s="609"/>
      <c r="L190" s="280"/>
      <c r="M190" s="211" t="s">
        <v>129</v>
      </c>
      <c r="N190" s="609"/>
      <c r="O190" s="280"/>
      <c r="P190" s="211" t="s">
        <v>129</v>
      </c>
    </row>
    <row r="191" spans="1:16" x14ac:dyDescent="0.2">
      <c r="A191" s="39">
        <v>4911</v>
      </c>
      <c r="B191" s="40" t="s">
        <v>702</v>
      </c>
      <c r="C191" s="200">
        <v>34765352.369999997</v>
      </c>
      <c r="D191" s="206">
        <v>37554235.039999999</v>
      </c>
      <c r="E191" s="34">
        <v>36578865.229999997</v>
      </c>
      <c r="F191" s="280">
        <f t="shared" si="35"/>
        <v>0.97402770129757377</v>
      </c>
      <c r="G191" s="34">
        <v>36578865.229999997</v>
      </c>
      <c r="H191" s="280">
        <f t="shared" si="30"/>
        <v>0.97402770129757377</v>
      </c>
      <c r="I191" s="34">
        <v>16261418.960000001</v>
      </c>
      <c r="J191" s="178">
        <f t="shared" si="31"/>
        <v>0.43301158824509506</v>
      </c>
      <c r="K191" s="609">
        <v>5032665.9400000004</v>
      </c>
      <c r="L191" s="280">
        <v>1</v>
      </c>
      <c r="M191" s="211">
        <f t="shared" si="37"/>
        <v>6.2682879543560555</v>
      </c>
      <c r="N191" s="609">
        <v>0</v>
      </c>
      <c r="O191" s="280">
        <v>0</v>
      </c>
      <c r="P191" s="211" t="s">
        <v>129</v>
      </c>
    </row>
    <row r="192" spans="1:16" x14ac:dyDescent="0.2">
      <c r="A192" s="659" t="s">
        <v>703</v>
      </c>
      <c r="B192" s="655" t="s">
        <v>704</v>
      </c>
      <c r="C192" s="654">
        <v>1548192.01</v>
      </c>
      <c r="D192" s="397">
        <v>1477254.95</v>
      </c>
      <c r="E192" s="398">
        <v>1135249.17</v>
      </c>
      <c r="F192" s="412">
        <f t="shared" si="35"/>
        <v>0.76848560906836016</v>
      </c>
      <c r="G192" s="398">
        <v>1025461.79</v>
      </c>
      <c r="H192" s="412">
        <f t="shared" si="30"/>
        <v>0.6941671036539766</v>
      </c>
      <c r="I192" s="398">
        <v>987323.95</v>
      </c>
      <c r="J192" s="427">
        <f t="shared" si="31"/>
        <v>0.66835040897984466</v>
      </c>
      <c r="K192" s="609">
        <v>15669752</v>
      </c>
      <c r="L192" s="280">
        <v>1</v>
      </c>
      <c r="M192" s="211">
        <f t="shared" si="37"/>
        <v>-0.93455788004813345</v>
      </c>
      <c r="N192" s="609">
        <v>12300000</v>
      </c>
      <c r="O192" s="412">
        <v>0.78495179757790678</v>
      </c>
      <c r="P192" s="211">
        <f t="shared" si="36"/>
        <v>-0.91972976016260166</v>
      </c>
    </row>
    <row r="193" spans="1:16" x14ac:dyDescent="0.2">
      <c r="A193" s="250" t="s">
        <v>790</v>
      </c>
      <c r="B193" s="736" t="s">
        <v>789</v>
      </c>
      <c r="C193" s="524">
        <v>0</v>
      </c>
      <c r="D193" s="511">
        <v>0</v>
      </c>
      <c r="E193" s="180">
        <v>0</v>
      </c>
      <c r="F193" s="78" t="s">
        <v>129</v>
      </c>
      <c r="G193" s="180">
        <v>0</v>
      </c>
      <c r="H193" s="78" t="s">
        <v>129</v>
      </c>
      <c r="I193" s="180">
        <v>0</v>
      </c>
      <c r="J193" s="172" t="s">
        <v>129</v>
      </c>
      <c r="K193" s="607">
        <v>1143645.6000000001</v>
      </c>
      <c r="L193" s="78">
        <v>0.66414755948047477</v>
      </c>
      <c r="M193" s="211">
        <f t="shared" si="37"/>
        <v>-1</v>
      </c>
      <c r="N193" s="607">
        <v>1101384.55</v>
      </c>
      <c r="O193" s="78">
        <v>0.63960536457448092</v>
      </c>
      <c r="P193" s="211">
        <f t="shared" si="36"/>
        <v>-1</v>
      </c>
    </row>
    <row r="194" spans="1:16" x14ac:dyDescent="0.2">
      <c r="A194" s="18">
        <v>4</v>
      </c>
      <c r="B194" s="513" t="s">
        <v>123</v>
      </c>
      <c r="C194" s="201">
        <f>SUM(C175:C180,C185:C192)</f>
        <v>298186053.5</v>
      </c>
      <c r="D194" s="207">
        <f>SUM(D175:D180,D185:D192)</f>
        <v>312409950.69999999</v>
      </c>
      <c r="E194" s="203">
        <f>SUM(E175:E180,E185:E192)</f>
        <v>280390833.33000004</v>
      </c>
      <c r="F194" s="90">
        <f t="shared" si="35"/>
        <v>0.8975092909228517</v>
      </c>
      <c r="G194" s="203">
        <f>SUM(G175:G180,G185:G192)</f>
        <v>272660110.65000004</v>
      </c>
      <c r="H194" s="90">
        <f t="shared" si="30"/>
        <v>0.8727638477553783</v>
      </c>
      <c r="I194" s="203">
        <f>SUM(I175:I180,I185:I192)</f>
        <v>198951973.91999999</v>
      </c>
      <c r="J194" s="170">
        <f t="shared" si="31"/>
        <v>0.63682982399958488</v>
      </c>
      <c r="K194" s="561">
        <f>SUM(K175:K193)</f>
        <v>226384315.44999999</v>
      </c>
      <c r="L194" s="90">
        <v>0.81466584163632239</v>
      </c>
      <c r="M194" s="213">
        <f t="shared" ref="M194:M200" si="38">+G194/K194-1</f>
        <v>0.20441254999496938</v>
      </c>
      <c r="N194" s="561">
        <f>SUBTOTAL(9,N175:N193)</f>
        <v>192128357.54000002</v>
      </c>
      <c r="O194" s="90">
        <v>0.69139246588882175</v>
      </c>
      <c r="P194" s="213">
        <f t="shared" ref="P194:P200" si="39">+I194/N194-1</f>
        <v>3.5515925225037881E-2</v>
      </c>
    </row>
    <row r="195" spans="1:16" x14ac:dyDescent="0.2">
      <c r="A195" s="37" t="s">
        <v>705</v>
      </c>
      <c r="B195" s="38" t="s">
        <v>113</v>
      </c>
      <c r="C195" s="198">
        <v>22797084.350000001</v>
      </c>
      <c r="D195" s="511">
        <v>23240554.260000002</v>
      </c>
      <c r="E195" s="180">
        <v>19203423.91</v>
      </c>
      <c r="F195" s="48">
        <f t="shared" si="35"/>
        <v>0.82628941182575733</v>
      </c>
      <c r="G195" s="472">
        <v>18781423.91</v>
      </c>
      <c r="H195" s="48">
        <f t="shared" si="30"/>
        <v>0.8081314972046626</v>
      </c>
      <c r="I195" s="30">
        <v>18131084.07</v>
      </c>
      <c r="J195" s="153">
        <f t="shared" si="31"/>
        <v>0.78014852258519241</v>
      </c>
      <c r="K195" s="608">
        <v>19072416.739999998</v>
      </c>
      <c r="L195" s="48">
        <v>0.82306600164375354</v>
      </c>
      <c r="M195" s="210">
        <f t="shared" si="38"/>
        <v>-1.525726047028475E-2</v>
      </c>
      <c r="N195" s="608">
        <v>19026827.850000001</v>
      </c>
      <c r="O195" s="48">
        <v>0.82109862299828917</v>
      </c>
      <c r="P195" s="210">
        <f t="shared" si="39"/>
        <v>-4.7077935800002635E-2</v>
      </c>
    </row>
    <row r="196" spans="1:16" x14ac:dyDescent="0.2">
      <c r="A196" s="37" t="s">
        <v>706</v>
      </c>
      <c r="B196" s="38" t="s">
        <v>707</v>
      </c>
      <c r="C196" s="524">
        <v>7386447.1399999997</v>
      </c>
      <c r="D196" s="689">
        <v>7001876.4900000002</v>
      </c>
      <c r="E196" s="690">
        <v>5108885.76</v>
      </c>
      <c r="F196" s="48">
        <f t="shared" si="35"/>
        <v>0.72964522686117816</v>
      </c>
      <c r="G196" s="180">
        <v>4712308.5</v>
      </c>
      <c r="H196" s="48">
        <f t="shared" si="30"/>
        <v>0.67300651571476089</v>
      </c>
      <c r="I196" s="180">
        <v>4286420.8099999996</v>
      </c>
      <c r="J196" s="153">
        <f t="shared" si="31"/>
        <v>0.61218172244566393</v>
      </c>
      <c r="K196" s="608">
        <v>5616571.79</v>
      </c>
      <c r="L196" s="48">
        <v>0.69928707781272181</v>
      </c>
      <c r="M196" s="210">
        <f>+G196/K196-1</f>
        <v>-0.16099915104975449</v>
      </c>
      <c r="N196" s="608">
        <v>5396136.4699999997</v>
      </c>
      <c r="O196" s="48">
        <v>0.67184194285620558</v>
      </c>
      <c r="P196" s="210">
        <f t="shared" si="39"/>
        <v>-0.20565003612668087</v>
      </c>
    </row>
    <row r="197" spans="1:16" x14ac:dyDescent="0.2">
      <c r="A197" s="39" t="s">
        <v>708</v>
      </c>
      <c r="B197" s="40" t="s">
        <v>709</v>
      </c>
      <c r="C197" s="200">
        <v>53388679.920000002</v>
      </c>
      <c r="D197" s="206">
        <v>57878134.829999998</v>
      </c>
      <c r="E197" s="34">
        <v>41598465.939999998</v>
      </c>
      <c r="F197" s="48">
        <f t="shared" si="35"/>
        <v>0.71872506020076943</v>
      </c>
      <c r="G197" s="34">
        <v>38781621.68</v>
      </c>
      <c r="H197" s="48">
        <f t="shared" si="30"/>
        <v>0.67005652123914516</v>
      </c>
      <c r="I197" s="34">
        <v>33699573.780000001</v>
      </c>
      <c r="J197" s="153">
        <f t="shared" si="31"/>
        <v>0.58225051444699438</v>
      </c>
      <c r="K197" s="609">
        <v>40536422.07</v>
      </c>
      <c r="L197" s="280">
        <v>0.73399135898186574</v>
      </c>
      <c r="M197" s="211">
        <f t="shared" si="38"/>
        <v>-4.3289474018445406E-2</v>
      </c>
      <c r="N197" s="609">
        <v>35290687.030000001</v>
      </c>
      <c r="O197" s="280">
        <v>0.6390070462514652</v>
      </c>
      <c r="P197" s="211">
        <f t="shared" si="39"/>
        <v>-4.5085924472012207E-2</v>
      </c>
    </row>
    <row r="198" spans="1:16" x14ac:dyDescent="0.2">
      <c r="A198" s="39" t="s">
        <v>710</v>
      </c>
      <c r="B198" s="40" t="s">
        <v>711</v>
      </c>
      <c r="C198" s="200">
        <v>877692.04</v>
      </c>
      <c r="D198" s="206">
        <v>894429.59</v>
      </c>
      <c r="E198" s="34">
        <v>721918.17</v>
      </c>
      <c r="F198" s="48">
        <f t="shared" si="35"/>
        <v>0.80712688630974305</v>
      </c>
      <c r="G198" s="34">
        <v>715489.71</v>
      </c>
      <c r="H198" s="48">
        <f t="shared" si="30"/>
        <v>0.79993966881171719</v>
      </c>
      <c r="I198" s="34">
        <v>714265.07</v>
      </c>
      <c r="J198" s="153">
        <f t="shared" si="31"/>
        <v>0.79857048334011393</v>
      </c>
      <c r="K198" s="609">
        <v>784068.09</v>
      </c>
      <c r="L198" s="280">
        <v>0.83117143110743219</v>
      </c>
      <c r="M198" s="211">
        <f t="shared" si="38"/>
        <v>-8.7464827193770911E-2</v>
      </c>
      <c r="N198" s="609">
        <v>768530</v>
      </c>
      <c r="O198" s="280">
        <v>0.81469988142100636</v>
      </c>
      <c r="P198" s="211">
        <f t="shared" si="39"/>
        <v>-7.0608733556269843E-2</v>
      </c>
    </row>
    <row r="199" spans="1:16" x14ac:dyDescent="0.2">
      <c r="A199" s="39" t="s">
        <v>712</v>
      </c>
      <c r="B199" s="40" t="s">
        <v>713</v>
      </c>
      <c r="C199" s="200">
        <v>4144550.55</v>
      </c>
      <c r="D199" s="206">
        <v>4308023.99</v>
      </c>
      <c r="E199" s="34">
        <v>3682003.63</v>
      </c>
      <c r="F199" s="48">
        <f t="shared" si="35"/>
        <v>0.85468503391505013</v>
      </c>
      <c r="G199" s="34">
        <v>3521884.23</v>
      </c>
      <c r="H199" s="48">
        <f t="shared" si="30"/>
        <v>0.81751732074268224</v>
      </c>
      <c r="I199" s="34">
        <v>3201500.62</v>
      </c>
      <c r="J199" s="153">
        <f t="shared" si="31"/>
        <v>0.74314828037900504</v>
      </c>
      <c r="K199" s="609">
        <v>3783869.09</v>
      </c>
      <c r="L199" s="280">
        <v>0.8239606002379134</v>
      </c>
      <c r="M199" s="211">
        <f t="shared" si="38"/>
        <v>-6.9237294887492973E-2</v>
      </c>
      <c r="N199" s="609">
        <v>3506208.06</v>
      </c>
      <c r="O199" s="280">
        <v>0.76349821544080165</v>
      </c>
      <c r="P199" s="211">
        <f t="shared" si="39"/>
        <v>-8.6905122224834486E-2</v>
      </c>
    </row>
    <row r="200" spans="1:16" x14ac:dyDescent="0.2">
      <c r="A200" s="39" t="s">
        <v>714</v>
      </c>
      <c r="B200" s="40" t="s">
        <v>715</v>
      </c>
      <c r="C200" s="200">
        <v>7218581.6100000003</v>
      </c>
      <c r="D200" s="206">
        <v>7745991.6799999997</v>
      </c>
      <c r="E200" s="34">
        <v>6388034.5</v>
      </c>
      <c r="F200" s="48">
        <f t="shared" si="35"/>
        <v>0.82468904743259419</v>
      </c>
      <c r="G200" s="34">
        <v>6062802.75</v>
      </c>
      <c r="H200" s="48">
        <f t="shared" si="30"/>
        <v>0.78270194449782837</v>
      </c>
      <c r="I200" s="34">
        <v>5718199.5</v>
      </c>
      <c r="J200" s="153">
        <f t="shared" si="31"/>
        <v>0.73821399973411794</v>
      </c>
      <c r="K200" s="609">
        <v>5676942.7000000002</v>
      </c>
      <c r="L200" s="280">
        <v>0.79386857049150983</v>
      </c>
      <c r="M200" s="211">
        <f t="shared" si="38"/>
        <v>6.7969692560046369E-2</v>
      </c>
      <c r="N200" s="609">
        <v>5335611.0599999996</v>
      </c>
      <c r="O200" s="280">
        <v>0.74613645913686766</v>
      </c>
      <c r="P200" s="211">
        <f t="shared" si="39"/>
        <v>7.1704709300906222E-2</v>
      </c>
    </row>
    <row r="201" spans="1:16" x14ac:dyDescent="0.2">
      <c r="A201" s="39" t="s">
        <v>716</v>
      </c>
      <c r="B201" s="40" t="s">
        <v>717</v>
      </c>
      <c r="C201" s="200">
        <v>1128377.3799999999</v>
      </c>
      <c r="D201" s="206">
        <v>0</v>
      </c>
      <c r="E201" s="34">
        <v>0</v>
      </c>
      <c r="F201" s="48" t="s">
        <v>129</v>
      </c>
      <c r="G201" s="34">
        <v>0</v>
      </c>
      <c r="H201" s="48" t="s">
        <v>129</v>
      </c>
      <c r="I201" s="34">
        <v>0</v>
      </c>
      <c r="J201" s="153" t="s">
        <v>129</v>
      </c>
      <c r="K201" s="609">
        <v>0</v>
      </c>
      <c r="L201" s="418" t="s">
        <v>129</v>
      </c>
      <c r="M201" s="212" t="s">
        <v>129</v>
      </c>
      <c r="N201" s="609">
        <v>0</v>
      </c>
      <c r="O201" s="418" t="s">
        <v>129</v>
      </c>
      <c r="P201" s="211" t="s">
        <v>129</v>
      </c>
    </row>
    <row r="202" spans="1:16" x14ac:dyDescent="0.2">
      <c r="A202" s="39" t="s">
        <v>718</v>
      </c>
      <c r="B202" s="40" t="s">
        <v>719</v>
      </c>
      <c r="C202" s="200">
        <v>2204546.69</v>
      </c>
      <c r="D202" s="206">
        <v>2367200.3199999998</v>
      </c>
      <c r="E202" s="34">
        <v>2014968.84</v>
      </c>
      <c r="F202" s="48">
        <f t="shared" ref="F202:F216" si="40">+E202/D202</f>
        <v>0.85120334894175764</v>
      </c>
      <c r="G202" s="34">
        <v>1967777.32</v>
      </c>
      <c r="H202" s="48">
        <f t="shared" ref="H202:H216" si="41">+G202/D202</f>
        <v>0.83126776528992707</v>
      </c>
      <c r="I202" s="34">
        <v>1838338.44</v>
      </c>
      <c r="J202" s="153">
        <f t="shared" ref="J202:J216" si="42">+I202/D202</f>
        <v>0.77658761046466906</v>
      </c>
      <c r="K202" s="609">
        <v>1938456.16</v>
      </c>
      <c r="L202" s="280">
        <v>0.79081516500640814</v>
      </c>
      <c r="M202" s="211">
        <f>+G202/K202-1</f>
        <v>1.5126037206846243E-2</v>
      </c>
      <c r="N202" s="609">
        <v>1813632.6</v>
      </c>
      <c r="O202" s="280">
        <v>0.73989197869195089</v>
      </c>
      <c r="P202" s="211">
        <f>+I202/N202-1</f>
        <v>1.3622295937997464E-2</v>
      </c>
    </row>
    <row r="203" spans="1:16" x14ac:dyDescent="0.2">
      <c r="A203" s="39" t="s">
        <v>720</v>
      </c>
      <c r="B203" s="40" t="s">
        <v>721</v>
      </c>
      <c r="C203" s="200">
        <v>14812972.529999999</v>
      </c>
      <c r="D203" s="206">
        <v>15637244.720000001</v>
      </c>
      <c r="E203" s="34">
        <v>11687155.130000001</v>
      </c>
      <c r="F203" s="48">
        <f t="shared" si="40"/>
        <v>0.74739222537408756</v>
      </c>
      <c r="G203" s="34">
        <v>11272460.17</v>
      </c>
      <c r="H203" s="48">
        <f t="shared" si="41"/>
        <v>0.72087253041340138</v>
      </c>
      <c r="I203" s="34">
        <v>9472133.7699999996</v>
      </c>
      <c r="J203" s="153">
        <f t="shared" si="42"/>
        <v>0.60574186435063981</v>
      </c>
      <c r="K203" s="609">
        <v>10006213.4</v>
      </c>
      <c r="L203" s="280">
        <v>0.72870129375781345</v>
      </c>
      <c r="M203" s="211">
        <f>+G203/K203-1</f>
        <v>0.12654604887799015</v>
      </c>
      <c r="N203" s="609">
        <v>8988051.8100000005</v>
      </c>
      <c r="O203" s="280">
        <v>0.65455379777421674</v>
      </c>
      <c r="P203" s="211">
        <f>+I203/N203-1</f>
        <v>5.3858385580445312E-2</v>
      </c>
    </row>
    <row r="204" spans="1:16" x14ac:dyDescent="0.2">
      <c r="A204" s="39" t="s">
        <v>722</v>
      </c>
      <c r="B204" s="40" t="s">
        <v>723</v>
      </c>
      <c r="C204" s="200">
        <v>871764.12</v>
      </c>
      <c r="D204" s="206">
        <v>983634.64</v>
      </c>
      <c r="E204" s="34">
        <v>910182.44</v>
      </c>
      <c r="F204" s="48">
        <f t="shared" si="40"/>
        <v>0.925325728666896</v>
      </c>
      <c r="G204" s="34">
        <v>902073.4</v>
      </c>
      <c r="H204" s="48">
        <f t="shared" si="41"/>
        <v>0.91708177337064911</v>
      </c>
      <c r="I204" s="34">
        <v>873214.9</v>
      </c>
      <c r="J204" s="153">
        <f t="shared" si="42"/>
        <v>0.8877431360083049</v>
      </c>
      <c r="K204" s="684">
        <v>380000</v>
      </c>
      <c r="L204" s="418">
        <v>1</v>
      </c>
      <c r="M204" s="211" t="s">
        <v>129</v>
      </c>
      <c r="N204" s="684">
        <v>380000</v>
      </c>
      <c r="O204" s="418">
        <v>1</v>
      </c>
      <c r="P204" s="211" t="s">
        <v>129</v>
      </c>
    </row>
    <row r="205" spans="1:16" x14ac:dyDescent="0.2">
      <c r="A205" s="39" t="s">
        <v>724</v>
      </c>
      <c r="B205" s="40" t="s">
        <v>725</v>
      </c>
      <c r="C205" s="200">
        <v>16719312.35</v>
      </c>
      <c r="D205" s="206">
        <v>17704565.149999999</v>
      </c>
      <c r="E205" s="34">
        <v>15757321.15</v>
      </c>
      <c r="F205" s="48">
        <f t="shared" si="40"/>
        <v>0.8900145819170262</v>
      </c>
      <c r="G205" s="34">
        <v>15732641.85</v>
      </c>
      <c r="H205" s="48">
        <f t="shared" si="41"/>
        <v>0.88862063070778108</v>
      </c>
      <c r="I205" s="34">
        <v>12462911.960000001</v>
      </c>
      <c r="J205" s="153">
        <f t="shared" si="42"/>
        <v>0.70393776149876253</v>
      </c>
      <c r="K205" s="684">
        <v>14343507.43</v>
      </c>
      <c r="L205" s="280">
        <v>0.84496913261935502</v>
      </c>
      <c r="M205" s="211">
        <f t="shared" ref="M205:M214" si="43">+G205/K205-1</f>
        <v>9.6847610445306431E-2</v>
      </c>
      <c r="N205" s="609">
        <v>12406338.9</v>
      </c>
      <c r="O205" s="280">
        <v>0.73085146506001863</v>
      </c>
      <c r="P205" s="211">
        <f>+I205/N205-1</f>
        <v>4.5600124626614669E-3</v>
      </c>
    </row>
    <row r="206" spans="1:16" x14ac:dyDescent="0.2">
      <c r="A206" s="39" t="s">
        <v>726</v>
      </c>
      <c r="B206" s="40" t="s">
        <v>727</v>
      </c>
      <c r="C206" s="200">
        <v>22448323.75</v>
      </c>
      <c r="D206" s="206">
        <v>22569833.359999999</v>
      </c>
      <c r="E206" s="34">
        <v>21365730.5</v>
      </c>
      <c r="F206" s="48">
        <f t="shared" si="40"/>
        <v>0.9466499002985993</v>
      </c>
      <c r="G206" s="34">
        <v>19162846.43</v>
      </c>
      <c r="H206" s="48">
        <f t="shared" si="41"/>
        <v>0.84904687262609013</v>
      </c>
      <c r="I206" s="34">
        <v>13807130.85</v>
      </c>
      <c r="J206" s="153">
        <f t="shared" si="42"/>
        <v>0.6117515636810178</v>
      </c>
      <c r="K206" s="609">
        <v>15373676.93</v>
      </c>
      <c r="L206" s="280">
        <v>0.67454823281127019</v>
      </c>
      <c r="M206" s="211">
        <f t="shared" si="43"/>
        <v>0.24647125845384865</v>
      </c>
      <c r="N206" s="609">
        <v>9179095.4000000004</v>
      </c>
      <c r="O206" s="280">
        <v>0.40274962255734481</v>
      </c>
      <c r="P206" s="211">
        <f>+I206/N206-1</f>
        <v>0.50419297853686085</v>
      </c>
    </row>
    <row r="207" spans="1:16" x14ac:dyDescent="0.2">
      <c r="A207" s="39" t="s">
        <v>728</v>
      </c>
      <c r="B207" s="40" t="s">
        <v>729</v>
      </c>
      <c r="C207" s="200">
        <v>49281328.299999997</v>
      </c>
      <c r="D207" s="206">
        <v>52058574.170000002</v>
      </c>
      <c r="E207" s="34">
        <v>51735580.880000003</v>
      </c>
      <c r="F207" s="48">
        <f t="shared" si="40"/>
        <v>0.99379557939974983</v>
      </c>
      <c r="G207" s="34">
        <v>51229215.240000002</v>
      </c>
      <c r="H207" s="48">
        <f t="shared" si="41"/>
        <v>0.984068735204086</v>
      </c>
      <c r="I207" s="34">
        <v>46840448.710000001</v>
      </c>
      <c r="J207" s="153">
        <f t="shared" si="42"/>
        <v>0.89976434154804286</v>
      </c>
      <c r="K207" s="609">
        <v>55284018.350000001</v>
      </c>
      <c r="L207" s="280">
        <v>0.95076727699506269</v>
      </c>
      <c r="M207" s="211">
        <f t="shared" si="43"/>
        <v>-7.3344941829829868E-2</v>
      </c>
      <c r="N207" s="609">
        <v>37506980.200000003</v>
      </c>
      <c r="O207" s="280">
        <v>0.64504011280977613</v>
      </c>
      <c r="P207" s="211">
        <f t="shared" ref="P207" si="44">+I207/N207-1</f>
        <v>0.24884617370502138</v>
      </c>
    </row>
    <row r="208" spans="1:16" x14ac:dyDescent="0.2">
      <c r="A208" s="39" t="s">
        <v>730</v>
      </c>
      <c r="B208" s="40" t="s">
        <v>731</v>
      </c>
      <c r="C208" s="200">
        <v>13647818.9</v>
      </c>
      <c r="D208" s="206">
        <v>6908292.3700000001</v>
      </c>
      <c r="E208" s="34">
        <v>0</v>
      </c>
      <c r="F208" s="48">
        <f t="shared" si="40"/>
        <v>0</v>
      </c>
      <c r="G208" s="34">
        <v>0</v>
      </c>
      <c r="H208" s="48">
        <f t="shared" si="41"/>
        <v>0</v>
      </c>
      <c r="I208" s="34">
        <v>0</v>
      </c>
      <c r="J208" s="153">
        <f t="shared" si="42"/>
        <v>0</v>
      </c>
      <c r="K208" s="609">
        <v>0</v>
      </c>
      <c r="L208" s="280">
        <v>0</v>
      </c>
      <c r="M208" s="212" t="s">
        <v>129</v>
      </c>
      <c r="N208" s="609">
        <v>0</v>
      </c>
      <c r="O208" s="280">
        <v>0</v>
      </c>
      <c r="P208" s="211" t="s">
        <v>129</v>
      </c>
    </row>
    <row r="209" spans="1:16" x14ac:dyDescent="0.2">
      <c r="A209" s="39" t="s">
        <v>732</v>
      </c>
      <c r="B209" s="40" t="s">
        <v>733</v>
      </c>
      <c r="C209" s="200">
        <v>30916505.399999999</v>
      </c>
      <c r="D209" s="206">
        <v>5444755.4000000004</v>
      </c>
      <c r="E209" s="34">
        <v>11670.08</v>
      </c>
      <c r="F209" s="48">
        <f t="shared" si="40"/>
        <v>2.1433616650621255E-3</v>
      </c>
      <c r="G209" s="34">
        <v>11670.08</v>
      </c>
      <c r="H209" s="48">
        <f t="shared" si="41"/>
        <v>2.1433616650621255E-3</v>
      </c>
      <c r="I209" s="34">
        <v>11670.08</v>
      </c>
      <c r="J209" s="153">
        <f t="shared" si="42"/>
        <v>2.1433616650621255E-3</v>
      </c>
      <c r="K209" s="609">
        <v>9444865.9499999993</v>
      </c>
      <c r="L209" s="280">
        <v>0.24560739054855124</v>
      </c>
      <c r="M209" s="211">
        <f t="shared" si="43"/>
        <v>-0.9987643996154334</v>
      </c>
      <c r="N209" s="609">
        <v>9444865.9499999993</v>
      </c>
      <c r="O209" s="280">
        <v>0.24560739054855124</v>
      </c>
      <c r="P209" s="211">
        <f t="shared" ref="P209:P214" si="45">+I209/N209-1</f>
        <v>-0.9987643996154334</v>
      </c>
    </row>
    <row r="210" spans="1:16" x14ac:dyDescent="0.2">
      <c r="A210" s="253">
        <v>9311</v>
      </c>
      <c r="B210" s="40" t="s">
        <v>734</v>
      </c>
      <c r="C210" s="200">
        <v>5805408.6299999999</v>
      </c>
      <c r="D210" s="206">
        <v>5983590.5099999998</v>
      </c>
      <c r="E210" s="34">
        <v>4741346.28</v>
      </c>
      <c r="F210" s="280">
        <f t="shared" si="40"/>
        <v>0.7923915034085447</v>
      </c>
      <c r="G210" s="34">
        <v>4662915.92</v>
      </c>
      <c r="H210" s="280">
        <f t="shared" si="41"/>
        <v>0.77928392863902718</v>
      </c>
      <c r="I210" s="34">
        <v>4385894.1100000003</v>
      </c>
      <c r="J210" s="178">
        <f t="shared" si="42"/>
        <v>0.73298700883192636</v>
      </c>
      <c r="K210" s="609">
        <v>3954914.96</v>
      </c>
      <c r="L210" s="280">
        <v>0.75584444438842646</v>
      </c>
      <c r="M210" s="211">
        <f t="shared" si="43"/>
        <v>0.1790179984046989</v>
      </c>
      <c r="N210" s="609">
        <v>3617757.11</v>
      </c>
      <c r="O210" s="280">
        <v>0.69140844756374464</v>
      </c>
      <c r="P210" s="211">
        <f t="shared" si="45"/>
        <v>0.21232409380849804</v>
      </c>
    </row>
    <row r="211" spans="1:16" x14ac:dyDescent="0.2">
      <c r="A211" s="39" t="s">
        <v>735</v>
      </c>
      <c r="B211" s="40" t="s">
        <v>736</v>
      </c>
      <c r="C211" s="200">
        <v>30138334.93</v>
      </c>
      <c r="D211" s="206">
        <v>30394409.77</v>
      </c>
      <c r="E211" s="34">
        <v>27805866.25</v>
      </c>
      <c r="F211" s="280">
        <f t="shared" si="40"/>
        <v>0.91483488116439904</v>
      </c>
      <c r="G211" s="34">
        <v>27735727.510000002</v>
      </c>
      <c r="H211" s="280">
        <f t="shared" si="41"/>
        <v>0.91252726142344176</v>
      </c>
      <c r="I211" s="34">
        <v>22770328.890000001</v>
      </c>
      <c r="J211" s="178">
        <f t="shared" si="42"/>
        <v>0.74916173935625663</v>
      </c>
      <c r="K211" s="609">
        <v>28846921.190000001</v>
      </c>
      <c r="L211" s="280">
        <v>0.95524344122413785</v>
      </c>
      <c r="M211" s="211">
        <f t="shared" si="43"/>
        <v>-3.852035621691241E-2</v>
      </c>
      <c r="N211" s="609">
        <v>25258477.350000001</v>
      </c>
      <c r="O211" s="280">
        <v>0.83641490421030062</v>
      </c>
      <c r="P211" s="211">
        <f t="shared" si="45"/>
        <v>-9.850746050612591E-2</v>
      </c>
    </row>
    <row r="212" spans="1:16" x14ac:dyDescent="0.2">
      <c r="A212" s="39" t="s">
        <v>737</v>
      </c>
      <c r="B212" s="40" t="s">
        <v>738</v>
      </c>
      <c r="C212" s="200">
        <v>113561295.48999999</v>
      </c>
      <c r="D212" s="206">
        <v>115832173.91</v>
      </c>
      <c r="E212" s="34">
        <v>102973940.7</v>
      </c>
      <c r="F212" s="280">
        <f t="shared" si="40"/>
        <v>0.88899255901049856</v>
      </c>
      <c r="G212" s="34">
        <v>102186207.34</v>
      </c>
      <c r="H212" s="280">
        <f t="shared" si="41"/>
        <v>0.88219191517028139</v>
      </c>
      <c r="I212" s="34">
        <v>70564353.900000006</v>
      </c>
      <c r="J212" s="178">
        <f t="shared" si="42"/>
        <v>0.60919476444280096</v>
      </c>
      <c r="K212" s="609">
        <v>91380273.730000004</v>
      </c>
      <c r="L212" s="280">
        <v>0.87117665924783827</v>
      </c>
      <c r="M212" s="211">
        <f t="shared" si="43"/>
        <v>0.1182523663906736</v>
      </c>
      <c r="N212" s="609">
        <v>59745267.579999998</v>
      </c>
      <c r="O212" s="280">
        <v>0.56958335198250865</v>
      </c>
      <c r="P212" s="211">
        <f t="shared" si="45"/>
        <v>0.1810869171439069</v>
      </c>
    </row>
    <row r="213" spans="1:16" x14ac:dyDescent="0.2">
      <c r="A213" s="39" t="s">
        <v>739</v>
      </c>
      <c r="B213" s="40" t="s">
        <v>117</v>
      </c>
      <c r="C213" s="200">
        <v>799840.54</v>
      </c>
      <c r="D213" s="206">
        <v>807138.59</v>
      </c>
      <c r="E213" s="34">
        <v>649034.06000000006</v>
      </c>
      <c r="F213" s="280">
        <f t="shared" si="40"/>
        <v>0.80411724583754585</v>
      </c>
      <c r="G213" s="34">
        <v>649034.06000000006</v>
      </c>
      <c r="H213" s="280">
        <f t="shared" si="41"/>
        <v>0.80411724583754585</v>
      </c>
      <c r="I213" s="34">
        <v>649034.06000000006</v>
      </c>
      <c r="J213" s="178">
        <f t="shared" si="42"/>
        <v>0.80411724583754585</v>
      </c>
      <c r="K213" s="609">
        <v>722250.63</v>
      </c>
      <c r="L213" s="280">
        <v>0.82171144625127268</v>
      </c>
      <c r="M213" s="211">
        <f t="shared" si="43"/>
        <v>-0.10137280184857711</v>
      </c>
      <c r="N213" s="609">
        <v>722250.63</v>
      </c>
      <c r="O213" s="280">
        <v>0.82171144625127268</v>
      </c>
      <c r="P213" s="211">
        <f t="shared" si="45"/>
        <v>-0.10137280184857711</v>
      </c>
    </row>
    <row r="214" spans="1:16" x14ac:dyDescent="0.2">
      <c r="A214" s="659">
        <v>9431</v>
      </c>
      <c r="B214" s="655" t="s">
        <v>740</v>
      </c>
      <c r="C214" s="654">
        <v>98287346.239999995</v>
      </c>
      <c r="D214" s="397">
        <v>97902507.239999995</v>
      </c>
      <c r="E214" s="398">
        <v>97687346.230000004</v>
      </c>
      <c r="F214" s="412">
        <f t="shared" si="40"/>
        <v>0.99780229315810531</v>
      </c>
      <c r="G214" s="398">
        <v>97687346.230000004</v>
      </c>
      <c r="H214" s="412">
        <f t="shared" si="41"/>
        <v>0.99780229315810531</v>
      </c>
      <c r="I214" s="398">
        <v>88756166.930000007</v>
      </c>
      <c r="J214" s="427">
        <f t="shared" si="42"/>
        <v>0.90657705744370287</v>
      </c>
      <c r="K214" s="609">
        <v>86137049.870000005</v>
      </c>
      <c r="L214" s="412">
        <v>0.75681208766854802</v>
      </c>
      <c r="M214" s="211">
        <f t="shared" si="43"/>
        <v>0.13409208206494161</v>
      </c>
      <c r="N214" s="657">
        <v>79002108.519999996</v>
      </c>
      <c r="O214" s="412">
        <v>0.69412350166942605</v>
      </c>
      <c r="P214" s="443">
        <f t="shared" si="45"/>
        <v>0.12346579847967853</v>
      </c>
    </row>
    <row r="215" spans="1:16" ht="13.5" thickBot="1" x14ac:dyDescent="0.25">
      <c r="A215" s="18">
        <v>9</v>
      </c>
      <c r="B215" s="2" t="s">
        <v>534</v>
      </c>
      <c r="C215" s="201">
        <f>SUBTOTAL(9,DTProg!C67:C79)</f>
        <v>496436210.86000007</v>
      </c>
      <c r="D215" s="207">
        <f>SUBTOTAL(9,DTProg!D67:D79)</f>
        <v>475662930.98999995</v>
      </c>
      <c r="E215" s="203">
        <f>SUBTOTAL(9,DTProg!E67:E79)</f>
        <v>414042874.45000005</v>
      </c>
      <c r="F215" s="529">
        <f t="shared" si="40"/>
        <v>0.87045436479199734</v>
      </c>
      <c r="G215" s="203">
        <f>SUBTOTAL(9,DTProg!G67:G79)</f>
        <v>405775446.32999998</v>
      </c>
      <c r="H215" s="529">
        <f t="shared" si="41"/>
        <v>0.85307351044879043</v>
      </c>
      <c r="I215" s="203">
        <f>SUBTOTAL(9,DTProg!I67:I79)</f>
        <v>338182670.45000005</v>
      </c>
      <c r="J215" s="530">
        <f t="shared" si="42"/>
        <v>0.71097125383754112</v>
      </c>
      <c r="K215" s="561">
        <f>SUM(K195:K214)</f>
        <v>393282439.07999998</v>
      </c>
      <c r="L215" s="90">
        <v>0.76069158255907587</v>
      </c>
      <c r="M215" s="640">
        <f>+G215/K215-1</f>
        <v>3.1765993109747592E-2</v>
      </c>
      <c r="N215" s="561">
        <f>SUM(N195:N214)</f>
        <v>317388826.51999998</v>
      </c>
      <c r="O215" s="90">
        <v>0.61389725230766024</v>
      </c>
      <c r="P215" s="640">
        <f>+I215/N215-1</f>
        <v>6.551536220727594E-2</v>
      </c>
    </row>
    <row r="216" spans="1:16" ht="13.5" thickBot="1" x14ac:dyDescent="0.25">
      <c r="A216" s="5"/>
      <c r="B216" s="4" t="s">
        <v>11</v>
      </c>
      <c r="C216" s="202">
        <f>SUM(C86,C88:C121,C123:C131,C136:C148,C150:C173,C175:C180,C185:C192,C195:C214)</f>
        <v>2736183653.8399997</v>
      </c>
      <c r="D216" s="208">
        <f>SUM(D86,D88:D121,D123:D131,D136:D148,D150:D173,D175:D180,D185:D192,D195:D214)</f>
        <v>2758812037.9699998</v>
      </c>
      <c r="E216" s="209">
        <f>SUM(E86,E88:E121,E123:E131,E136:E148,E150:E173,E175:E180,E185:E192,E195:E214)</f>
        <v>2373643044.8400002</v>
      </c>
      <c r="F216" s="181">
        <f t="shared" si="40"/>
        <v>0.86038592414820103</v>
      </c>
      <c r="G216" s="209">
        <f>SUM(G86,G88:G121,G123:G131,G136:G148,G150:G173,G175:G180,G185:G192,G195:G214)</f>
        <v>2338694329.4399991</v>
      </c>
      <c r="H216" s="181">
        <f t="shared" si="41"/>
        <v>0.84771789351798921</v>
      </c>
      <c r="I216" s="209">
        <f>SUM(I86,I88:I121,I123:I131,I136:I148,I150:I173,I175:I180,I185:I192,I195:I214)</f>
        <v>1834274865.0999997</v>
      </c>
      <c r="J216" s="173">
        <f t="shared" si="42"/>
        <v>0.6648785201219084</v>
      </c>
      <c r="K216" s="154">
        <f>K87+K122+K149+K174+K194+K215</f>
        <v>2326506519.98</v>
      </c>
      <c r="L216" s="181">
        <v>0.84360503116201613</v>
      </c>
      <c r="M216" s="181">
        <f>+G216/K216-1</f>
        <v>5.2386741044267993E-3</v>
      </c>
      <c r="N216" s="569">
        <f>N87+N122+N149+N174+N194+N215</f>
        <v>1956370255.8799999</v>
      </c>
      <c r="O216" s="181">
        <v>0.70939143153154693</v>
      </c>
      <c r="P216" s="623">
        <f>+I216/N216-1</f>
        <v>-6.240914285679533E-2</v>
      </c>
    </row>
    <row r="298" spans="1:16" x14ac:dyDescent="0.2">
      <c r="A298" s="247"/>
      <c r="B298" s="269"/>
      <c r="C298" s="270"/>
      <c r="D298" s="270"/>
      <c r="E298" s="270"/>
      <c r="F298" s="271"/>
      <c r="G298" s="270"/>
      <c r="H298" s="271"/>
      <c r="I298" s="270"/>
      <c r="J298" s="271"/>
      <c r="K298" s="271"/>
      <c r="L298" s="271"/>
      <c r="M298" s="271"/>
      <c r="N298" s="270"/>
      <c r="O298" s="271"/>
      <c r="P298" s="271"/>
    </row>
    <row r="303" spans="1:16" x14ac:dyDescent="0.2">
      <c r="C303" s="349"/>
      <c r="D303" s="349"/>
      <c r="E303" s="349"/>
      <c r="F303" s="391"/>
      <c r="G303" s="349"/>
      <c r="H303" s="391"/>
      <c r="I303" s="349"/>
      <c r="J303" s="391"/>
      <c r="K303" s="391"/>
      <c r="L303" s="391"/>
      <c r="M303" s="391"/>
      <c r="O303"/>
      <c r="P303"/>
    </row>
    <row r="305" spans="3:16" x14ac:dyDescent="0.2">
      <c r="C305" s="352"/>
      <c r="O305"/>
      <c r="P305"/>
    </row>
  </sheetData>
  <mergeCells count="10">
    <mergeCell ref="D133:J133"/>
    <mergeCell ref="K133:P133"/>
    <mergeCell ref="D182:J182"/>
    <mergeCell ref="K182:P182"/>
    <mergeCell ref="D2:J2"/>
    <mergeCell ref="K2:P2"/>
    <mergeCell ref="D83:J83"/>
    <mergeCell ref="K83:P83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rowBreaks count="5" manualBreakCount="5">
    <brk id="48" max="15" man="1"/>
    <brk id="81" max="15" man="1"/>
    <brk id="131" max="15" man="1"/>
    <brk id="180" max="15" man="1"/>
    <brk id="216" max="12" man="1"/>
  </rowBreaks>
  <ignoredErrors>
    <ignoredError sqref="F66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0"/>
  <sheetViews>
    <sheetView topLeftCell="A192" zoomScaleNormal="100" workbookViewId="0">
      <pane xSplit="1" topLeftCell="E1" activePane="topRight" state="frozen"/>
      <selection activeCell="C41" sqref="C41"/>
      <selection pane="topRight" activeCell="P212" sqref="P212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bestFit="1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7"/>
      <c r="P1" s="517"/>
    </row>
    <row r="2" spans="1:16" x14ac:dyDescent="0.2">
      <c r="A2" s="765" t="s">
        <v>465</v>
      </c>
      <c r="B2" s="766"/>
      <c r="C2" s="164" t="s">
        <v>765</v>
      </c>
      <c r="D2" s="751" t="s">
        <v>784</v>
      </c>
      <c r="E2" s="752"/>
      <c r="F2" s="752"/>
      <c r="G2" s="752"/>
      <c r="H2" s="752"/>
      <c r="I2" s="752"/>
      <c r="J2" s="753"/>
      <c r="K2" s="760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04" t="s">
        <v>362</v>
      </c>
    </row>
    <row r="4" spans="1:16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06" t="s">
        <v>764</v>
      </c>
      <c r="N4" s="557" t="s">
        <v>17</v>
      </c>
      <c r="O4" s="89" t="s">
        <v>18</v>
      </c>
      <c r="P4" s="605" t="s">
        <v>764</v>
      </c>
    </row>
    <row r="5" spans="1:16" x14ac:dyDescent="0.2">
      <c r="A5" s="17" t="s">
        <v>53</v>
      </c>
      <c r="B5" s="13" t="s">
        <v>96</v>
      </c>
      <c r="C5" s="524">
        <v>24060000</v>
      </c>
      <c r="D5" s="511">
        <v>24060000</v>
      </c>
      <c r="E5" s="180">
        <v>18469735.449999999</v>
      </c>
      <c r="F5" s="78">
        <f>+E5/D5</f>
        <v>0.76765317747298423</v>
      </c>
      <c r="G5" s="180">
        <v>18469735.449999999</v>
      </c>
      <c r="H5" s="78">
        <f>+G5/D5</f>
        <v>0.76765317747298423</v>
      </c>
      <c r="I5" s="180">
        <v>18469735.449999999</v>
      </c>
      <c r="J5" s="172">
        <f>I5/D5</f>
        <v>0.76765317747298423</v>
      </c>
      <c r="K5" s="180">
        <v>19527542.460000001</v>
      </c>
      <c r="L5" s="78">
        <v>0.72833054272164077</v>
      </c>
      <c r="M5" s="245">
        <f>+G5/K5-1</f>
        <v>-5.4170001789359934E-2</v>
      </c>
      <c r="N5" s="180">
        <v>19527542.460000001</v>
      </c>
      <c r="O5" s="172">
        <v>0.72833054272164077</v>
      </c>
      <c r="P5" s="245">
        <f>+I5/N5-1</f>
        <v>-5.4170001789359934E-2</v>
      </c>
    </row>
    <row r="6" spans="1:16" x14ac:dyDescent="0.2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18469735.449999999</v>
      </c>
      <c r="F6" s="90">
        <f t="shared" ref="F6:F27" si="0">+E6/D6</f>
        <v>0.76765317747298423</v>
      </c>
      <c r="G6" s="203">
        <f>SUBTOTAL(9,G5:G5)</f>
        <v>18469735.449999999</v>
      </c>
      <c r="H6" s="90">
        <f>+G6/D6</f>
        <v>0.76765317747298423</v>
      </c>
      <c r="I6" s="203">
        <f>SUBTOTAL(9,I5:I5)</f>
        <v>18469735.449999999</v>
      </c>
      <c r="J6" s="170">
        <f>+I6/D6</f>
        <v>0.76765317747298423</v>
      </c>
      <c r="K6" s="561">
        <f>SUBTOTAL(9,K5:K5)</f>
        <v>19527542.460000001</v>
      </c>
      <c r="L6" s="90">
        <v>0.72833054272164077</v>
      </c>
      <c r="M6" s="213">
        <f>+G6/K6-1</f>
        <v>-5.4170001789359934E-2</v>
      </c>
      <c r="N6" s="561">
        <f>SUM(N5)</f>
        <v>19527542.460000001</v>
      </c>
      <c r="O6" s="170">
        <v>0.72833054272164077</v>
      </c>
      <c r="P6" s="213">
        <f>+I6/N6-1</f>
        <v>-5.4170001789359934E-2</v>
      </c>
    </row>
    <row r="7" spans="1:16" x14ac:dyDescent="0.2">
      <c r="A7" s="37" t="s">
        <v>54</v>
      </c>
      <c r="B7" s="38" t="s">
        <v>501</v>
      </c>
      <c r="C7" s="198">
        <v>8245978.9400000004</v>
      </c>
      <c r="D7" s="30">
        <v>20999035.649999999</v>
      </c>
      <c r="E7" s="30">
        <v>8513128.8699999992</v>
      </c>
      <c r="F7" s="414">
        <f>+E7/D7</f>
        <v>0.40540570585678298</v>
      </c>
      <c r="G7" s="30">
        <v>8299384.3499999996</v>
      </c>
      <c r="H7" s="48">
        <f>+G7/D7</f>
        <v>0.39522692795657022</v>
      </c>
      <c r="I7" s="30">
        <v>7599245.1399999997</v>
      </c>
      <c r="J7" s="153">
        <f>I7/D7</f>
        <v>0.36188543448660704</v>
      </c>
      <c r="K7" s="30">
        <v>7533186.6799999997</v>
      </c>
      <c r="L7" s="48">
        <v>0.83138043289276087</v>
      </c>
      <c r="M7" s="210">
        <f>+G7/K7-1</f>
        <v>0.1017096353173077</v>
      </c>
      <c r="N7" s="30">
        <v>7013306.3099999996</v>
      </c>
      <c r="O7" s="153">
        <v>0.77400519643266441</v>
      </c>
      <c r="P7" s="210">
        <f>+I7/N7-1</f>
        <v>8.3546733038671439E-2</v>
      </c>
    </row>
    <row r="8" spans="1:16" x14ac:dyDescent="0.2">
      <c r="A8" s="39" t="s">
        <v>55</v>
      </c>
      <c r="B8" s="40" t="s">
        <v>106</v>
      </c>
      <c r="C8" s="199">
        <v>169263309.75999999</v>
      </c>
      <c r="D8" s="32">
        <v>164909077.88</v>
      </c>
      <c r="E8" s="32">
        <v>144206303.25999999</v>
      </c>
      <c r="F8" s="130">
        <f t="shared" ref="F8:F45" si="1">+E8/D8</f>
        <v>0.87445946041208922</v>
      </c>
      <c r="G8" s="32">
        <v>143422602.93000001</v>
      </c>
      <c r="H8" s="280">
        <f t="shared" ref="H8:H45" si="2">+G8/D8</f>
        <v>0.86970714271026894</v>
      </c>
      <c r="I8" s="32">
        <v>139273529.61000001</v>
      </c>
      <c r="J8" s="153">
        <f t="shared" ref="J8:J26" si="3">I8/D8</f>
        <v>0.84454737968606985</v>
      </c>
      <c r="K8" s="32">
        <v>158669868.03999999</v>
      </c>
      <c r="L8" s="280">
        <v>0.81516343949878145</v>
      </c>
      <c r="M8" s="210">
        <f>+G8/K8-1</f>
        <v>-9.609426980903657E-2</v>
      </c>
      <c r="N8" s="32">
        <v>155068877.13</v>
      </c>
      <c r="O8" s="178">
        <v>0.79666341695474407</v>
      </c>
      <c r="P8" s="210">
        <f>+I8/N8-1</f>
        <v>-0.10186020439651566</v>
      </c>
    </row>
    <row r="9" spans="1:16" x14ac:dyDescent="0.2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">
      <c r="A10" s="39">
        <v>134</v>
      </c>
      <c r="B10" s="40" t="s">
        <v>468</v>
      </c>
      <c r="C10" s="199">
        <v>14562809.07</v>
      </c>
      <c r="D10" s="32">
        <v>15223352.859999999</v>
      </c>
      <c r="E10" s="32">
        <v>15048849.789999999</v>
      </c>
      <c r="F10" s="130">
        <f t="shared" si="1"/>
        <v>0.98853714608044629</v>
      </c>
      <c r="G10" s="32">
        <v>14663804.869999999</v>
      </c>
      <c r="H10" s="280">
        <f t="shared" si="2"/>
        <v>0.96324410298139795</v>
      </c>
      <c r="I10" s="32">
        <v>8361812.5199999996</v>
      </c>
      <c r="J10" s="153">
        <f t="shared" si="3"/>
        <v>0.54927535326143651</v>
      </c>
      <c r="K10" s="32">
        <v>15187273.09</v>
      </c>
      <c r="L10" s="280">
        <v>0.93902340870613654</v>
      </c>
      <c r="M10" s="210">
        <f t="shared" ref="M10:M20" si="4">+G10/K10-1</f>
        <v>-3.4467558257359365E-2</v>
      </c>
      <c r="N10" s="32">
        <v>7287656.5199999996</v>
      </c>
      <c r="O10" s="178">
        <v>0.45059307397295906</v>
      </c>
      <c r="P10" s="210">
        <f t="shared" ref="P10:P20" si="5">+I10/N10-1</f>
        <v>0.14739388403557752</v>
      </c>
    </row>
    <row r="11" spans="1:16" x14ac:dyDescent="0.2">
      <c r="A11" s="39" t="s">
        <v>57</v>
      </c>
      <c r="B11" s="40" t="s">
        <v>475</v>
      </c>
      <c r="C11" s="199">
        <v>431130.98</v>
      </c>
      <c r="D11" s="32">
        <v>376940.26</v>
      </c>
      <c r="E11" s="32">
        <v>351389.81</v>
      </c>
      <c r="F11" s="130">
        <f t="shared" si="1"/>
        <v>0.93221618194883182</v>
      </c>
      <c r="G11" s="32">
        <v>351389.81</v>
      </c>
      <c r="H11" s="280">
        <f t="shared" si="2"/>
        <v>0.93221618194883182</v>
      </c>
      <c r="I11" s="32">
        <v>351389.81</v>
      </c>
      <c r="J11" s="153">
        <f t="shared" si="3"/>
        <v>0.93221618194883182</v>
      </c>
      <c r="K11" s="32">
        <v>402447.29</v>
      </c>
      <c r="L11" s="280">
        <v>0.84376175655587071</v>
      </c>
      <c r="M11" s="210">
        <f t="shared" si="4"/>
        <v>-0.12686749611359038</v>
      </c>
      <c r="N11" s="32">
        <v>402447.29</v>
      </c>
      <c r="O11" s="178">
        <v>0.84376175655587071</v>
      </c>
      <c r="P11" s="210">
        <f t="shared" si="5"/>
        <v>-0.12686749611359038</v>
      </c>
    </row>
    <row r="12" spans="1:16" x14ac:dyDescent="0.2">
      <c r="A12" s="39">
        <v>136</v>
      </c>
      <c r="B12" s="40" t="s">
        <v>469</v>
      </c>
      <c r="C12" s="199">
        <v>40845954.75</v>
      </c>
      <c r="D12" s="32">
        <v>44223303.490000002</v>
      </c>
      <c r="E12" s="32">
        <v>37033520.590000004</v>
      </c>
      <c r="F12" s="130">
        <f t="shared" si="1"/>
        <v>0.83742094478252194</v>
      </c>
      <c r="G12" s="32">
        <v>36757009.869999997</v>
      </c>
      <c r="H12" s="280">
        <f t="shared" si="2"/>
        <v>0.83116834268863882</v>
      </c>
      <c r="I12" s="32">
        <v>35611069.18</v>
      </c>
      <c r="J12" s="153">
        <f t="shared" si="3"/>
        <v>0.80525574458842852</v>
      </c>
      <c r="K12" s="32">
        <v>38327343.700000003</v>
      </c>
      <c r="L12" s="280">
        <v>0.83586345870563816</v>
      </c>
      <c r="M12" s="210">
        <f t="shared" si="4"/>
        <v>-4.0971632218801624E-2</v>
      </c>
      <c r="N12" s="32">
        <v>37178174.57</v>
      </c>
      <c r="O12" s="178">
        <v>0.81080175625221318</v>
      </c>
      <c r="P12" s="210">
        <f t="shared" si="5"/>
        <v>-4.2151219314154775E-2</v>
      </c>
    </row>
    <row r="13" spans="1:16" x14ac:dyDescent="0.2">
      <c r="A13" s="39" t="s">
        <v>58</v>
      </c>
      <c r="B13" s="40" t="s">
        <v>742</v>
      </c>
      <c r="C13" s="199">
        <v>27221948.489999998</v>
      </c>
      <c r="D13" s="32">
        <v>31537991.620000001</v>
      </c>
      <c r="E13" s="32">
        <v>28206043.100000001</v>
      </c>
      <c r="F13" s="130">
        <f t="shared" si="1"/>
        <v>0.89435127765437594</v>
      </c>
      <c r="G13" s="32">
        <v>25670378.870000001</v>
      </c>
      <c r="H13" s="280">
        <f t="shared" si="2"/>
        <v>0.81395096996984995</v>
      </c>
      <c r="I13" s="32">
        <v>22078094.510000002</v>
      </c>
      <c r="J13" s="153">
        <f t="shared" si="3"/>
        <v>0.7000475736064008</v>
      </c>
      <c r="K13" s="32">
        <v>21569834.199999999</v>
      </c>
      <c r="L13" s="280">
        <v>0.89635011919869367</v>
      </c>
      <c r="M13" s="210">
        <f t="shared" si="4"/>
        <v>0.19010552570682271</v>
      </c>
      <c r="N13" s="32">
        <v>19201319.93</v>
      </c>
      <c r="O13" s="178">
        <v>0.79792478924236476</v>
      </c>
      <c r="P13" s="210">
        <f t="shared" si="5"/>
        <v>0.14982170967868469</v>
      </c>
    </row>
    <row r="14" spans="1:16" x14ac:dyDescent="0.2">
      <c r="A14" s="39" t="s">
        <v>59</v>
      </c>
      <c r="B14" s="40" t="s">
        <v>476</v>
      </c>
      <c r="C14" s="199">
        <v>26796599.550000001</v>
      </c>
      <c r="D14" s="32">
        <v>28178899.329999998</v>
      </c>
      <c r="E14" s="32">
        <v>25655280.690000001</v>
      </c>
      <c r="F14" s="130">
        <f t="shared" si="1"/>
        <v>0.91044296619090137</v>
      </c>
      <c r="G14" s="32">
        <v>25368062.16</v>
      </c>
      <c r="H14" s="280">
        <f t="shared" si="2"/>
        <v>0.90025028525484296</v>
      </c>
      <c r="I14" s="32">
        <v>21388266.109999999</v>
      </c>
      <c r="J14" s="153">
        <f t="shared" si="3"/>
        <v>0.75901708791121902</v>
      </c>
      <c r="K14" s="32">
        <v>25863715.800000001</v>
      </c>
      <c r="L14" s="280">
        <v>0.89038196985864382</v>
      </c>
      <c r="M14" s="210">
        <f t="shared" si="4"/>
        <v>-1.9164053759050392E-2</v>
      </c>
      <c r="N14" s="32">
        <v>21390430.640000001</v>
      </c>
      <c r="O14" s="178">
        <v>0.73638505451594438</v>
      </c>
      <c r="P14" s="210">
        <f t="shared" si="5"/>
        <v>-1.0119151112153446E-4</v>
      </c>
    </row>
    <row r="15" spans="1:16" x14ac:dyDescent="0.2">
      <c r="A15" s="39">
        <v>152</v>
      </c>
      <c r="B15" s="40" t="s">
        <v>470</v>
      </c>
      <c r="C15" s="199">
        <v>28986451.059999999</v>
      </c>
      <c r="D15" s="32">
        <v>28922258.059999999</v>
      </c>
      <c r="E15" s="32">
        <v>26929242.91</v>
      </c>
      <c r="F15" s="130">
        <f t="shared" si="1"/>
        <v>0.93109061035741281</v>
      </c>
      <c r="G15" s="32">
        <v>26868763.309999999</v>
      </c>
      <c r="H15" s="280">
        <f t="shared" si="2"/>
        <v>0.92899950115444063</v>
      </c>
      <c r="I15" s="32">
        <v>17114085.34</v>
      </c>
      <c r="J15" s="153">
        <f t="shared" si="3"/>
        <v>0.59172715022791</v>
      </c>
      <c r="K15" s="32">
        <v>23873520.100000001</v>
      </c>
      <c r="L15" s="280">
        <v>0.83591962033533762</v>
      </c>
      <c r="M15" s="210">
        <f t="shared" si="4"/>
        <v>0.12546298985041582</v>
      </c>
      <c r="N15" s="32">
        <v>19624317.379999999</v>
      </c>
      <c r="O15" s="178">
        <v>0.68713586705756746</v>
      </c>
      <c r="P15" s="210">
        <f t="shared" si="5"/>
        <v>-0.12791436213512763</v>
      </c>
    </row>
    <row r="16" spans="1:16" x14ac:dyDescent="0.2">
      <c r="A16" s="39" t="s">
        <v>60</v>
      </c>
      <c r="B16" s="40" t="s">
        <v>97</v>
      </c>
      <c r="C16" s="199">
        <v>36362669.469999999</v>
      </c>
      <c r="D16" s="32">
        <v>36232431.649999999</v>
      </c>
      <c r="E16" s="32">
        <v>32084960.940000001</v>
      </c>
      <c r="F16" s="78">
        <f t="shared" si="1"/>
        <v>0.88553153842767274</v>
      </c>
      <c r="G16" s="32">
        <v>31714735.75</v>
      </c>
      <c r="H16" s="280">
        <f t="shared" si="2"/>
        <v>0.87531347761474354</v>
      </c>
      <c r="I16" s="32">
        <v>18476292.390000001</v>
      </c>
      <c r="J16" s="153">
        <f t="shared" si="3"/>
        <v>0.50993796299619876</v>
      </c>
      <c r="K16" s="32">
        <v>27598699.25</v>
      </c>
      <c r="L16" s="280">
        <v>0.89826966182786072</v>
      </c>
      <c r="M16" s="210">
        <f t="shared" si="4"/>
        <v>0.14913878595202279</v>
      </c>
      <c r="N16" s="32">
        <v>17853973.969999999</v>
      </c>
      <c r="O16" s="178">
        <v>0.581102863400902</v>
      </c>
      <c r="P16" s="210">
        <f t="shared" si="5"/>
        <v>3.4856016987908855E-2</v>
      </c>
    </row>
    <row r="17" spans="1:16" x14ac:dyDescent="0.2">
      <c r="A17" s="39" t="s">
        <v>489</v>
      </c>
      <c r="B17" s="40" t="s">
        <v>162</v>
      </c>
      <c r="C17" s="199">
        <v>18215182.399999999</v>
      </c>
      <c r="D17" s="32">
        <v>18569383.899999999</v>
      </c>
      <c r="E17" s="32">
        <v>18561056.969999999</v>
      </c>
      <c r="F17" s="414">
        <f t="shared" si="1"/>
        <v>0.99955157747586876</v>
      </c>
      <c r="G17" s="32">
        <v>18561056.969999999</v>
      </c>
      <c r="H17" s="280">
        <f t="shared" si="2"/>
        <v>0.99955157747586876</v>
      </c>
      <c r="I17" s="32">
        <v>13288842.380000001</v>
      </c>
      <c r="J17" s="153">
        <f t="shared" si="3"/>
        <v>0.71563184064496621</v>
      </c>
      <c r="K17" s="32">
        <v>19349633.260000002</v>
      </c>
      <c r="L17" s="280">
        <v>0.97773683570486836</v>
      </c>
      <c r="M17" s="210">
        <f t="shared" si="4"/>
        <v>-4.0754069051539332E-2</v>
      </c>
      <c r="N17" s="32">
        <v>14991552.6</v>
      </c>
      <c r="O17" s="178">
        <v>0.75752304989304431</v>
      </c>
      <c r="P17" s="210">
        <f t="shared" si="5"/>
        <v>-0.11357797724032925</v>
      </c>
    </row>
    <row r="18" spans="1:16" x14ac:dyDescent="0.2">
      <c r="A18" s="39" t="s">
        <v>61</v>
      </c>
      <c r="B18" s="40" t="s">
        <v>478</v>
      </c>
      <c r="C18" s="199">
        <v>8305266.9900000002</v>
      </c>
      <c r="D18" s="32">
        <v>7089197.5300000003</v>
      </c>
      <c r="E18" s="32">
        <v>7084449.2699999996</v>
      </c>
      <c r="F18" s="78">
        <f t="shared" si="1"/>
        <v>0.99933021192033267</v>
      </c>
      <c r="G18" s="32">
        <v>7084449.2699999996</v>
      </c>
      <c r="H18" s="280">
        <f t="shared" si="2"/>
        <v>0.99933021192033267</v>
      </c>
      <c r="I18" s="32">
        <v>3932003.7</v>
      </c>
      <c r="J18" s="153">
        <f t="shared" si="3"/>
        <v>0.55464721971148123</v>
      </c>
      <c r="K18" s="32">
        <v>6159912.9800000004</v>
      </c>
      <c r="L18" s="280">
        <v>0.99902960904640981</v>
      </c>
      <c r="M18" s="210">
        <f t="shared" si="4"/>
        <v>0.15008918031825824</v>
      </c>
      <c r="N18" s="32">
        <v>3611148.06</v>
      </c>
      <c r="O18" s="178">
        <v>0.58566474011951075</v>
      </c>
      <c r="P18" s="210">
        <f t="shared" si="5"/>
        <v>8.8851421949173837E-2</v>
      </c>
    </row>
    <row r="19" spans="1:16" x14ac:dyDescent="0.2">
      <c r="A19" s="39" t="s">
        <v>62</v>
      </c>
      <c r="B19" s="40" t="s">
        <v>490</v>
      </c>
      <c r="C19" s="199">
        <v>103800543.09999999</v>
      </c>
      <c r="D19" s="32">
        <v>101035595.34</v>
      </c>
      <c r="E19" s="32">
        <v>93164097.219999999</v>
      </c>
      <c r="F19" s="414">
        <f t="shared" si="1"/>
        <v>0.92209183215567514</v>
      </c>
      <c r="G19" s="32">
        <v>93164097.219999999</v>
      </c>
      <c r="H19" s="280">
        <f t="shared" si="2"/>
        <v>0.92209183215567514</v>
      </c>
      <c r="I19" s="32">
        <v>59029458.359999999</v>
      </c>
      <c r="J19" s="153">
        <f t="shared" si="3"/>
        <v>0.58424417811719698</v>
      </c>
      <c r="K19" s="32">
        <v>94099599.390000001</v>
      </c>
      <c r="L19" s="280">
        <v>0.97968170044980774</v>
      </c>
      <c r="M19" s="210">
        <f t="shared" si="4"/>
        <v>-9.9416169257295905E-3</v>
      </c>
      <c r="N19" s="32">
        <v>59705331.229999997</v>
      </c>
      <c r="O19" s="178">
        <v>0.62159903766329316</v>
      </c>
      <c r="P19" s="210">
        <f t="shared" si="5"/>
        <v>-1.1320142708803771E-2</v>
      </c>
    </row>
    <row r="20" spans="1:16" x14ac:dyDescent="0.2">
      <c r="A20" s="39" t="s">
        <v>63</v>
      </c>
      <c r="B20" s="40" t="s">
        <v>98</v>
      </c>
      <c r="C20" s="199">
        <v>171073344.52000001</v>
      </c>
      <c r="D20" s="32">
        <v>174749390.63999999</v>
      </c>
      <c r="E20" s="32">
        <v>174465421.55000001</v>
      </c>
      <c r="F20" s="130">
        <f t="shared" si="1"/>
        <v>0.99837499238789917</v>
      </c>
      <c r="G20" s="32">
        <v>174464586.87</v>
      </c>
      <c r="H20" s="280">
        <f t="shared" si="2"/>
        <v>0.99837021594778141</v>
      </c>
      <c r="I20" s="32">
        <v>118249441.65000001</v>
      </c>
      <c r="J20" s="153">
        <f t="shared" si="3"/>
        <v>0.67668013729218013</v>
      </c>
      <c r="K20" s="32">
        <v>176745515</v>
      </c>
      <c r="L20" s="280">
        <v>0.99482306991996949</v>
      </c>
      <c r="M20" s="210">
        <f t="shared" si="4"/>
        <v>-1.2905154226968585E-2</v>
      </c>
      <c r="N20" s="32">
        <v>117471629.44</v>
      </c>
      <c r="O20" s="178">
        <v>0.66119633659729282</v>
      </c>
      <c r="P20" s="210">
        <f t="shared" si="5"/>
        <v>6.6212771007596594E-3</v>
      </c>
    </row>
    <row r="21" spans="1:16" x14ac:dyDescent="0.2">
      <c r="A21" s="39" t="s">
        <v>64</v>
      </c>
      <c r="B21" s="40" t="s">
        <v>491</v>
      </c>
      <c r="C21" s="199">
        <v>11864168</v>
      </c>
      <c r="D21" s="32">
        <v>11973361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">
      <c r="A22" s="39" t="s">
        <v>65</v>
      </c>
      <c r="B22" s="40" t="s">
        <v>99</v>
      </c>
      <c r="C22" s="199">
        <v>29617801.809999999</v>
      </c>
      <c r="D22" s="32">
        <v>30298696.41</v>
      </c>
      <c r="E22" s="32">
        <v>30009660.969999999</v>
      </c>
      <c r="F22" s="130">
        <f t="shared" si="1"/>
        <v>0.99046046615046424</v>
      </c>
      <c r="G22" s="32">
        <v>29992403.510000002</v>
      </c>
      <c r="H22" s="280">
        <f t="shared" si="2"/>
        <v>0.98989088851034179</v>
      </c>
      <c r="I22" s="32">
        <v>15452701.109999999</v>
      </c>
      <c r="J22" s="153">
        <f t="shared" si="3"/>
        <v>0.51001207777704516</v>
      </c>
      <c r="K22" s="32">
        <v>29579005.969999999</v>
      </c>
      <c r="L22" s="280">
        <v>0.92871253531876197</v>
      </c>
      <c r="M22" s="210">
        <f>+G22/K22-1</f>
        <v>1.3976045727137842E-2</v>
      </c>
      <c r="N22" s="32">
        <v>15776568.380000001</v>
      </c>
      <c r="O22" s="178">
        <v>0.49534784345626931</v>
      </c>
      <c r="P22" s="210">
        <f>+I22/N22-1</f>
        <v>-2.0528372343035617E-2</v>
      </c>
    </row>
    <row r="23" spans="1:16" x14ac:dyDescent="0.2">
      <c r="A23" s="39" t="s">
        <v>66</v>
      </c>
      <c r="B23" s="40" t="s">
        <v>112</v>
      </c>
      <c r="C23" s="199">
        <v>1946253.38</v>
      </c>
      <c r="D23" s="32">
        <v>2595027.77</v>
      </c>
      <c r="E23" s="32">
        <v>2595027.67</v>
      </c>
      <c r="F23" s="130">
        <f t="shared" si="1"/>
        <v>0.99999996146476688</v>
      </c>
      <c r="G23" s="32">
        <v>2262292.46</v>
      </c>
      <c r="H23" s="280">
        <f t="shared" si="2"/>
        <v>0.87177967270847356</v>
      </c>
      <c r="I23" s="32">
        <v>1905243.5</v>
      </c>
      <c r="J23" s="153">
        <f t="shared" si="3"/>
        <v>0.73419002371600828</v>
      </c>
      <c r="K23" s="32">
        <v>1573660.61</v>
      </c>
      <c r="L23" s="280">
        <v>0.66670163721566866</v>
      </c>
      <c r="M23" s="210">
        <f>+G23/K23-1</f>
        <v>0.4375987081483852</v>
      </c>
      <c r="N23" s="32">
        <v>1224119.56</v>
      </c>
      <c r="O23" s="178">
        <v>0.51861405795734061</v>
      </c>
      <c r="P23" s="210">
        <f>+I23/N23-1</f>
        <v>0.55641945628252198</v>
      </c>
    </row>
    <row r="24" spans="1:16" x14ac:dyDescent="0.2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48801897.43</v>
      </c>
      <c r="F24" s="130">
        <f t="shared" si="1"/>
        <v>0.9999959100118202</v>
      </c>
      <c r="G24" s="32">
        <v>48795113.630000003</v>
      </c>
      <c r="H24" s="280">
        <f t="shared" si="2"/>
        <v>0.99985690369010771</v>
      </c>
      <c r="I24" s="32">
        <v>33830851</v>
      </c>
      <c r="J24" s="153">
        <f t="shared" si="3"/>
        <v>0.69322535421384124</v>
      </c>
      <c r="K24" s="32">
        <v>47912834.229999997</v>
      </c>
      <c r="L24" s="280">
        <v>0.99792007851026598</v>
      </c>
      <c r="M24" s="210">
        <f>+G24/K24-1</f>
        <v>1.8414260274496108E-2</v>
      </c>
      <c r="N24" s="32">
        <v>37551692.759999998</v>
      </c>
      <c r="O24" s="178">
        <v>0.78212004757149145</v>
      </c>
      <c r="P24" s="210">
        <f>+I24/N24-1</f>
        <v>-9.9085859691615097E-2</v>
      </c>
    </row>
    <row r="25" spans="1:16" x14ac:dyDescent="0.2">
      <c r="A25" s="41" t="s">
        <v>492</v>
      </c>
      <c r="B25" s="42" t="s">
        <v>493</v>
      </c>
      <c r="C25" s="199">
        <v>3847206.77</v>
      </c>
      <c r="D25" s="32">
        <v>4393161.8899999997</v>
      </c>
      <c r="E25" s="32">
        <v>3969966.91</v>
      </c>
      <c r="F25" s="130">
        <f t="shared" si="1"/>
        <v>0.90366961414208213</v>
      </c>
      <c r="G25" s="32">
        <v>3519589.88</v>
      </c>
      <c r="H25" s="280">
        <f t="shared" si="2"/>
        <v>0.80115187378173314</v>
      </c>
      <c r="I25" s="32">
        <v>2019067.87</v>
      </c>
      <c r="J25" s="153">
        <f t="shared" si="3"/>
        <v>0.45959332265809133</v>
      </c>
      <c r="K25" s="32">
        <v>2204088.8199999998</v>
      </c>
      <c r="L25" s="390">
        <v>0.83741192801831799</v>
      </c>
      <c r="M25" s="210">
        <f>+G25/K25-1</f>
        <v>0.59684575687834585</v>
      </c>
      <c r="N25" s="32">
        <v>1441943.13</v>
      </c>
      <c r="O25" s="178">
        <v>0.54784560659677406</v>
      </c>
      <c r="P25" s="210">
        <f>+I25/N25-1</f>
        <v>0.40024098592570723</v>
      </c>
    </row>
    <row r="26" spans="1:16" x14ac:dyDescent="0.2">
      <c r="A26" s="659" t="s">
        <v>68</v>
      </c>
      <c r="B26" s="655" t="s">
        <v>131</v>
      </c>
      <c r="C26" s="654">
        <v>3772412.45</v>
      </c>
      <c r="D26" s="397">
        <v>3095183.41</v>
      </c>
      <c r="E26" s="398">
        <v>2803261.87</v>
      </c>
      <c r="F26" s="130">
        <f t="shared" si="1"/>
        <v>0.90568522076693347</v>
      </c>
      <c r="G26" s="398">
        <v>2704408.53</v>
      </c>
      <c r="H26" s="280">
        <f t="shared" si="2"/>
        <v>0.87374742358159629</v>
      </c>
      <c r="I26" s="398">
        <v>2147987.9300000002</v>
      </c>
      <c r="J26" s="153">
        <f t="shared" si="3"/>
        <v>0.69397759210656929</v>
      </c>
      <c r="K26" s="398">
        <v>1628250.62</v>
      </c>
      <c r="L26" s="412">
        <v>0.63395922901414026</v>
      </c>
      <c r="M26" s="443">
        <f>+G26/K26-1</f>
        <v>0.6609289115455701</v>
      </c>
      <c r="N26" s="398">
        <v>1241811.43</v>
      </c>
      <c r="O26" s="427">
        <v>0.48349916595993492</v>
      </c>
      <c r="P26" s="443">
        <f>+I26/N26-1</f>
        <v>0.72972150046968109</v>
      </c>
    </row>
    <row r="27" spans="1:16" x14ac:dyDescent="0.2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828053306.71999979</v>
      </c>
      <c r="E27" s="203">
        <f>SUBTOTAL(9,E7:E26)</f>
        <v>699483559.81999993</v>
      </c>
      <c r="F27" s="90">
        <f t="shared" si="0"/>
        <v>0.84473252403365529</v>
      </c>
      <c r="G27" s="203">
        <f>SUBTOTAL(9,G7:G26)</f>
        <v>693664130.25999999</v>
      </c>
      <c r="H27" s="90">
        <f t="shared" si="2"/>
        <v>0.83770467991689024</v>
      </c>
      <c r="I27" s="203">
        <f>SUBTOTAL(9,I7:I26)</f>
        <v>520109382.11000007</v>
      </c>
      <c r="J27" s="170">
        <f t="shared" ref="J27" si="6">+I27/D27</f>
        <v>0.6281109898228705</v>
      </c>
      <c r="K27" s="561">
        <f>SUM(K7:K26)</f>
        <v>698278389.03000009</v>
      </c>
      <c r="L27" s="90">
        <v>0.8404983067567654</v>
      </c>
      <c r="M27" s="213">
        <f t="shared" ref="M27" si="7">+G27/K27-1</f>
        <v>-6.6080503743068952E-3</v>
      </c>
      <c r="N27" s="561">
        <f>SUBTOTAL(9,N7:N26)</f>
        <v>538036300.33000004</v>
      </c>
      <c r="O27" s="170">
        <v>0.64761935426532424</v>
      </c>
      <c r="P27" s="213">
        <f t="shared" ref="P27:P32" si="8">+I27/N27-1</f>
        <v>-3.331916119600975E-2</v>
      </c>
    </row>
    <row r="28" spans="1:16" x14ac:dyDescent="0.2">
      <c r="A28" s="37" t="s">
        <v>69</v>
      </c>
      <c r="B28" s="38" t="s">
        <v>100</v>
      </c>
      <c r="C28" s="198">
        <v>557191.48</v>
      </c>
      <c r="D28" s="30">
        <v>513059.79</v>
      </c>
      <c r="E28" s="30">
        <v>409750.75</v>
      </c>
      <c r="F28" s="414">
        <f t="shared" si="1"/>
        <v>0.79864132404529309</v>
      </c>
      <c r="G28" s="30">
        <v>409750.75</v>
      </c>
      <c r="H28" s="48">
        <f t="shared" si="2"/>
        <v>0.79864132404529309</v>
      </c>
      <c r="I28" s="30">
        <v>409750.75</v>
      </c>
      <c r="J28" s="153">
        <f>I28/D28</f>
        <v>0.79864132404529309</v>
      </c>
      <c r="K28" s="30">
        <v>453729.83</v>
      </c>
      <c r="L28" s="48">
        <v>0.79579426964420208</v>
      </c>
      <c r="M28" s="210">
        <f>+G28/K28-1</f>
        <v>-9.6927900905259046E-2</v>
      </c>
      <c r="N28" s="30">
        <v>453729.83</v>
      </c>
      <c r="O28" s="153">
        <v>0.79579426964420208</v>
      </c>
      <c r="P28" s="210">
        <f t="shared" si="8"/>
        <v>-9.6927900905259046E-2</v>
      </c>
    </row>
    <row r="29" spans="1:16" x14ac:dyDescent="0.2">
      <c r="A29" s="39" t="s">
        <v>70</v>
      </c>
      <c r="B29" s="40" t="s">
        <v>743</v>
      </c>
      <c r="C29" s="199">
        <v>27012393.300000001</v>
      </c>
      <c r="D29" s="32">
        <v>26345493.829999998</v>
      </c>
      <c r="E29" s="32">
        <v>19899491.739999998</v>
      </c>
      <c r="F29" s="130">
        <f t="shared" si="1"/>
        <v>0.75532809779181886</v>
      </c>
      <c r="G29" s="32">
        <v>18643173.670000002</v>
      </c>
      <c r="H29" s="280">
        <f t="shared" si="2"/>
        <v>0.70764183773889822</v>
      </c>
      <c r="I29" s="32">
        <v>17056271.640000001</v>
      </c>
      <c r="J29" s="153">
        <f t="shared" ref="J29:J32" si="9">I29/D29</f>
        <v>0.64740755098611114</v>
      </c>
      <c r="K29" s="32">
        <v>18451882.68</v>
      </c>
      <c r="L29" s="280">
        <v>0.76549750508621817</v>
      </c>
      <c r="M29" s="211">
        <f>+G29/K29-1</f>
        <v>1.0367017464691708E-2</v>
      </c>
      <c r="N29" s="32">
        <v>16924336.18</v>
      </c>
      <c r="O29" s="153">
        <v>0.7021254874481142</v>
      </c>
      <c r="P29" s="211">
        <f t="shared" si="8"/>
        <v>7.7956061967094925E-3</v>
      </c>
    </row>
    <row r="30" spans="1:16" x14ac:dyDescent="0.2">
      <c r="A30" s="39" t="s">
        <v>71</v>
      </c>
      <c r="B30" s="40" t="s">
        <v>479</v>
      </c>
      <c r="C30" s="199">
        <v>243331620.75999999</v>
      </c>
      <c r="D30" s="32">
        <v>248904765.68000001</v>
      </c>
      <c r="E30" s="32">
        <v>236218802.66</v>
      </c>
      <c r="F30" s="130">
        <f t="shared" si="1"/>
        <v>0.94903286409425569</v>
      </c>
      <c r="G30" s="32">
        <v>229585430.47999999</v>
      </c>
      <c r="H30" s="280">
        <f t="shared" si="2"/>
        <v>0.92238262233661861</v>
      </c>
      <c r="I30" s="32">
        <v>189567213.91</v>
      </c>
      <c r="J30" s="153">
        <f t="shared" si="9"/>
        <v>0.76160540113447939</v>
      </c>
      <c r="K30" s="32">
        <v>210853624.06</v>
      </c>
      <c r="L30" s="280">
        <v>0.925441683795037</v>
      </c>
      <c r="M30" s="211">
        <f>+G30/K30-1</f>
        <v>8.883796284511436E-2</v>
      </c>
      <c r="N30" s="32">
        <v>183540797.22999999</v>
      </c>
      <c r="O30" s="153">
        <v>0.80556502261151919</v>
      </c>
      <c r="P30" s="211">
        <f t="shared" si="8"/>
        <v>3.2834207821643924E-2</v>
      </c>
    </row>
    <row r="31" spans="1:16" x14ac:dyDescent="0.2">
      <c r="A31" s="39" t="s">
        <v>72</v>
      </c>
      <c r="B31" s="40" t="s">
        <v>101</v>
      </c>
      <c r="C31" s="199">
        <v>39641547.32</v>
      </c>
      <c r="D31" s="32">
        <v>38414766.490000002</v>
      </c>
      <c r="E31" s="32">
        <v>33812123.729999997</v>
      </c>
      <c r="F31" s="414">
        <f t="shared" si="1"/>
        <v>0.88018558537383929</v>
      </c>
      <c r="G31" s="32">
        <v>30996621.16</v>
      </c>
      <c r="H31" s="280">
        <f t="shared" si="2"/>
        <v>0.80689339002148908</v>
      </c>
      <c r="I31" s="32">
        <v>21379138.670000002</v>
      </c>
      <c r="J31" s="153">
        <f t="shared" si="9"/>
        <v>0.55653439089797263</v>
      </c>
      <c r="K31" s="32">
        <v>22484369.75</v>
      </c>
      <c r="L31" s="280">
        <v>0.62313064486951386</v>
      </c>
      <c r="M31" s="211">
        <f>+G31/K31-1</f>
        <v>0.37858527966966915</v>
      </c>
      <c r="N31" s="32">
        <v>16057850.130000001</v>
      </c>
      <c r="O31" s="153">
        <v>0.44502641692791528</v>
      </c>
      <c r="P31" s="211">
        <f t="shared" si="8"/>
        <v>0.33138237665193615</v>
      </c>
    </row>
    <row r="32" spans="1:16" x14ac:dyDescent="0.2">
      <c r="A32" s="41">
        <v>234</v>
      </c>
      <c r="B32" s="42" t="s">
        <v>431</v>
      </c>
      <c r="C32" s="199">
        <v>10668077.699999999</v>
      </c>
      <c r="D32" s="32">
        <v>10746163.939999999</v>
      </c>
      <c r="E32" s="32">
        <v>10728080.539999999</v>
      </c>
      <c r="F32" s="130">
        <f t="shared" si="1"/>
        <v>0.99831722276889068</v>
      </c>
      <c r="G32" s="32">
        <v>10660231.960000001</v>
      </c>
      <c r="H32" s="280">
        <f t="shared" si="2"/>
        <v>0.9920034739391852</v>
      </c>
      <c r="I32" s="32">
        <v>7994709.54</v>
      </c>
      <c r="J32" s="153">
        <f t="shared" si="9"/>
        <v>0.7439593872415835</v>
      </c>
      <c r="K32" s="32">
        <v>10766557.390000001</v>
      </c>
      <c r="L32" s="243">
        <v>0.98906359450719827</v>
      </c>
      <c r="M32" s="515">
        <f>+G32/K32-1</f>
        <v>-9.8755271669991318E-3</v>
      </c>
      <c r="N32" s="32">
        <v>7385216.9800000004</v>
      </c>
      <c r="O32" s="153">
        <v>0.67843870495120218</v>
      </c>
      <c r="P32" s="515">
        <f t="shared" si="8"/>
        <v>8.2528727544576519E-2</v>
      </c>
    </row>
    <row r="33" spans="1:16" x14ac:dyDescent="0.2">
      <c r="A33" s="18">
        <v>2</v>
      </c>
      <c r="B33" s="513" t="s">
        <v>125</v>
      </c>
      <c r="C33" s="201">
        <f>SUBTOTAL(9,C28:C32)</f>
        <v>321210830.55999994</v>
      </c>
      <c r="D33" s="207">
        <f>SUBTOTAL(9,D28:D32)</f>
        <v>324924249.73000002</v>
      </c>
      <c r="E33" s="203">
        <f>SUBTOTAL(9,E28:E32)</f>
        <v>301068249.42000002</v>
      </c>
      <c r="F33" s="90">
        <f>E33/D33</f>
        <v>0.92657980950999053</v>
      </c>
      <c r="G33" s="203">
        <f>SUBTOTAL(9,G28:G32)</f>
        <v>290295208.01999998</v>
      </c>
      <c r="H33" s="90">
        <f t="shared" si="2"/>
        <v>0.89342426199714087</v>
      </c>
      <c r="I33" s="203">
        <f>SUBTOTAL(9,I28:I32)</f>
        <v>236407084.51000002</v>
      </c>
      <c r="J33" s="170">
        <f>I33/D33</f>
        <v>0.72757599565574294</v>
      </c>
      <c r="K33" s="561">
        <f>SUM(K28:K32)</f>
        <v>263010163.70999998</v>
      </c>
      <c r="L33" s="90">
        <v>0.87098469813762236</v>
      </c>
      <c r="M33" s="213">
        <f t="shared" ref="M33:M56" si="10">+G33/K33-1</f>
        <v>0.10374140651113772</v>
      </c>
      <c r="N33" s="561">
        <f>SUBTOTAL(9,N28:N32)</f>
        <v>224361930.34999996</v>
      </c>
      <c r="O33" s="170">
        <v>0.74299717327630799</v>
      </c>
      <c r="P33" s="213">
        <f t="shared" ref="P33:P55" si="11">+I33/N33-1</f>
        <v>5.3686265496155627E-2</v>
      </c>
    </row>
    <row r="34" spans="1:16" x14ac:dyDescent="0.2">
      <c r="A34" s="37" t="s">
        <v>494</v>
      </c>
      <c r="B34" s="38" t="s">
        <v>472</v>
      </c>
      <c r="C34" s="198">
        <v>19998074.850000001</v>
      </c>
      <c r="D34" s="30">
        <v>19318987.59</v>
      </c>
      <c r="E34" s="30">
        <v>18622675.690000001</v>
      </c>
      <c r="F34" s="78">
        <f t="shared" si="1"/>
        <v>0.96395712266203704</v>
      </c>
      <c r="G34" s="30">
        <v>18572459.359999999</v>
      </c>
      <c r="H34" s="280">
        <f t="shared" si="2"/>
        <v>0.96135779752835382</v>
      </c>
      <c r="I34" s="30">
        <v>13453399.48</v>
      </c>
      <c r="J34" s="153">
        <f>I34/D34</f>
        <v>0.6963822207207081</v>
      </c>
      <c r="K34" s="30">
        <v>19365498.219999999</v>
      </c>
      <c r="L34" s="48">
        <v>0.9812782217179119</v>
      </c>
      <c r="M34" s="210">
        <f t="shared" si="10"/>
        <v>-4.0951120957010922E-2</v>
      </c>
      <c r="N34" s="30">
        <v>18866533.960000001</v>
      </c>
      <c r="O34" s="153">
        <v>0.95599497022645652</v>
      </c>
      <c r="P34" s="210">
        <f t="shared" si="11"/>
        <v>-0.28691727327747063</v>
      </c>
    </row>
    <row r="35" spans="1:16" x14ac:dyDescent="0.2">
      <c r="A35" s="37" t="s">
        <v>73</v>
      </c>
      <c r="B35" s="38" t="s">
        <v>132</v>
      </c>
      <c r="C35" s="199">
        <v>2248848</v>
      </c>
      <c r="D35" s="32">
        <v>2889577.19</v>
      </c>
      <c r="E35" s="32">
        <v>2889577.19</v>
      </c>
      <c r="F35" s="78">
        <f t="shared" si="1"/>
        <v>1</v>
      </c>
      <c r="G35" s="32">
        <v>2889577.19</v>
      </c>
      <c r="H35" s="280">
        <f t="shared" si="2"/>
        <v>1</v>
      </c>
      <c r="I35" s="32">
        <v>2248848</v>
      </c>
      <c r="J35" s="153">
        <f t="shared" ref="J35:J45" si="12">I35/D35</f>
        <v>0.77826195741806781</v>
      </c>
      <c r="K35" s="32">
        <v>2248848</v>
      </c>
      <c r="L35" s="48">
        <v>1</v>
      </c>
      <c r="M35" s="210">
        <f t="shared" si="10"/>
        <v>0.28491440506428178</v>
      </c>
      <c r="N35" s="32">
        <v>2248848</v>
      </c>
      <c r="O35" s="153">
        <v>1</v>
      </c>
      <c r="P35" s="210">
        <f t="shared" si="11"/>
        <v>0</v>
      </c>
    </row>
    <row r="36" spans="1:16" x14ac:dyDescent="0.2">
      <c r="A36" s="37">
        <v>313</v>
      </c>
      <c r="B36" s="38" t="s">
        <v>761</v>
      </c>
      <c r="C36" s="199">
        <v>9000</v>
      </c>
      <c r="D36" s="32">
        <v>6000</v>
      </c>
      <c r="E36" s="32">
        <v>6000</v>
      </c>
      <c r="F36" s="78">
        <f t="shared" si="1"/>
        <v>1</v>
      </c>
      <c r="G36" s="32">
        <v>5190</v>
      </c>
      <c r="H36" s="280">
        <f t="shared" si="2"/>
        <v>0.86499999999999999</v>
      </c>
      <c r="I36" s="32">
        <v>5190</v>
      </c>
      <c r="J36" s="153">
        <f t="shared" si="12"/>
        <v>0.86499999999999999</v>
      </c>
      <c r="K36" s="32">
        <v>0</v>
      </c>
      <c r="L36" s="48">
        <v>0</v>
      </c>
      <c r="M36" s="210" t="s">
        <v>129</v>
      </c>
      <c r="N36" s="32">
        <v>0</v>
      </c>
      <c r="O36" s="153">
        <v>0</v>
      </c>
      <c r="P36" s="210" t="s">
        <v>129</v>
      </c>
    </row>
    <row r="37" spans="1:16" x14ac:dyDescent="0.2">
      <c r="A37" s="39" t="s">
        <v>74</v>
      </c>
      <c r="B37" s="40" t="s">
        <v>654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7100000</v>
      </c>
      <c r="J37" s="153">
        <f t="shared" si="12"/>
        <v>0.66510933096690805</v>
      </c>
      <c r="K37" s="32">
        <v>16218656.73</v>
      </c>
      <c r="L37" s="280">
        <v>0.92232964439806342</v>
      </c>
      <c r="M37" s="212">
        <f t="shared" si="10"/>
        <v>-0.34181129376427721</v>
      </c>
      <c r="N37" s="32">
        <v>16218656.73</v>
      </c>
      <c r="O37" s="178">
        <v>0.92232964439806342</v>
      </c>
      <c r="P37" s="210">
        <f t="shared" si="11"/>
        <v>-0.56223254994558358</v>
      </c>
    </row>
    <row r="38" spans="1:16" x14ac:dyDescent="0.2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39938923</v>
      </c>
      <c r="J38" s="153">
        <f t="shared" si="12"/>
        <v>0.9469409484321385</v>
      </c>
      <c r="K38" s="32">
        <v>39307154.049999997</v>
      </c>
      <c r="L38" s="603">
        <v>1</v>
      </c>
      <c r="M38" s="211">
        <f t="shared" si="10"/>
        <v>7.3005261493868101E-2</v>
      </c>
      <c r="N38" s="32">
        <v>39307154.049999997</v>
      </c>
      <c r="O38" s="178">
        <v>1</v>
      </c>
      <c r="P38" s="210">
        <f t="shared" si="11"/>
        <v>1.6072619991678083E-2</v>
      </c>
    </row>
    <row r="39" spans="1:16" x14ac:dyDescent="0.2">
      <c r="A39" s="39">
        <v>324</v>
      </c>
      <c r="B39" s="40" t="s">
        <v>474</v>
      </c>
      <c r="C39" s="199">
        <v>8163831</v>
      </c>
      <c r="D39" s="32">
        <v>8163831</v>
      </c>
      <c r="E39" s="32">
        <v>8163831</v>
      </c>
      <c r="F39" s="78">
        <f t="shared" si="1"/>
        <v>1</v>
      </c>
      <c r="G39" s="32">
        <v>8163831</v>
      </c>
      <c r="H39" s="280">
        <f t="shared" si="2"/>
        <v>1</v>
      </c>
      <c r="I39" s="32">
        <v>5416531</v>
      </c>
      <c r="J39" s="153">
        <f t="shared" si="12"/>
        <v>0.66347907005914253</v>
      </c>
      <c r="K39" s="32">
        <v>7557020.8600000003</v>
      </c>
      <c r="L39" s="280">
        <v>1</v>
      </c>
      <c r="M39" s="211">
        <f t="shared" si="10"/>
        <v>8.0297534073499932E-2</v>
      </c>
      <c r="N39" s="32">
        <v>7557020.8600000003</v>
      </c>
      <c r="O39" s="178">
        <v>1</v>
      </c>
      <c r="P39" s="210">
        <f t="shared" si="11"/>
        <v>-0.28324519670572934</v>
      </c>
    </row>
    <row r="40" spans="1:16" x14ac:dyDescent="0.2">
      <c r="A40" s="39" t="s">
        <v>473</v>
      </c>
      <c r="B40" s="40" t="s">
        <v>114</v>
      </c>
      <c r="C40" s="199">
        <v>17924191.510000002</v>
      </c>
      <c r="D40" s="32">
        <v>17851096.890000001</v>
      </c>
      <c r="E40" s="32">
        <v>17725545.27</v>
      </c>
      <c r="F40" s="78">
        <f t="shared" si="1"/>
        <v>0.99296672799583907</v>
      </c>
      <c r="G40" s="32">
        <v>17648469.140000001</v>
      </c>
      <c r="H40" s="280">
        <f t="shared" si="2"/>
        <v>0.98864900284567336</v>
      </c>
      <c r="I40" s="32">
        <v>16046708.699999999</v>
      </c>
      <c r="J40" s="153">
        <f t="shared" si="12"/>
        <v>0.8989200382968735</v>
      </c>
      <c r="K40" s="32">
        <v>15021145.060000001</v>
      </c>
      <c r="L40" s="280">
        <v>0.83352820157003471</v>
      </c>
      <c r="M40" s="211">
        <f t="shared" si="10"/>
        <v>0.1749083754604257</v>
      </c>
      <c r="N40" s="32">
        <v>10261370.890000001</v>
      </c>
      <c r="O40" s="178">
        <v>0.56940679218664092</v>
      </c>
      <c r="P40" s="210">
        <f t="shared" si="11"/>
        <v>0.56379774905495084</v>
      </c>
    </row>
    <row r="41" spans="1:16" x14ac:dyDescent="0.2">
      <c r="A41" s="39">
        <v>328</v>
      </c>
      <c r="B41" s="40" t="s">
        <v>432</v>
      </c>
      <c r="C41" s="199">
        <v>9502324.5999999996</v>
      </c>
      <c r="D41" s="32">
        <v>9602324.5999999996</v>
      </c>
      <c r="E41" s="32">
        <v>9602324.5999999996</v>
      </c>
      <c r="F41" s="78">
        <f t="shared" si="1"/>
        <v>1</v>
      </c>
      <c r="G41" s="32">
        <v>9602324.5999999996</v>
      </c>
      <c r="H41" s="280">
        <f t="shared" si="2"/>
        <v>1</v>
      </c>
      <c r="I41" s="32">
        <v>0</v>
      </c>
      <c r="J41" s="153">
        <f t="shared" si="12"/>
        <v>0</v>
      </c>
      <c r="K41" s="32">
        <v>9402300.0800000001</v>
      </c>
      <c r="L41" s="280">
        <v>1</v>
      </c>
      <c r="M41" s="212">
        <f t="shared" si="10"/>
        <v>2.1273998734147925E-2</v>
      </c>
      <c r="N41" s="32">
        <v>9002300.0800000001</v>
      </c>
      <c r="O41" s="178">
        <v>0.95745721827674324</v>
      </c>
      <c r="P41" s="210">
        <f t="shared" si="11"/>
        <v>-1</v>
      </c>
    </row>
    <row r="42" spans="1:16" x14ac:dyDescent="0.2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29700000</v>
      </c>
      <c r="J42" s="153">
        <f t="shared" si="12"/>
        <v>0.88985587172829117</v>
      </c>
      <c r="K42" s="32">
        <v>30377801.829999998</v>
      </c>
      <c r="L42" s="603">
        <v>1</v>
      </c>
      <c r="M42" s="211">
        <f t="shared" si="10"/>
        <v>9.8703313254183689E-2</v>
      </c>
      <c r="N42" s="32">
        <v>30377801.829999998</v>
      </c>
      <c r="O42" s="178">
        <v>1</v>
      </c>
      <c r="P42" s="210">
        <f t="shared" si="11"/>
        <v>-2.2312405413436709E-2</v>
      </c>
    </row>
    <row r="43" spans="1:16" x14ac:dyDescent="0.2">
      <c r="A43" s="39" t="s">
        <v>433</v>
      </c>
      <c r="B43" s="40" t="s">
        <v>502</v>
      </c>
      <c r="C43" s="199">
        <v>24741430.09</v>
      </c>
      <c r="D43" s="32">
        <v>20701995.420000002</v>
      </c>
      <c r="E43" s="32">
        <v>19229143.77</v>
      </c>
      <c r="F43" s="78">
        <f t="shared" si="1"/>
        <v>0.92885460458671076</v>
      </c>
      <c r="G43" s="32">
        <v>19229143.77</v>
      </c>
      <c r="H43" s="280">
        <f t="shared" si="2"/>
        <v>0.92885460458671076</v>
      </c>
      <c r="I43" s="32">
        <v>12649287.73</v>
      </c>
      <c r="J43" s="153">
        <f t="shared" si="12"/>
        <v>0.61101780158736019</v>
      </c>
      <c r="K43" s="32">
        <v>16141852.65</v>
      </c>
      <c r="L43" s="280">
        <v>0.94376352513630357</v>
      </c>
      <c r="M43" s="211">
        <f t="shared" si="10"/>
        <v>0.19126002367516337</v>
      </c>
      <c r="N43" s="32">
        <v>14358046.68</v>
      </c>
      <c r="O43" s="178">
        <v>0.83946998170550147</v>
      </c>
      <c r="P43" s="210">
        <f t="shared" si="11"/>
        <v>-0.11901054426715374</v>
      </c>
    </row>
    <row r="44" spans="1:16" x14ac:dyDescent="0.2">
      <c r="A44" s="39" t="s">
        <v>76</v>
      </c>
      <c r="B44" s="40" t="s">
        <v>110</v>
      </c>
      <c r="C44" s="199">
        <v>12623127.310000001</v>
      </c>
      <c r="D44" s="32">
        <v>12970033.42</v>
      </c>
      <c r="E44" s="32">
        <v>12968189.83</v>
      </c>
      <c r="F44" s="78">
        <f t="shared" si="1"/>
        <v>0.99985785772940594</v>
      </c>
      <c r="G44" s="32">
        <v>12923971.6</v>
      </c>
      <c r="H44" s="280">
        <f t="shared" si="2"/>
        <v>0.9964485966605936</v>
      </c>
      <c r="I44" s="32">
        <v>7094756.8200000003</v>
      </c>
      <c r="J44" s="153">
        <f t="shared" si="12"/>
        <v>0.547011452496319</v>
      </c>
      <c r="K44" s="32">
        <v>14701213.880000001</v>
      </c>
      <c r="L44" s="280">
        <v>0.99000298206028514</v>
      </c>
      <c r="M44" s="211">
        <f t="shared" si="10"/>
        <v>-0.12089085258584109</v>
      </c>
      <c r="N44" s="32">
        <v>14569723.23</v>
      </c>
      <c r="O44" s="178">
        <v>0.98114819383152929</v>
      </c>
      <c r="P44" s="210">
        <f t="shared" si="11"/>
        <v>-0.51304793454199338</v>
      </c>
    </row>
    <row r="45" spans="1:16" x14ac:dyDescent="0.2">
      <c r="A45" s="39" t="s">
        <v>77</v>
      </c>
      <c r="B45" s="40" t="s">
        <v>481</v>
      </c>
      <c r="C45" s="199">
        <v>65286878.990000002</v>
      </c>
      <c r="D45" s="32">
        <v>70017378.989999995</v>
      </c>
      <c r="E45" s="32">
        <v>69986878.989999995</v>
      </c>
      <c r="F45" s="414">
        <f t="shared" si="1"/>
        <v>0.99956439386278151</v>
      </c>
      <c r="G45" s="32">
        <v>69986878.989999995</v>
      </c>
      <c r="H45" s="280">
        <f t="shared" si="2"/>
        <v>0.99956439386278151</v>
      </c>
      <c r="I45" s="32">
        <v>61500000</v>
      </c>
      <c r="J45" s="153">
        <f t="shared" si="12"/>
        <v>0.87835335865376418</v>
      </c>
      <c r="K45" s="32">
        <v>66281666.950000003</v>
      </c>
      <c r="L45" s="280">
        <v>1</v>
      </c>
      <c r="M45" s="211">
        <f t="shared" si="10"/>
        <v>5.5901008687591514E-2</v>
      </c>
      <c r="N45" s="32">
        <v>61726939.759999998</v>
      </c>
      <c r="O45" s="178">
        <v>0.93128224742090615</v>
      </c>
      <c r="P45" s="210">
        <f t="shared" si="11"/>
        <v>-3.6765107890065485E-3</v>
      </c>
    </row>
    <row r="46" spans="1:16" ht="15.75" thickBot="1" x14ac:dyDescent="0.3">
      <c r="A46" s="7" t="s">
        <v>19</v>
      </c>
      <c r="N46" s="97"/>
      <c r="P46" s="517"/>
    </row>
    <row r="47" spans="1:16" x14ac:dyDescent="0.2">
      <c r="A47" s="765" t="s">
        <v>465</v>
      </c>
      <c r="B47" s="766"/>
      <c r="C47" s="164" t="s">
        <v>765</v>
      </c>
      <c r="D47" s="751" t="s">
        <v>784</v>
      </c>
      <c r="E47" s="752"/>
      <c r="F47" s="752"/>
      <c r="G47" s="752"/>
      <c r="H47" s="752"/>
      <c r="I47" s="752"/>
      <c r="J47" s="753"/>
      <c r="K47" s="760" t="s">
        <v>785</v>
      </c>
      <c r="L47" s="761"/>
      <c r="M47" s="761"/>
      <c r="N47" s="761"/>
      <c r="O47" s="761"/>
      <c r="P47" s="764"/>
    </row>
    <row r="48" spans="1:16" x14ac:dyDescent="0.2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543</v>
      </c>
      <c r="L48" s="88" t="s">
        <v>544</v>
      </c>
      <c r="M48" s="88" t="s">
        <v>545</v>
      </c>
      <c r="N48" s="87" t="s">
        <v>39</v>
      </c>
      <c r="O48" s="88" t="s">
        <v>40</v>
      </c>
      <c r="P48" s="604" t="s">
        <v>362</v>
      </c>
    </row>
    <row r="49" spans="1:16" x14ac:dyDescent="0.2">
      <c r="A49" s="673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06" t="s">
        <v>764</v>
      </c>
      <c r="N49" s="557" t="s">
        <v>17</v>
      </c>
      <c r="O49" s="89" t="s">
        <v>18</v>
      </c>
      <c r="P49" s="605" t="s">
        <v>764</v>
      </c>
    </row>
    <row r="50" spans="1:16" x14ac:dyDescent="0.2">
      <c r="A50" s="37" t="s">
        <v>78</v>
      </c>
      <c r="B50" s="40" t="s">
        <v>102</v>
      </c>
      <c r="C50" s="199">
        <v>17748245.370000001</v>
      </c>
      <c r="D50" s="32">
        <v>20659785.010000002</v>
      </c>
      <c r="E50" s="32">
        <v>20416778.579999998</v>
      </c>
      <c r="F50" s="414">
        <f>+E50/D50</f>
        <v>0.98823770770691077</v>
      </c>
      <c r="G50" s="30">
        <v>20199811.02</v>
      </c>
      <c r="H50" s="48">
        <f>+G50/D50</f>
        <v>0.97773578041701015</v>
      </c>
      <c r="I50" s="30">
        <v>16878725.949999999</v>
      </c>
      <c r="J50" s="153">
        <f t="shared" ref="J50:J80" si="13">+I50/D50</f>
        <v>0.81698458826314757</v>
      </c>
      <c r="K50" s="30">
        <v>16002471.77</v>
      </c>
      <c r="L50" s="48">
        <v>0.98702508838642533</v>
      </c>
      <c r="M50" s="210">
        <f t="shared" si="10"/>
        <v>0.26229318259875289</v>
      </c>
      <c r="N50" s="30">
        <v>9751599.9600000009</v>
      </c>
      <c r="O50" s="153">
        <v>0.60147419415994774</v>
      </c>
      <c r="P50" s="210">
        <f t="shared" si="11"/>
        <v>0.73086734681843923</v>
      </c>
    </row>
    <row r="51" spans="1:16" x14ac:dyDescent="0.2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2">
        <v>0</v>
      </c>
      <c r="P51" s="211" t="s">
        <v>129</v>
      </c>
    </row>
    <row r="52" spans="1:16" x14ac:dyDescent="0.2">
      <c r="A52" s="39" t="s">
        <v>497</v>
      </c>
      <c r="B52" s="40" t="s">
        <v>483</v>
      </c>
      <c r="C52" s="199">
        <v>15245118.1</v>
      </c>
      <c r="D52" s="32">
        <v>15640781.130000001</v>
      </c>
      <c r="E52" s="32">
        <v>14846795.640000001</v>
      </c>
      <c r="F52" s="130">
        <f t="shared" si="14"/>
        <v>0.94923619968844863</v>
      </c>
      <c r="G52" s="32">
        <v>14763795.25</v>
      </c>
      <c r="H52" s="280">
        <f t="shared" si="15"/>
        <v>0.94392953441961491</v>
      </c>
      <c r="I52" s="32">
        <v>10463564.789999999</v>
      </c>
      <c r="J52" s="178">
        <f t="shared" si="13"/>
        <v>0.66899246930386513</v>
      </c>
      <c r="K52" s="32">
        <v>14227159.33</v>
      </c>
      <c r="L52" s="280">
        <v>0.95566902555992461</v>
      </c>
      <c r="M52" s="211">
        <f t="shared" si="10"/>
        <v>3.7719119295193781E-2</v>
      </c>
      <c r="N52" s="32">
        <v>11498376.550000001</v>
      </c>
      <c r="O52" s="178">
        <v>0.77237079153872024</v>
      </c>
      <c r="P52" s="211">
        <f t="shared" si="11"/>
        <v>-8.9996336047978964E-2</v>
      </c>
    </row>
    <row r="53" spans="1:16" x14ac:dyDescent="0.2">
      <c r="A53" s="39">
        <v>338</v>
      </c>
      <c r="B53" s="40" t="s">
        <v>428</v>
      </c>
      <c r="C53" s="199">
        <v>8127724.7699999996</v>
      </c>
      <c r="D53" s="32">
        <v>8809568.1999999993</v>
      </c>
      <c r="E53" s="32">
        <v>8332951.2599999998</v>
      </c>
      <c r="F53" s="130">
        <f t="shared" si="14"/>
        <v>0.94589780915709354</v>
      </c>
      <c r="G53" s="32">
        <v>8251256.1100000003</v>
      </c>
      <c r="H53" s="280">
        <f t="shared" si="15"/>
        <v>0.93662435237177699</v>
      </c>
      <c r="I53" s="32">
        <v>3503532.08</v>
      </c>
      <c r="J53" s="178">
        <f t="shared" si="13"/>
        <v>0.39769623214903999</v>
      </c>
      <c r="K53" s="32">
        <v>7374594.04</v>
      </c>
      <c r="L53" s="280">
        <v>0.93799837674992559</v>
      </c>
      <c r="M53" s="211">
        <f t="shared" si="10"/>
        <v>0.1188759767988532</v>
      </c>
      <c r="N53" s="32">
        <v>6365436.4299999997</v>
      </c>
      <c r="O53" s="178">
        <v>0.80964036884731916</v>
      </c>
      <c r="P53" s="211">
        <f t="shared" si="11"/>
        <v>-0.44960064898488028</v>
      </c>
    </row>
    <row r="54" spans="1:16" x14ac:dyDescent="0.2">
      <c r="A54" s="39" t="s">
        <v>79</v>
      </c>
      <c r="B54" s="40" t="s">
        <v>115</v>
      </c>
      <c r="C54" s="199">
        <v>14042820.529999999</v>
      </c>
      <c r="D54" s="32">
        <v>13122178.390000001</v>
      </c>
      <c r="E54" s="32">
        <v>12591103.789999999</v>
      </c>
      <c r="F54" s="130">
        <f t="shared" si="14"/>
        <v>0.95952847277211861</v>
      </c>
      <c r="G54" s="32">
        <v>12533749.57</v>
      </c>
      <c r="H54" s="280">
        <f t="shared" si="15"/>
        <v>0.95515768780826638</v>
      </c>
      <c r="I54" s="32">
        <v>9223315.7699999996</v>
      </c>
      <c r="J54" s="392">
        <f t="shared" si="13"/>
        <v>0.7028799255639443</v>
      </c>
      <c r="K54" s="32">
        <v>12549655.859999999</v>
      </c>
      <c r="L54" s="412">
        <v>0.98283331558546128</v>
      </c>
      <c r="M54" s="211">
        <f t="shared" si="10"/>
        <v>-1.2674682220329414E-3</v>
      </c>
      <c r="N54" s="32">
        <v>11844404.380000001</v>
      </c>
      <c r="O54" s="392">
        <v>0.92760115160085044</v>
      </c>
      <c r="P54" s="211">
        <f t="shared" si="11"/>
        <v>-0.22129340791723295</v>
      </c>
    </row>
    <row r="55" spans="1:16" x14ac:dyDescent="0.2">
      <c r="A55" s="39">
        <v>342</v>
      </c>
      <c r="B55" s="40" t="s">
        <v>484</v>
      </c>
      <c r="C55" s="199">
        <v>5455050.5800000001</v>
      </c>
      <c r="D55" s="32">
        <v>6478127.2199999997</v>
      </c>
      <c r="E55" s="32">
        <v>6056013.3300000001</v>
      </c>
      <c r="F55" s="130">
        <f t="shared" si="14"/>
        <v>0.93484013578850345</v>
      </c>
      <c r="G55" s="32">
        <v>6056013.3300000001</v>
      </c>
      <c r="H55" s="280">
        <f t="shared" si="15"/>
        <v>0.93484013578850345</v>
      </c>
      <c r="I55" s="32">
        <v>1454850.83</v>
      </c>
      <c r="J55" s="392">
        <f t="shared" si="13"/>
        <v>0.22457892236330612</v>
      </c>
      <c r="K55" s="32">
        <v>6370972.0099999998</v>
      </c>
      <c r="L55" s="130">
        <v>1</v>
      </c>
      <c r="M55" s="211">
        <f t="shared" si="10"/>
        <v>-4.9436519185084293E-2</v>
      </c>
      <c r="N55" s="32">
        <v>4828592.28</v>
      </c>
      <c r="O55" s="392">
        <v>0.75790511595733734</v>
      </c>
      <c r="P55" s="211">
        <f t="shared" si="11"/>
        <v>-0.69870083336172673</v>
      </c>
    </row>
    <row r="56" spans="1:16" x14ac:dyDescent="0.2">
      <c r="A56" s="659">
        <v>343</v>
      </c>
      <c r="B56" s="661" t="s">
        <v>435</v>
      </c>
      <c r="C56" s="654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4500000</v>
      </c>
      <c r="J56" s="427">
        <f t="shared" si="13"/>
        <v>0.69029508706770171</v>
      </c>
      <c r="K56" s="398">
        <v>7608676.7199999997</v>
      </c>
      <c r="L56" s="414">
        <v>1</v>
      </c>
      <c r="M56" s="658">
        <f t="shared" si="10"/>
        <v>-0.14322142208192024</v>
      </c>
      <c r="N56" s="398">
        <v>3000000</v>
      </c>
      <c r="O56" s="178">
        <v>0.39428669536113503</v>
      </c>
      <c r="P56" s="658" t="s">
        <v>129</v>
      </c>
    </row>
    <row r="57" spans="1:16" x14ac:dyDescent="0.2">
      <c r="A57" s="526">
        <v>3</v>
      </c>
      <c r="B57" s="2" t="s">
        <v>124</v>
      </c>
      <c r="C57" s="201">
        <f>SUM(C34:C45,C50:C56)</f>
        <v>314074850.86000001</v>
      </c>
      <c r="D57" s="207">
        <f>SUM(D34:D45,D50:D56)</f>
        <v>319189850.20999998</v>
      </c>
      <c r="E57" s="203">
        <f>SUM(E34:E45,E50:E56)</f>
        <v>314395994.10000002</v>
      </c>
      <c r="F57" s="90">
        <f>+E57/D57</f>
        <v>0.98498117622836068</v>
      </c>
      <c r="G57" s="203">
        <f>SUM(G34:G45,G50:G56)</f>
        <v>313784656.09000003</v>
      </c>
      <c r="H57" s="90">
        <f>+G57/D57</f>
        <v>0.98306589599749561</v>
      </c>
      <c r="I57" s="203">
        <f>SUM(I34:I45,I50:I56)</f>
        <v>241177634.15000004</v>
      </c>
      <c r="J57" s="170">
        <f t="shared" si="13"/>
        <v>0.75559305532843701</v>
      </c>
      <c r="K57" s="561">
        <f>SUM(K34:K56)</f>
        <v>300968010.66000009</v>
      </c>
      <c r="L57" s="90">
        <v>0.97448230983584694</v>
      </c>
      <c r="M57" s="213">
        <f t="shared" ref="M57:M64" si="16">+G57/K57-1</f>
        <v>4.2584743148928128E-2</v>
      </c>
      <c r="N57" s="561">
        <f>SUBTOTAL(9,N34:N56)</f>
        <v>271782805.66999996</v>
      </c>
      <c r="O57" s="170">
        <v>0.87998566911539222</v>
      </c>
      <c r="P57" s="213">
        <f t="shared" ref="P57:P64" si="17">+I57/N57-1</f>
        <v>-0.11260893213811651</v>
      </c>
    </row>
    <row r="58" spans="1:16" x14ac:dyDescent="0.2">
      <c r="A58" s="37">
        <v>430</v>
      </c>
      <c r="B58" s="38" t="s">
        <v>744</v>
      </c>
      <c r="C58" s="198">
        <v>4583248.97</v>
      </c>
      <c r="D58" s="30">
        <v>5127237.7699999996</v>
      </c>
      <c r="E58" s="30">
        <v>3916966.07</v>
      </c>
      <c r="F58" s="414">
        <f t="shared" si="14"/>
        <v>0.76395249171368163</v>
      </c>
      <c r="G58" s="30">
        <v>3848772.32</v>
      </c>
      <c r="H58" s="414">
        <f>G58/D58</f>
        <v>0.75065220156544454</v>
      </c>
      <c r="I58" s="30">
        <v>3817784.35</v>
      </c>
      <c r="J58" s="153">
        <f t="shared" si="13"/>
        <v>0.74460840734522837</v>
      </c>
      <c r="K58" s="30">
        <v>3849733.81</v>
      </c>
      <c r="L58" s="48">
        <v>0.7795548472109205</v>
      </c>
      <c r="M58" s="210">
        <f t="shared" si="16"/>
        <v>-2.4975493045853447E-4</v>
      </c>
      <c r="N58" s="30">
        <v>3770438.44</v>
      </c>
      <c r="O58" s="153">
        <v>0.76349786948318421</v>
      </c>
      <c r="P58" s="210">
        <f t="shared" si="17"/>
        <v>1.255713645864498E-2</v>
      </c>
    </row>
    <row r="59" spans="1:16" x14ac:dyDescent="0.2">
      <c r="A59" s="37" t="s">
        <v>80</v>
      </c>
      <c r="B59" s="38" t="s">
        <v>103</v>
      </c>
      <c r="C59" s="199">
        <v>9677634.6099999994</v>
      </c>
      <c r="D59" s="32">
        <v>9341697.75</v>
      </c>
      <c r="E59" s="32">
        <v>6394235.7800000003</v>
      </c>
      <c r="F59" s="130">
        <f t="shared" si="14"/>
        <v>0.68448326536790383</v>
      </c>
      <c r="G59" s="32">
        <v>5329602.6399999997</v>
      </c>
      <c r="H59" s="414">
        <f t="shared" ref="H59:H64" si="18">G59/D59</f>
        <v>0.57051756357670635</v>
      </c>
      <c r="I59" s="32">
        <v>4593126.51</v>
      </c>
      <c r="J59" s="153">
        <f t="shared" si="13"/>
        <v>0.49168005997625003</v>
      </c>
      <c r="K59" s="32">
        <v>5425784.8200000003</v>
      </c>
      <c r="L59" s="48">
        <v>0.56833337562483732</v>
      </c>
      <c r="M59" s="210">
        <f t="shared" si="16"/>
        <v>-1.7726869603354567E-2</v>
      </c>
      <c r="N59" s="32">
        <v>5141196.53</v>
      </c>
      <c r="O59" s="153">
        <v>0.53852367456135142</v>
      </c>
      <c r="P59" s="210">
        <f t="shared" si="17"/>
        <v>-0.1066035925298503</v>
      </c>
    </row>
    <row r="60" spans="1:16" x14ac:dyDescent="0.2">
      <c r="A60" s="39" t="s">
        <v>81</v>
      </c>
      <c r="B60" s="40" t="s">
        <v>485</v>
      </c>
      <c r="C60" s="199">
        <v>2743104</v>
      </c>
      <c r="D60" s="32">
        <v>6670473.1699999999</v>
      </c>
      <c r="E60" s="32">
        <v>3919121.51</v>
      </c>
      <c r="F60" s="130">
        <f t="shared" si="14"/>
        <v>0.58753275968877028</v>
      </c>
      <c r="G60" s="32">
        <v>3841129</v>
      </c>
      <c r="H60" s="414">
        <f t="shared" si="18"/>
        <v>0.57584055914881971</v>
      </c>
      <c r="I60" s="32">
        <v>3621505.6</v>
      </c>
      <c r="J60" s="178">
        <f t="shared" si="13"/>
        <v>0.54291584835202933</v>
      </c>
      <c r="K60" s="32">
        <v>6087707.8700000001</v>
      </c>
      <c r="L60" s="280">
        <v>0.70549195065690196</v>
      </c>
      <c r="M60" s="210">
        <f t="shared" si="16"/>
        <v>-0.36903526219959704</v>
      </c>
      <c r="N60" s="32">
        <v>5904539.5499999998</v>
      </c>
      <c r="O60" s="178">
        <v>0.68426495058809811</v>
      </c>
      <c r="P60" s="210">
        <f t="shared" si="17"/>
        <v>-0.38665740667280313</v>
      </c>
    </row>
    <row r="61" spans="1:16" x14ac:dyDescent="0.2">
      <c r="A61" s="39" t="s">
        <v>82</v>
      </c>
      <c r="B61" s="40" t="s">
        <v>104</v>
      </c>
      <c r="C61" s="199">
        <v>54474880.619999997</v>
      </c>
      <c r="D61" s="32">
        <v>63576480.25</v>
      </c>
      <c r="E61" s="32">
        <v>50632168.93</v>
      </c>
      <c r="F61" s="130">
        <f t="shared" si="14"/>
        <v>0.796397798854239</v>
      </c>
      <c r="G61" s="32">
        <v>44843313.920000002</v>
      </c>
      <c r="H61" s="414">
        <f t="shared" si="18"/>
        <v>0.70534439377052494</v>
      </c>
      <c r="I61" s="32">
        <v>41650970.649999999</v>
      </c>
      <c r="J61" s="178">
        <f t="shared" si="13"/>
        <v>0.65513174819079412</v>
      </c>
      <c r="K61" s="32">
        <v>42263997.079999998</v>
      </c>
      <c r="L61" s="280">
        <v>0.86255173621957881</v>
      </c>
      <c r="M61" s="210">
        <f t="shared" si="16"/>
        <v>6.1028700979647299E-2</v>
      </c>
      <c r="N61" s="32">
        <v>38302789.640000001</v>
      </c>
      <c r="O61" s="178">
        <v>0.78170878261936738</v>
      </c>
      <c r="P61" s="210">
        <f t="shared" si="17"/>
        <v>8.7413502814517097E-2</v>
      </c>
    </row>
    <row r="62" spans="1:16" x14ac:dyDescent="0.2">
      <c r="A62" s="39" t="s">
        <v>83</v>
      </c>
      <c r="B62" s="40" t="s">
        <v>486</v>
      </c>
      <c r="C62" s="199">
        <v>153522597.02000001</v>
      </c>
      <c r="D62" s="32">
        <v>152794695.12</v>
      </c>
      <c r="E62" s="32">
        <v>150992168.41999999</v>
      </c>
      <c r="F62" s="130">
        <f t="shared" si="14"/>
        <v>0.98820294972554923</v>
      </c>
      <c r="G62" s="32">
        <v>150992168.41999999</v>
      </c>
      <c r="H62" s="414">
        <f t="shared" si="18"/>
        <v>0.98820294972554923</v>
      </c>
      <c r="I62" s="32">
        <v>111414624.75</v>
      </c>
      <c r="J62" s="178">
        <f>+I62/D62</f>
        <v>0.72917861881591217</v>
      </c>
      <c r="K62" s="32">
        <v>128005095</v>
      </c>
      <c r="L62" s="280">
        <v>0.87659456468232877</v>
      </c>
      <c r="M62" s="210">
        <f t="shared" si="16"/>
        <v>0.17957936299332444</v>
      </c>
      <c r="N62" s="32">
        <v>119772135.88</v>
      </c>
      <c r="O62" s="178">
        <v>0.82021425250925628</v>
      </c>
      <c r="P62" s="210">
        <f t="shared" si="17"/>
        <v>-6.9778426080448375E-2</v>
      </c>
    </row>
    <row r="63" spans="1:16" x14ac:dyDescent="0.2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13150000</v>
      </c>
      <c r="J63" s="178">
        <f t="shared" si="13"/>
        <v>0.77951424703073247</v>
      </c>
      <c r="K63" s="32">
        <v>15669752</v>
      </c>
      <c r="L63" s="280">
        <v>1</v>
      </c>
      <c r="M63" s="210">
        <f t="shared" si="16"/>
        <v>7.6563304894678552E-2</v>
      </c>
      <c r="N63" s="32">
        <v>12300000</v>
      </c>
      <c r="O63" s="178">
        <v>0.78495179757790678</v>
      </c>
      <c r="P63" s="210">
        <f t="shared" si="17"/>
        <v>6.9105691056910556E-2</v>
      </c>
    </row>
    <row r="64" spans="1:16" x14ac:dyDescent="0.2">
      <c r="A64" s="659" t="s">
        <v>84</v>
      </c>
      <c r="B64" s="661" t="s">
        <v>487</v>
      </c>
      <c r="C64" s="654">
        <v>1548192.01</v>
      </c>
      <c r="D64" s="397">
        <v>1477254.95</v>
      </c>
      <c r="E64" s="398">
        <v>1135249.17</v>
      </c>
      <c r="F64" s="130">
        <f t="shared" si="14"/>
        <v>0.76848560906836016</v>
      </c>
      <c r="G64" s="398">
        <v>1025461.79</v>
      </c>
      <c r="H64" s="414">
        <f t="shared" si="18"/>
        <v>0.6941671036539766</v>
      </c>
      <c r="I64" s="398">
        <v>987323.95</v>
      </c>
      <c r="J64" s="427">
        <f>+I64/D64</f>
        <v>0.66835040897984466</v>
      </c>
      <c r="K64" s="398">
        <v>1143645.6000000001</v>
      </c>
      <c r="L64" s="412">
        <v>0.66414755948047477</v>
      </c>
      <c r="M64" s="443">
        <f t="shared" si="16"/>
        <v>-0.10333953980149102</v>
      </c>
      <c r="N64" s="398">
        <v>1101384.55</v>
      </c>
      <c r="O64" s="427">
        <v>0.63960536457448092</v>
      </c>
      <c r="P64" s="443">
        <f t="shared" si="17"/>
        <v>-0.10356110406669505</v>
      </c>
    </row>
    <row r="65" spans="1:16" x14ac:dyDescent="0.2">
      <c r="A65" s="526">
        <v>4</v>
      </c>
      <c r="B65" s="2" t="s">
        <v>123</v>
      </c>
      <c r="C65" s="201">
        <f>SUBTOTAL(9,C58:C64)</f>
        <v>243419137.22999999</v>
      </c>
      <c r="D65" s="207">
        <f>SUBTOTAL(9,D58:D64)</f>
        <v>255857319.00999999</v>
      </c>
      <c r="E65" s="203">
        <f>SUBTOTAL(9,E58:E64)</f>
        <v>233859389.87999997</v>
      </c>
      <c r="F65" s="90">
        <f t="shared" ref="F65:F80" si="19">+E65/D65</f>
        <v>0.91402267007597204</v>
      </c>
      <c r="G65" s="203">
        <f>SUBTOTAL(9,G58:G64)</f>
        <v>226749928.08999997</v>
      </c>
      <c r="H65" s="90">
        <f>+G65/D65</f>
        <v>0.88623584803973354</v>
      </c>
      <c r="I65" s="203">
        <f>SUBTOTAL(9,I58:I64)</f>
        <v>179235335.81</v>
      </c>
      <c r="J65" s="170">
        <f t="shared" si="13"/>
        <v>0.70052846838043636</v>
      </c>
      <c r="K65" s="561">
        <f>SUM(K58:K64)</f>
        <v>202445716.17999998</v>
      </c>
      <c r="L65" s="90">
        <v>0.85953193857773313</v>
      </c>
      <c r="M65" s="213">
        <f t="shared" ref="M65:M78" si="20">+G65/K65-1</f>
        <v>0.12005298194796299</v>
      </c>
      <c r="N65" s="561">
        <f>SUBTOTAL(9,N58:N64)</f>
        <v>186292484.59</v>
      </c>
      <c r="O65" s="170">
        <v>0.79094951201503461</v>
      </c>
      <c r="P65" s="213">
        <f t="shared" ref="P65:P78" si="21">+I65/N65-1</f>
        <v>-3.7882090603556295E-2</v>
      </c>
    </row>
    <row r="66" spans="1:16" x14ac:dyDescent="0.2">
      <c r="A66" s="37" t="s">
        <v>85</v>
      </c>
      <c r="B66" s="38" t="s">
        <v>113</v>
      </c>
      <c r="C66" s="198">
        <v>30183531.489999998</v>
      </c>
      <c r="D66" s="30">
        <v>30242430.75</v>
      </c>
      <c r="E66" s="30">
        <v>24312309.670000002</v>
      </c>
      <c r="F66" s="414">
        <f t="shared" si="14"/>
        <v>0.80391387421793148</v>
      </c>
      <c r="G66" s="30">
        <v>23493732.41</v>
      </c>
      <c r="H66" s="414">
        <f>+G66/D66</f>
        <v>0.77684669609436074</v>
      </c>
      <c r="I66" s="30">
        <v>22417504.879999999</v>
      </c>
      <c r="J66" s="153">
        <f t="shared" si="13"/>
        <v>0.74126002189820672</v>
      </c>
      <c r="K66" s="30">
        <v>24688988.530000001</v>
      </c>
      <c r="L66" s="48">
        <v>0.79120578885354631</v>
      </c>
      <c r="M66" s="210">
        <f t="shared" si="20"/>
        <v>-4.8412518744849531E-2</v>
      </c>
      <c r="N66" s="30">
        <v>24422964.32</v>
      </c>
      <c r="O66" s="153">
        <v>0.78268053498697199</v>
      </c>
      <c r="P66" s="210">
        <f t="shared" si="21"/>
        <v>-8.2113678492242936E-2</v>
      </c>
    </row>
    <row r="67" spans="1:16" x14ac:dyDescent="0.2">
      <c r="A67" s="39" t="s">
        <v>86</v>
      </c>
      <c r="B67" s="40" t="s">
        <v>745</v>
      </c>
      <c r="C67" s="199">
        <v>56361662.600000001</v>
      </c>
      <c r="D67" s="32">
        <v>59676993.590000004</v>
      </c>
      <c r="E67" s="32">
        <v>43902630.100000001</v>
      </c>
      <c r="F67" s="130">
        <f t="shared" si="14"/>
        <v>0.73567094216617357</v>
      </c>
      <c r="G67" s="32">
        <v>41254762.530000001</v>
      </c>
      <c r="H67" s="414">
        <f t="shared" ref="H67:H78" si="22">+G67/D67</f>
        <v>0.69130095281664805</v>
      </c>
      <c r="I67" s="32">
        <v>36862527.469999999</v>
      </c>
      <c r="J67" s="178">
        <f t="shared" si="13"/>
        <v>0.61770081320210812</v>
      </c>
      <c r="K67" s="32">
        <v>43605418.82</v>
      </c>
      <c r="L67" s="280">
        <v>0.75791621842550794</v>
      </c>
      <c r="M67" s="211">
        <f t="shared" si="20"/>
        <v>-5.3907435213575994E-2</v>
      </c>
      <c r="N67" s="32">
        <v>38607825.579999998</v>
      </c>
      <c r="O67" s="178">
        <v>0.67105185449575722</v>
      </c>
      <c r="P67" s="211">
        <f t="shared" si="21"/>
        <v>-4.5205812132142364E-2</v>
      </c>
    </row>
    <row r="68" spans="1:16" x14ac:dyDescent="0.2">
      <c r="A68" s="39" t="s">
        <v>87</v>
      </c>
      <c r="B68" s="40" t="s">
        <v>116</v>
      </c>
      <c r="C68" s="199">
        <v>7218581.6100000003</v>
      </c>
      <c r="D68" s="32">
        <v>7745991.6799999997</v>
      </c>
      <c r="E68" s="32">
        <v>6388034.5</v>
      </c>
      <c r="F68" s="130">
        <f t="shared" si="14"/>
        <v>0.82468904743259419</v>
      </c>
      <c r="G68" s="32">
        <v>6062802.75</v>
      </c>
      <c r="H68" s="414">
        <f t="shared" si="22"/>
        <v>0.78270194449782837</v>
      </c>
      <c r="I68" s="32">
        <v>5718199.5</v>
      </c>
      <c r="J68" s="178">
        <f t="shared" si="13"/>
        <v>0.73821399973411794</v>
      </c>
      <c r="K68" s="32">
        <v>5676942.7000000002</v>
      </c>
      <c r="L68" s="280">
        <v>0.79386857049150983</v>
      </c>
      <c r="M68" s="211">
        <f t="shared" si="20"/>
        <v>6.7969692560046369E-2</v>
      </c>
      <c r="N68" s="32">
        <v>5335611.0599999996</v>
      </c>
      <c r="O68" s="178">
        <v>0.74613645913686766</v>
      </c>
      <c r="P68" s="211">
        <f t="shared" si="21"/>
        <v>7.1704709300906222E-2</v>
      </c>
    </row>
    <row r="69" spans="1:16" x14ac:dyDescent="0.2">
      <c r="A69" s="39" t="s">
        <v>88</v>
      </c>
      <c r="B69" s="40" t="s">
        <v>111</v>
      </c>
      <c r="C69" s="199">
        <v>3332924.07</v>
      </c>
      <c r="D69" s="32">
        <v>2367200.3199999998</v>
      </c>
      <c r="E69" s="32">
        <v>2014968.84</v>
      </c>
      <c r="F69" s="130">
        <f t="shared" si="14"/>
        <v>0.85120334894175764</v>
      </c>
      <c r="G69" s="32">
        <v>1967777.32</v>
      </c>
      <c r="H69" s="414">
        <f t="shared" si="22"/>
        <v>0.83126776528992707</v>
      </c>
      <c r="I69" s="32">
        <v>1838338.44</v>
      </c>
      <c r="J69" s="178">
        <f t="shared" si="13"/>
        <v>0.77658761046466906</v>
      </c>
      <c r="K69" s="32">
        <v>1938456.16</v>
      </c>
      <c r="L69" s="280">
        <v>0.79081516500640814</v>
      </c>
      <c r="M69" s="211">
        <f t="shared" si="20"/>
        <v>1.5126037206846243E-2</v>
      </c>
      <c r="N69" s="32">
        <v>1813632.6</v>
      </c>
      <c r="O69" s="178">
        <v>0.73989197869195089</v>
      </c>
      <c r="P69" s="211">
        <f t="shared" si="21"/>
        <v>1.3622295937997464E-2</v>
      </c>
    </row>
    <row r="70" spans="1:16" x14ac:dyDescent="0.2">
      <c r="A70" s="39" t="s">
        <v>89</v>
      </c>
      <c r="B70" s="40" t="s">
        <v>105</v>
      </c>
      <c r="C70" s="199">
        <v>15684736.65</v>
      </c>
      <c r="D70" s="32">
        <v>16586040.359999999</v>
      </c>
      <c r="E70" s="32">
        <v>12562498.57</v>
      </c>
      <c r="F70" s="130">
        <f t="shared" si="14"/>
        <v>0.75741396363031643</v>
      </c>
      <c r="G70" s="32">
        <v>12139694.57</v>
      </c>
      <c r="H70" s="414">
        <f t="shared" si="22"/>
        <v>0.73192240622281957</v>
      </c>
      <c r="I70" s="32">
        <v>10345348.67</v>
      </c>
      <c r="J70" s="178">
        <f t="shared" si="13"/>
        <v>0.62373830314253498</v>
      </c>
      <c r="K70" s="32">
        <v>10386213.4</v>
      </c>
      <c r="L70" s="280">
        <v>0.73600689494893579</v>
      </c>
      <c r="M70" s="211">
        <f t="shared" si="20"/>
        <v>0.16882776257996013</v>
      </c>
      <c r="N70" s="32">
        <v>9368051.8100000005</v>
      </c>
      <c r="O70" s="178">
        <v>0.66385606176730949</v>
      </c>
      <c r="P70" s="211">
        <f t="shared" si="21"/>
        <v>0.10432231586900231</v>
      </c>
    </row>
    <row r="71" spans="1:16" x14ac:dyDescent="0.2">
      <c r="A71" s="39" t="s">
        <v>90</v>
      </c>
      <c r="B71" s="40" t="s">
        <v>120</v>
      </c>
      <c r="C71" s="199">
        <v>39167636.100000001</v>
      </c>
      <c r="D71" s="32">
        <v>40274398.509999998</v>
      </c>
      <c r="E71" s="32">
        <v>37123051.649999999</v>
      </c>
      <c r="F71" s="78">
        <f t="shared" si="14"/>
        <v>0.92175309932394067</v>
      </c>
      <c r="G71" s="32">
        <v>34895488.280000001</v>
      </c>
      <c r="H71" s="414">
        <f t="shared" si="22"/>
        <v>0.86644343729517326</v>
      </c>
      <c r="I71" s="32">
        <v>26270042.809999999</v>
      </c>
      <c r="J71" s="178">
        <f t="shared" si="13"/>
        <v>0.65227647790884413</v>
      </c>
      <c r="K71" s="32">
        <v>29717184.359999999</v>
      </c>
      <c r="L71" s="280">
        <v>0.74729650168285167</v>
      </c>
      <c r="M71" s="211">
        <f t="shared" si="20"/>
        <v>0.1742528449959786</v>
      </c>
      <c r="N71" s="32">
        <v>21585434.300000001</v>
      </c>
      <c r="O71" s="178">
        <v>0.54280780252544203</v>
      </c>
      <c r="P71" s="211">
        <f t="shared" si="21"/>
        <v>0.21702637273320913</v>
      </c>
    </row>
    <row r="72" spans="1:16" x14ac:dyDescent="0.2">
      <c r="A72" s="39" t="s">
        <v>91</v>
      </c>
      <c r="B72" s="40" t="s">
        <v>488</v>
      </c>
      <c r="C72" s="199">
        <v>42228054.409999996</v>
      </c>
      <c r="D72" s="32">
        <v>50298581.579999998</v>
      </c>
      <c r="E72" s="32">
        <v>49975588.299999997</v>
      </c>
      <c r="F72" s="414">
        <f t="shared" si="14"/>
        <v>0.99357848134372773</v>
      </c>
      <c r="G72" s="32">
        <v>49469222.659999996</v>
      </c>
      <c r="H72" s="414">
        <f t="shared" si="22"/>
        <v>0.98351128612482031</v>
      </c>
      <c r="I72" s="32">
        <v>45194705.619999997</v>
      </c>
      <c r="J72" s="178">
        <f t="shared" si="13"/>
        <v>0.89852843162421436</v>
      </c>
      <c r="K72" s="32">
        <v>39311440.859999999</v>
      </c>
      <c r="L72" s="280">
        <v>0.97954915812084087</v>
      </c>
      <c r="M72" s="211">
        <f t="shared" si="20"/>
        <v>0.25839250807862646</v>
      </c>
      <c r="N72" s="32">
        <v>34416071.789999999</v>
      </c>
      <c r="O72" s="178">
        <v>0.85756801099660629</v>
      </c>
      <c r="P72" s="211">
        <f t="shared" si="21"/>
        <v>0.31318605725165471</v>
      </c>
    </row>
    <row r="73" spans="1:16" x14ac:dyDescent="0.2">
      <c r="A73" s="39" t="s">
        <v>92</v>
      </c>
      <c r="B73" s="40" t="s">
        <v>118</v>
      </c>
      <c r="C73" s="199">
        <v>44564324.299999997</v>
      </c>
      <c r="D73" s="32">
        <v>12353047.77</v>
      </c>
      <c r="E73" s="32">
        <v>11670.08</v>
      </c>
      <c r="F73" s="130">
        <f t="shared" si="14"/>
        <v>9.4471260997965045E-4</v>
      </c>
      <c r="G73" s="32">
        <v>11670.08</v>
      </c>
      <c r="H73" s="414">
        <f t="shared" si="22"/>
        <v>9.4471260997965045E-4</v>
      </c>
      <c r="I73" s="32">
        <v>11670.08</v>
      </c>
      <c r="J73" s="178">
        <f t="shared" si="13"/>
        <v>9.4471260997965045E-4</v>
      </c>
      <c r="K73" s="32">
        <v>9444865.9499999993</v>
      </c>
      <c r="L73" s="280">
        <v>0.21293736202021099</v>
      </c>
      <c r="M73" s="211">
        <f t="shared" si="20"/>
        <v>-0.9987643996154334</v>
      </c>
      <c r="N73" s="32">
        <v>9444865.9499999993</v>
      </c>
      <c r="O73" s="178">
        <v>0.21293736202021099</v>
      </c>
      <c r="P73" s="211">
        <f t="shared" si="21"/>
        <v>-0.9987643996154334</v>
      </c>
    </row>
    <row r="74" spans="1:16" x14ac:dyDescent="0.2">
      <c r="A74" s="39">
        <v>931</v>
      </c>
      <c r="B74" s="40" t="s">
        <v>436</v>
      </c>
      <c r="C74" s="199">
        <v>5805408.6299999999</v>
      </c>
      <c r="D74" s="32">
        <v>5983590.5099999998</v>
      </c>
      <c r="E74" s="32">
        <v>4741346.28</v>
      </c>
      <c r="F74" s="130">
        <f t="shared" si="14"/>
        <v>0.7923915034085447</v>
      </c>
      <c r="G74" s="32">
        <v>4662915.92</v>
      </c>
      <c r="H74" s="414">
        <f t="shared" si="22"/>
        <v>0.77928392863902718</v>
      </c>
      <c r="I74" s="32">
        <v>4385894.1100000003</v>
      </c>
      <c r="J74" s="178">
        <f t="shared" si="13"/>
        <v>0.73298700883192636</v>
      </c>
      <c r="K74" s="32">
        <v>3954914.96</v>
      </c>
      <c r="L74" s="280">
        <v>0.75584444438842646</v>
      </c>
      <c r="M74" s="211">
        <f t="shared" si="20"/>
        <v>0.1790179984046989</v>
      </c>
      <c r="N74" s="32">
        <v>3617757.11</v>
      </c>
      <c r="O74" s="178">
        <v>0.69140844756374464</v>
      </c>
      <c r="P74" s="211">
        <f t="shared" si="21"/>
        <v>0.21232409380849804</v>
      </c>
    </row>
    <row r="75" spans="1:16" x14ac:dyDescent="0.2">
      <c r="A75" s="39" t="s">
        <v>93</v>
      </c>
      <c r="B75" s="40" t="s">
        <v>107</v>
      </c>
      <c r="C75" s="199">
        <v>28425422.43</v>
      </c>
      <c r="D75" s="32">
        <v>28681497.27</v>
      </c>
      <c r="E75" s="32">
        <v>26365411.530000001</v>
      </c>
      <c r="F75" s="130">
        <f t="shared" si="14"/>
        <v>0.91924808812465464</v>
      </c>
      <c r="G75" s="32">
        <v>26295272.789999999</v>
      </c>
      <c r="H75" s="414">
        <f t="shared" si="22"/>
        <v>0.91680265302969655</v>
      </c>
      <c r="I75" s="32">
        <v>21329874.170000002</v>
      </c>
      <c r="J75" s="178">
        <f t="shared" si="13"/>
        <v>0.74368063735328149</v>
      </c>
      <c r="K75" s="32">
        <v>27934465.07</v>
      </c>
      <c r="L75" s="280">
        <v>0.97751382159626266</v>
      </c>
      <c r="M75" s="211">
        <f t="shared" si="20"/>
        <v>-5.8679923739094586E-2</v>
      </c>
      <c r="N75" s="32">
        <v>24346021.23</v>
      </c>
      <c r="O75" s="178">
        <v>0.85194300995437111</v>
      </c>
      <c r="P75" s="211">
        <f t="shared" si="21"/>
        <v>-0.12388665201209137</v>
      </c>
    </row>
    <row r="76" spans="1:16" x14ac:dyDescent="0.2">
      <c r="A76" s="39" t="s">
        <v>94</v>
      </c>
      <c r="B76" s="40" t="s">
        <v>108</v>
      </c>
      <c r="C76" s="199">
        <v>68365574.019999996</v>
      </c>
      <c r="D76" s="32">
        <v>69960617.109999999</v>
      </c>
      <c r="E76" s="32">
        <v>65387822.700000003</v>
      </c>
      <c r="F76" s="130">
        <f t="shared" si="14"/>
        <v>0.93463759184956685</v>
      </c>
      <c r="G76" s="32">
        <v>64772545.390000001</v>
      </c>
      <c r="H76" s="414">
        <f t="shared" si="22"/>
        <v>0.92584296802524302</v>
      </c>
      <c r="I76" s="32">
        <v>42726687.600000001</v>
      </c>
      <c r="J76" s="178">
        <f t="shared" si="13"/>
        <v>0.61072485299579715</v>
      </c>
      <c r="K76" s="32">
        <v>65028942.119999997</v>
      </c>
      <c r="L76" s="280">
        <v>0.91441527772281017</v>
      </c>
      <c r="M76" s="211">
        <f t="shared" si="20"/>
        <v>-3.9428094882254516E-3</v>
      </c>
      <c r="N76" s="32">
        <v>42571910.090000004</v>
      </c>
      <c r="O76" s="178">
        <v>0.59863198937331652</v>
      </c>
      <c r="P76" s="211">
        <f t="shared" si="21"/>
        <v>3.6356721996448904E-3</v>
      </c>
    </row>
    <row r="77" spans="1:16" x14ac:dyDescent="0.2">
      <c r="A77" s="39" t="s">
        <v>95</v>
      </c>
      <c r="B77" s="40" t="s">
        <v>117</v>
      </c>
      <c r="C77" s="199">
        <v>799840.54</v>
      </c>
      <c r="D77" s="32">
        <v>807138.59</v>
      </c>
      <c r="E77" s="32">
        <v>649034.06000000006</v>
      </c>
      <c r="F77" s="130">
        <f t="shared" si="14"/>
        <v>0.80411724583754585</v>
      </c>
      <c r="G77" s="32">
        <v>649034.06000000006</v>
      </c>
      <c r="H77" s="414">
        <f t="shared" si="22"/>
        <v>0.80411724583754585</v>
      </c>
      <c r="I77" s="32">
        <v>649034.06000000006</v>
      </c>
      <c r="J77" s="178">
        <f t="shared" si="13"/>
        <v>0.80411724583754585</v>
      </c>
      <c r="K77" s="32">
        <v>722250.63</v>
      </c>
      <c r="L77" s="280">
        <v>0.82171144625127268</v>
      </c>
      <c r="M77" s="211">
        <f t="shared" si="20"/>
        <v>-0.10137280184857711</v>
      </c>
      <c r="N77" s="32">
        <v>722250.63</v>
      </c>
      <c r="O77" s="178">
        <v>0.82171144625127268</v>
      </c>
      <c r="P77" s="211">
        <f t="shared" si="21"/>
        <v>-0.10137280184857711</v>
      </c>
    </row>
    <row r="78" spans="1:16" x14ac:dyDescent="0.2">
      <c r="A78" s="659" t="s">
        <v>499</v>
      </c>
      <c r="B78" s="42" t="s">
        <v>119</v>
      </c>
      <c r="C78" s="200">
        <v>97687346.239999995</v>
      </c>
      <c r="D78" s="206">
        <v>97687346.239999995</v>
      </c>
      <c r="E78" s="34">
        <v>97687346.230000004</v>
      </c>
      <c r="F78" s="130">
        <f t="shared" si="14"/>
        <v>0.99999999989763266</v>
      </c>
      <c r="G78" s="34">
        <v>97687346.230000004</v>
      </c>
      <c r="H78" s="414">
        <f t="shared" si="22"/>
        <v>0.99999999989763266</v>
      </c>
      <c r="I78" s="34">
        <v>88756166.930000007</v>
      </c>
      <c r="J78" s="392">
        <f t="shared" si="13"/>
        <v>0.90857383628727406</v>
      </c>
      <c r="K78" s="34">
        <v>86137049.870000005</v>
      </c>
      <c r="L78" s="390">
        <v>0.75681208766854802</v>
      </c>
      <c r="M78" s="515">
        <f t="shared" si="20"/>
        <v>0.13409208206494161</v>
      </c>
      <c r="N78" s="34">
        <v>79002108.519999996</v>
      </c>
      <c r="O78" s="392">
        <v>0.69412350166942605</v>
      </c>
      <c r="P78" s="515">
        <f t="shared" si="21"/>
        <v>0.12346579847967853</v>
      </c>
    </row>
    <row r="79" spans="1:16" ht="13.5" thickBot="1" x14ac:dyDescent="0.25">
      <c r="A79" s="18">
        <v>9</v>
      </c>
      <c r="B79" s="2" t="s">
        <v>534</v>
      </c>
      <c r="C79" s="514">
        <f>SUBTOTAL(9,C66:C78)</f>
        <v>439825043.09000003</v>
      </c>
      <c r="D79" s="207">
        <f>SUBTOTAL(9,D66:D78)</f>
        <v>422664874.28000003</v>
      </c>
      <c r="E79" s="203">
        <f>SUBTOTAL(9,E66:E78)</f>
        <v>371121712.51000005</v>
      </c>
      <c r="F79" s="90">
        <f t="shared" si="19"/>
        <v>0.87805193923956282</v>
      </c>
      <c r="G79" s="203">
        <f>SUBTOTAL(9,G66:G78)</f>
        <v>363362264.99000001</v>
      </c>
      <c r="H79" s="529">
        <f>+G79/D79</f>
        <v>0.85969354706605161</v>
      </c>
      <c r="I79" s="203">
        <f>SUBTOTAL(9,I66:I78)</f>
        <v>306505994.34000003</v>
      </c>
      <c r="J79" s="170">
        <f t="shared" si="13"/>
        <v>0.72517498612139464</v>
      </c>
      <c r="K79" s="612">
        <f>SUM(K66:K78)</f>
        <v>348547133.42999995</v>
      </c>
      <c r="L79" s="90">
        <v>0.75711352527169862</v>
      </c>
      <c r="M79" s="43">
        <f>+G79/K79-1</f>
        <v>4.2505389197169841E-2</v>
      </c>
      <c r="N79" s="612">
        <f>SUM(N66:N78)</f>
        <v>295254504.98999995</v>
      </c>
      <c r="O79" s="170">
        <v>0.64135136308680563</v>
      </c>
      <c r="P79" s="43">
        <f>+I79/N79-1</f>
        <v>3.8107765198641674E-2</v>
      </c>
    </row>
    <row r="80" spans="1:16" ht="13.5" thickBot="1" x14ac:dyDescent="0.25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2174749599.9499998</v>
      </c>
      <c r="E80" s="209">
        <f>SUM(E79,E65,E57,E33,E27,E6)</f>
        <v>1938398641.1800001</v>
      </c>
      <c r="F80" s="181">
        <f t="shared" si="19"/>
        <v>0.89132038061971197</v>
      </c>
      <c r="G80" s="209">
        <f>SUM(G79,G65,G57,G33,G27,G6)</f>
        <v>1906325922.9000001</v>
      </c>
      <c r="H80" s="181">
        <f>+G80/D80</f>
        <v>0.87657260539044535</v>
      </c>
      <c r="I80" s="209">
        <f>SUM(I79,I65,I57,I33,I27,I6)</f>
        <v>1501905166.3700001</v>
      </c>
      <c r="J80" s="173">
        <f t="shared" si="13"/>
        <v>0.69061061853030381</v>
      </c>
      <c r="K80" s="613">
        <f>K6+K27+K33+K57+K65+K79</f>
        <v>1832776955.4700003</v>
      </c>
      <c r="L80" s="181">
        <v>0.84681676572578968</v>
      </c>
      <c r="M80" s="614">
        <f>+G80/K80-1</f>
        <v>4.0129797142248957E-2</v>
      </c>
      <c r="N80" s="613">
        <f>N6+N27+N33+N57+N65+N79</f>
        <v>1535255568.3900001</v>
      </c>
      <c r="O80" s="173">
        <v>0.70934990267440035</v>
      </c>
      <c r="P80" s="614">
        <f>+I80/N80-1</f>
        <v>-2.1723029511610314E-2</v>
      </c>
    </row>
    <row r="81" spans="1:19" ht="15.75" thickBot="1" x14ac:dyDescent="0.3">
      <c r="A81" s="7" t="s">
        <v>19</v>
      </c>
      <c r="N81" s="97"/>
      <c r="P81" s="517"/>
    </row>
    <row r="82" spans="1:19" ht="12.75" customHeight="1" x14ac:dyDescent="0.2">
      <c r="A82" s="765" t="s">
        <v>756</v>
      </c>
      <c r="B82" s="766"/>
      <c r="C82" s="164" t="s">
        <v>765</v>
      </c>
      <c r="D82" s="751" t="s">
        <v>784</v>
      </c>
      <c r="E82" s="752"/>
      <c r="F82" s="752"/>
      <c r="G82" s="752"/>
      <c r="H82" s="752"/>
      <c r="I82" s="752"/>
      <c r="J82" s="753"/>
      <c r="K82" s="760" t="s">
        <v>785</v>
      </c>
      <c r="L82" s="761"/>
      <c r="M82" s="761"/>
      <c r="N82" s="761"/>
      <c r="O82" s="761"/>
      <c r="P82" s="764"/>
    </row>
    <row r="83" spans="1:19" ht="12.75" customHeight="1" x14ac:dyDescent="0.2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4" t="s">
        <v>362</v>
      </c>
    </row>
    <row r="84" spans="1:19" ht="14.1" customHeight="1" x14ac:dyDescent="0.2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6" t="s">
        <v>764</v>
      </c>
      <c r="N84" s="557" t="s">
        <v>17</v>
      </c>
      <c r="O84" s="89" t="s">
        <v>18</v>
      </c>
      <c r="P84" s="605" t="s">
        <v>764</v>
      </c>
    </row>
    <row r="85" spans="1:19" ht="14.1" customHeight="1" x14ac:dyDescent="0.2">
      <c r="A85" s="17" t="s">
        <v>546</v>
      </c>
      <c r="B85" s="13" t="s">
        <v>547</v>
      </c>
      <c r="C85" s="524">
        <v>24060000</v>
      </c>
      <c r="D85" s="511">
        <v>24060000</v>
      </c>
      <c r="E85" s="180">
        <v>18469735.449999999</v>
      </c>
      <c r="F85" s="78">
        <f>+E85/D85</f>
        <v>0.76765317747298423</v>
      </c>
      <c r="G85" s="180">
        <v>18469735.449999999</v>
      </c>
      <c r="H85" s="78">
        <f>+G85/D85</f>
        <v>0.76765317747298423</v>
      </c>
      <c r="I85" s="180">
        <v>18469735.449999999</v>
      </c>
      <c r="J85" s="172">
        <f>+I85/D85</f>
        <v>0.76765317747298423</v>
      </c>
      <c r="K85" s="180">
        <v>19527542.460000001</v>
      </c>
      <c r="L85" s="78">
        <v>0.72833054272164077</v>
      </c>
      <c r="M85" s="245">
        <f t="shared" ref="M85:M150" si="23">+G85/K85-1</f>
        <v>-5.4170001789359934E-2</v>
      </c>
      <c r="N85" s="180">
        <v>19527542.460000001</v>
      </c>
      <c r="O85" s="78">
        <v>0.72833054272164077</v>
      </c>
      <c r="P85" s="245">
        <f>+I85/N85-1</f>
        <v>-5.4170001789359934E-2</v>
      </c>
    </row>
    <row r="86" spans="1:19" ht="14.1" customHeight="1" x14ac:dyDescent="0.2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18469735.449999999</v>
      </c>
      <c r="F86" s="90">
        <f>+E86/D86</f>
        <v>0.76765317747298423</v>
      </c>
      <c r="G86" s="203">
        <f>SUBTOTAL(9,G85:G85)</f>
        <v>18469735.449999999</v>
      </c>
      <c r="H86" s="90">
        <f t="shared" ref="H86:H130" si="24">+G86/D86</f>
        <v>0.76765317747298423</v>
      </c>
      <c r="I86" s="203">
        <f>SUBTOTAL(9,I85:I85)</f>
        <v>18469735.449999999</v>
      </c>
      <c r="J86" s="170">
        <f>+I86/D86</f>
        <v>0.76765317747298423</v>
      </c>
      <c r="K86" s="561">
        <f>SUM(K85)</f>
        <v>19527542.460000001</v>
      </c>
      <c r="L86" s="90">
        <v>0.72833054272164077</v>
      </c>
      <c r="M86" s="213">
        <f t="shared" si="23"/>
        <v>-5.4170001789359934E-2</v>
      </c>
      <c r="N86" s="561">
        <f>SUBTOTAL(9,N85:N85)</f>
        <v>19527542.460000001</v>
      </c>
      <c r="O86" s="90">
        <v>0.72833054272164077</v>
      </c>
      <c r="P86" s="213">
        <f t="shared" ref="P86:P121" si="25">+I86/N86-1</f>
        <v>-5.4170001789359934E-2</v>
      </c>
    </row>
    <row r="87" spans="1:19" ht="14.1" customHeight="1" x14ac:dyDescent="0.2">
      <c r="A87" s="37" t="s">
        <v>548</v>
      </c>
      <c r="B87" s="38" t="s">
        <v>549</v>
      </c>
      <c r="C87" s="198">
        <v>8245978.9400000004</v>
      </c>
      <c r="D87" s="204">
        <v>20999035.649999999</v>
      </c>
      <c r="E87" s="30">
        <v>8513128.8699999992</v>
      </c>
      <c r="F87" s="48">
        <f>+E87/D87</f>
        <v>0.40540570585678298</v>
      </c>
      <c r="G87" s="30">
        <v>8299384.3499999996</v>
      </c>
      <c r="H87" s="48">
        <f>G87/D87</f>
        <v>0.39522692795657022</v>
      </c>
      <c r="I87" s="136">
        <v>7599245.1399999997</v>
      </c>
      <c r="J87" s="153">
        <f>I87/D87</f>
        <v>0.36188543448660704</v>
      </c>
      <c r="K87" s="30">
        <v>7533186.6799999997</v>
      </c>
      <c r="L87" s="48">
        <v>0.83138043289276087</v>
      </c>
      <c r="M87" s="210">
        <f t="shared" si="23"/>
        <v>0.1017096353173077</v>
      </c>
      <c r="N87" s="30">
        <v>7013306.3099999996</v>
      </c>
      <c r="O87" s="48">
        <v>0.77400519643266441</v>
      </c>
      <c r="P87" s="210">
        <f>+I87/N87-1</f>
        <v>8.3546733038671439E-2</v>
      </c>
    </row>
    <row r="88" spans="1:19" ht="14.1" customHeight="1" x14ac:dyDescent="0.2">
      <c r="A88" s="39" t="s">
        <v>550</v>
      </c>
      <c r="B88" s="40" t="s">
        <v>551</v>
      </c>
      <c r="C88" s="199">
        <v>168671029.94999999</v>
      </c>
      <c r="D88" s="205">
        <v>164334745.84999999</v>
      </c>
      <c r="E88" s="32">
        <v>143652162.05000001</v>
      </c>
      <c r="F88" s="280">
        <f>+E88/D88</f>
        <v>0.87414357388011876</v>
      </c>
      <c r="G88" s="32">
        <v>142874552.72</v>
      </c>
      <c r="H88" s="48">
        <f t="shared" ref="H88:H120" si="26">G88/D88</f>
        <v>0.86941171193590283</v>
      </c>
      <c r="I88" s="133">
        <v>138801030.88999999</v>
      </c>
      <c r="J88" s="178">
        <f t="shared" ref="J88:J130" si="27">I88/D88</f>
        <v>0.84462375970504466</v>
      </c>
      <c r="K88" s="32">
        <v>158152920.53</v>
      </c>
      <c r="L88" s="280">
        <v>0.81515456910948225</v>
      </c>
      <c r="M88" s="443">
        <f t="shared" si="23"/>
        <v>-9.6605031123037977E-2</v>
      </c>
      <c r="N88" s="32">
        <v>154629867.91</v>
      </c>
      <c r="O88" s="280">
        <v>0.79699598923133597</v>
      </c>
      <c r="P88" s="443">
        <f>+I88/N88-1</f>
        <v>-0.1023659738829561</v>
      </c>
      <c r="Q88" s="53" t="s">
        <v>148</v>
      </c>
    </row>
    <row r="89" spans="1:19" ht="14.1" customHeight="1" x14ac:dyDescent="0.2">
      <c r="A89" s="39" t="s">
        <v>552</v>
      </c>
      <c r="B89" s="40" t="s">
        <v>553</v>
      </c>
      <c r="C89" s="199">
        <v>592279.81000000006</v>
      </c>
      <c r="D89" s="205">
        <v>574332.03</v>
      </c>
      <c r="E89" s="32">
        <v>554141.21</v>
      </c>
      <c r="F89" s="280">
        <f>+E89/D89</f>
        <v>0.96484469097083081</v>
      </c>
      <c r="G89" s="32">
        <v>548050.21</v>
      </c>
      <c r="H89" s="48">
        <f t="shared" si="26"/>
        <v>0.95423932738001738</v>
      </c>
      <c r="I89" s="133">
        <v>472498.72</v>
      </c>
      <c r="J89" s="178">
        <f t="shared" si="27"/>
        <v>0.8226926156286285</v>
      </c>
      <c r="K89" s="32">
        <v>516947.51</v>
      </c>
      <c r="L89" s="280">
        <v>0.81788630643676064</v>
      </c>
      <c r="M89" s="245">
        <f t="shared" si="23"/>
        <v>6.0166069858814009E-2</v>
      </c>
      <c r="N89" s="32">
        <v>439009.22</v>
      </c>
      <c r="O89" s="280">
        <v>0.69457657207302004</v>
      </c>
      <c r="P89" s="245">
        <f>+I89/N89-1</f>
        <v>7.6284274849626188E-2</v>
      </c>
      <c r="Q89" s="53"/>
    </row>
    <row r="90" spans="1:19" ht="14.1" customHeight="1" x14ac:dyDescent="0.2">
      <c r="A90" s="39" t="s">
        <v>554</v>
      </c>
      <c r="B90" s="40" t="s">
        <v>555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">
      <c r="A91" s="39">
        <v>1341</v>
      </c>
      <c r="B91" s="40" t="s">
        <v>556</v>
      </c>
      <c r="C91" s="199">
        <v>14562809.07</v>
      </c>
      <c r="D91" s="205">
        <v>15223352.859999999</v>
      </c>
      <c r="E91" s="32">
        <v>15048849.789999999</v>
      </c>
      <c r="F91" s="280">
        <f t="shared" si="28"/>
        <v>0.98853714608044629</v>
      </c>
      <c r="G91" s="32">
        <v>14663804.869999999</v>
      </c>
      <c r="H91" s="48">
        <f t="shared" si="26"/>
        <v>0.96324410298139795</v>
      </c>
      <c r="I91" s="133">
        <v>8361812.5199999996</v>
      </c>
      <c r="J91" s="178">
        <f t="shared" si="27"/>
        <v>0.54927535326143651</v>
      </c>
      <c r="K91" s="32">
        <v>15187273.09</v>
      </c>
      <c r="L91" s="280">
        <v>0.93902340870613654</v>
      </c>
      <c r="M91" s="210">
        <f t="shared" si="23"/>
        <v>-3.4467558257359365E-2</v>
      </c>
      <c r="N91" s="32">
        <v>7287656.5199999996</v>
      </c>
      <c r="O91" s="280">
        <v>0.45059307397295906</v>
      </c>
      <c r="P91" s="210">
        <f t="shared" ref="P91:P94" si="29">+I91/N91-1</f>
        <v>0.14739388403557752</v>
      </c>
      <c r="R91" s="276"/>
    </row>
    <row r="92" spans="1:19" ht="14.1" customHeight="1" x14ac:dyDescent="0.2">
      <c r="A92" s="39" t="s">
        <v>557</v>
      </c>
      <c r="B92" s="40" t="s">
        <v>475</v>
      </c>
      <c r="C92" s="199">
        <v>431130.98</v>
      </c>
      <c r="D92" s="205">
        <v>376940.26</v>
      </c>
      <c r="E92" s="32">
        <v>351389.81</v>
      </c>
      <c r="F92" s="280">
        <f t="shared" si="28"/>
        <v>0.93221618194883182</v>
      </c>
      <c r="G92" s="32">
        <v>351389.81</v>
      </c>
      <c r="H92" s="48">
        <f t="shared" si="26"/>
        <v>0.93221618194883182</v>
      </c>
      <c r="I92" s="133">
        <v>351389.81</v>
      </c>
      <c r="J92" s="178">
        <f t="shared" si="27"/>
        <v>0.93221618194883182</v>
      </c>
      <c r="K92" s="32">
        <v>402447.29</v>
      </c>
      <c r="L92" s="280">
        <v>0.84376175655587071</v>
      </c>
      <c r="M92" s="210">
        <f t="shared" si="23"/>
        <v>-0.12686749611359038</v>
      </c>
      <c r="N92" s="32">
        <v>402447.29</v>
      </c>
      <c r="O92" s="280">
        <v>0.84376175655587071</v>
      </c>
      <c r="P92" s="210">
        <f t="shared" si="29"/>
        <v>-0.12686749611359038</v>
      </c>
      <c r="R92" s="275"/>
    </row>
    <row r="93" spans="1:19" ht="14.1" customHeight="1" x14ac:dyDescent="0.2">
      <c r="A93" s="39">
        <v>1361</v>
      </c>
      <c r="B93" s="40" t="s">
        <v>558</v>
      </c>
      <c r="C93" s="199">
        <v>40845954.75</v>
      </c>
      <c r="D93" s="205">
        <v>44223303.490000002</v>
      </c>
      <c r="E93" s="32">
        <v>37033520.590000004</v>
      </c>
      <c r="F93" s="280">
        <f t="shared" si="28"/>
        <v>0.83742094478252194</v>
      </c>
      <c r="G93" s="32">
        <v>36757009.869999997</v>
      </c>
      <c r="H93" s="48">
        <f t="shared" si="26"/>
        <v>0.83116834268863882</v>
      </c>
      <c r="I93" s="133">
        <v>35611069.18</v>
      </c>
      <c r="J93" s="178">
        <f t="shared" si="27"/>
        <v>0.80525574458842852</v>
      </c>
      <c r="K93" s="32">
        <v>38327343.700000003</v>
      </c>
      <c r="L93" s="280">
        <v>0.83586345870563816</v>
      </c>
      <c r="M93" s="211">
        <f t="shared" si="23"/>
        <v>-4.0971632218801624E-2</v>
      </c>
      <c r="N93" s="32">
        <v>37178174.57</v>
      </c>
      <c r="O93" s="280">
        <v>0.81080175625221318</v>
      </c>
      <c r="P93" s="211">
        <f t="shared" si="29"/>
        <v>-4.2151219314154775E-2</v>
      </c>
      <c r="R93" s="275"/>
    </row>
    <row r="94" spans="1:19" ht="14.1" customHeight="1" x14ac:dyDescent="0.2">
      <c r="A94" s="39" t="s">
        <v>559</v>
      </c>
      <c r="B94" s="40" t="s">
        <v>560</v>
      </c>
      <c r="C94" s="199">
        <v>27221948.489999998</v>
      </c>
      <c r="D94" s="205">
        <v>31537991.620000001</v>
      </c>
      <c r="E94" s="32">
        <v>28206043.100000001</v>
      </c>
      <c r="F94" s="280">
        <f t="shared" si="28"/>
        <v>0.89435127765437594</v>
      </c>
      <c r="G94" s="32">
        <v>25670378.870000001</v>
      </c>
      <c r="H94" s="48">
        <f t="shared" si="26"/>
        <v>0.81395096996984995</v>
      </c>
      <c r="I94" s="133">
        <v>22078094.510000002</v>
      </c>
      <c r="J94" s="178">
        <f t="shared" si="27"/>
        <v>0.7000475736064008</v>
      </c>
      <c r="K94" s="32">
        <v>21569834.199999999</v>
      </c>
      <c r="L94" s="280">
        <v>0.89635011919869367</v>
      </c>
      <c r="M94" s="211">
        <f t="shared" si="23"/>
        <v>0.19010552570682271</v>
      </c>
      <c r="N94" s="32">
        <v>19201319.93</v>
      </c>
      <c r="O94" s="280">
        <v>0.79792478924236476</v>
      </c>
      <c r="P94" s="211">
        <f t="shared" si="29"/>
        <v>0.14982170967868469</v>
      </c>
      <c r="R94" s="275"/>
      <c r="S94" s="275"/>
    </row>
    <row r="95" spans="1:19" ht="14.1" customHeight="1" x14ac:dyDescent="0.2">
      <c r="A95" s="39" t="s">
        <v>561</v>
      </c>
      <c r="B95" s="40" t="s">
        <v>562</v>
      </c>
      <c r="C95" s="199">
        <v>10111588.699999999</v>
      </c>
      <c r="D95" s="205">
        <v>10892987.720000001</v>
      </c>
      <c r="E95" s="32">
        <v>9018283.6899999995</v>
      </c>
      <c r="F95" s="280">
        <f t="shared" si="28"/>
        <v>0.82789808653158004</v>
      </c>
      <c r="G95" s="32">
        <v>8965921.0299999993</v>
      </c>
      <c r="H95" s="48">
        <f t="shared" si="26"/>
        <v>0.82309108028628153</v>
      </c>
      <c r="I95" s="133">
        <v>8752547.5399999991</v>
      </c>
      <c r="J95" s="178">
        <f t="shared" si="27"/>
        <v>0.80350292913026422</v>
      </c>
      <c r="K95" s="32">
        <v>8783628.4800000004</v>
      </c>
      <c r="L95" s="280">
        <v>0.81316810663191119</v>
      </c>
      <c r="M95" s="211">
        <f t="shared" si="23"/>
        <v>2.0753672632565445E-2</v>
      </c>
      <c r="N95" s="32">
        <v>8627982.3200000003</v>
      </c>
      <c r="O95" s="280">
        <v>0.79875874340350106</v>
      </c>
      <c r="P95" s="211">
        <f>+I95/N95-1</f>
        <v>1.4437352254564884E-2</v>
      </c>
      <c r="R95" s="275"/>
      <c r="S95" s="275"/>
    </row>
    <row r="96" spans="1:19" ht="14.1" customHeight="1" x14ac:dyDescent="0.2">
      <c r="A96" s="39" t="s">
        <v>563</v>
      </c>
      <c r="B96" s="40" t="s">
        <v>564</v>
      </c>
      <c r="C96" s="199">
        <v>768399.65</v>
      </c>
      <c r="D96" s="205">
        <v>592894.29</v>
      </c>
      <c r="E96" s="32">
        <v>501783.88</v>
      </c>
      <c r="F96" s="280">
        <f t="shared" si="28"/>
        <v>0.84632941902678804</v>
      </c>
      <c r="G96" s="32">
        <v>501783.88</v>
      </c>
      <c r="H96" s="48">
        <f t="shared" si="26"/>
        <v>0.84632941902678804</v>
      </c>
      <c r="I96" s="133">
        <v>501783.88</v>
      </c>
      <c r="J96" s="178">
        <f t="shared" si="27"/>
        <v>0.84632941902678804</v>
      </c>
      <c r="K96" s="32">
        <v>558357.18000000005</v>
      </c>
      <c r="L96" s="280">
        <v>0.79849312905748282</v>
      </c>
      <c r="M96" s="211">
        <f>+G96/K96-1</f>
        <v>-0.10132098596815764</v>
      </c>
      <c r="N96" s="32">
        <v>558357.18000000005</v>
      </c>
      <c r="O96" s="280">
        <v>0.79849312905748282</v>
      </c>
      <c r="P96" s="211">
        <f t="shared" ref="P96:P102" si="30">+I96/N96-1</f>
        <v>-0.10132098596815764</v>
      </c>
      <c r="R96" s="275"/>
      <c r="S96" s="275"/>
    </row>
    <row r="97" spans="1:19" ht="14.1" customHeight="1" x14ac:dyDescent="0.2">
      <c r="A97" s="39" t="s">
        <v>565</v>
      </c>
      <c r="B97" s="40" t="s">
        <v>566</v>
      </c>
      <c r="C97" s="199">
        <v>6253007.9500000002</v>
      </c>
      <c r="D97" s="205">
        <v>6683352.0499999998</v>
      </c>
      <c r="E97" s="32">
        <v>6659376.2999999998</v>
      </c>
      <c r="F97" s="280">
        <f t="shared" si="28"/>
        <v>0.99641261603150177</v>
      </c>
      <c r="G97" s="32">
        <v>6631738.7800000003</v>
      </c>
      <c r="H97" s="48">
        <f t="shared" si="26"/>
        <v>0.99227733783678218</v>
      </c>
      <c r="I97" s="133">
        <v>6183840.4699999997</v>
      </c>
      <c r="J97" s="178">
        <f t="shared" si="27"/>
        <v>0.92526032202657948</v>
      </c>
      <c r="K97" s="32">
        <v>6088039.79</v>
      </c>
      <c r="L97" s="280">
        <v>0.96679166803170036</v>
      </c>
      <c r="M97" s="211">
        <f t="shared" si="23"/>
        <v>8.9306083526763613E-2</v>
      </c>
      <c r="N97" s="32">
        <v>5555468.5</v>
      </c>
      <c r="O97" s="280">
        <v>0.88221838934672414</v>
      </c>
      <c r="P97" s="211">
        <f t="shared" si="30"/>
        <v>0.1131087270137523</v>
      </c>
      <c r="R97" s="275"/>
      <c r="S97" s="275"/>
    </row>
    <row r="98" spans="1:19" ht="14.1" customHeight="1" x14ac:dyDescent="0.2">
      <c r="A98" s="39" t="s">
        <v>567</v>
      </c>
      <c r="B98" s="40" t="s">
        <v>568</v>
      </c>
      <c r="C98" s="199">
        <v>1408497.48</v>
      </c>
      <c r="D98" s="205">
        <v>1117442.29</v>
      </c>
      <c r="E98" s="32">
        <v>1108429.83</v>
      </c>
      <c r="F98" s="280">
        <f t="shared" si="28"/>
        <v>0.99193474233018342</v>
      </c>
      <c r="G98" s="32">
        <v>940927.69</v>
      </c>
      <c r="H98" s="48">
        <f t="shared" si="26"/>
        <v>0.8420369431337702</v>
      </c>
      <c r="I98" s="133">
        <v>670585.85</v>
      </c>
      <c r="J98" s="178">
        <f t="shared" si="27"/>
        <v>0.60010781406885894</v>
      </c>
      <c r="K98" s="32">
        <v>2310577.5</v>
      </c>
      <c r="L98" s="280">
        <v>0.86941300752958284</v>
      </c>
      <c r="M98" s="211">
        <f t="shared" si="23"/>
        <v>-0.59277380222044052</v>
      </c>
      <c r="N98" s="32">
        <v>1569868.12</v>
      </c>
      <c r="O98" s="280">
        <v>0.59070243851764859</v>
      </c>
      <c r="P98" s="211">
        <f t="shared" si="30"/>
        <v>-0.57283937328442602</v>
      </c>
      <c r="R98" s="275"/>
      <c r="S98" s="275"/>
    </row>
    <row r="99" spans="1:19" ht="14.1" customHeight="1" x14ac:dyDescent="0.2">
      <c r="A99" s="39" t="s">
        <v>569</v>
      </c>
      <c r="B99" s="40" t="s">
        <v>570</v>
      </c>
      <c r="C99" s="199">
        <v>309641.09000000003</v>
      </c>
      <c r="D99" s="205">
        <v>244641.09</v>
      </c>
      <c r="E99" s="32">
        <v>195486.38</v>
      </c>
      <c r="F99" s="280">
        <f t="shared" si="28"/>
        <v>0.79907418659719021</v>
      </c>
      <c r="G99" s="32">
        <v>155770.17000000001</v>
      </c>
      <c r="H99" s="48">
        <f t="shared" si="26"/>
        <v>0.63672938180581196</v>
      </c>
      <c r="I99" s="133">
        <v>95523.79</v>
      </c>
      <c r="J99" s="178">
        <f t="shared" si="27"/>
        <v>0.39046502776782099</v>
      </c>
      <c r="K99" s="32">
        <v>278179.86</v>
      </c>
      <c r="L99" s="280">
        <v>0.7566016368257007</v>
      </c>
      <c r="M99" s="211">
        <f t="shared" si="23"/>
        <v>-0.44003793085523868</v>
      </c>
      <c r="N99" s="32">
        <v>221757.56</v>
      </c>
      <c r="O99" s="280">
        <v>0.60314263180114314</v>
      </c>
      <c r="P99" s="211">
        <f t="shared" si="30"/>
        <v>-0.56924223913719119</v>
      </c>
      <c r="R99" s="275"/>
      <c r="S99" s="275"/>
    </row>
    <row r="100" spans="1:19" ht="14.1" customHeight="1" x14ac:dyDescent="0.2">
      <c r="A100" s="39" t="s">
        <v>571</v>
      </c>
      <c r="B100" s="40" t="s">
        <v>572</v>
      </c>
      <c r="C100" s="199">
        <v>7945464.6799999997</v>
      </c>
      <c r="D100" s="205">
        <v>8647581.8900000006</v>
      </c>
      <c r="E100" s="32">
        <v>8171920.6100000003</v>
      </c>
      <c r="F100" s="280">
        <f t="shared" si="28"/>
        <v>0.94499487995019149</v>
      </c>
      <c r="G100" s="32">
        <v>8171920.6100000003</v>
      </c>
      <c r="H100" s="48">
        <f t="shared" si="26"/>
        <v>0.94499487995019149</v>
      </c>
      <c r="I100" s="133">
        <v>5183984.58</v>
      </c>
      <c r="J100" s="178">
        <f t="shared" si="27"/>
        <v>0.59947215833766443</v>
      </c>
      <c r="K100" s="32">
        <v>7844932.9900000002</v>
      </c>
      <c r="L100" s="280">
        <v>0.95385740499829519</v>
      </c>
      <c r="M100" s="211">
        <f t="shared" si="23"/>
        <v>4.1681378338962682E-2</v>
      </c>
      <c r="N100" s="32">
        <v>4856996.96</v>
      </c>
      <c r="O100" s="280">
        <v>0.59055730906252246</v>
      </c>
      <c r="P100" s="211">
        <f t="shared" si="30"/>
        <v>6.7323002812832655E-2</v>
      </c>
      <c r="R100" s="275"/>
      <c r="S100" s="275"/>
    </row>
    <row r="101" spans="1:19" ht="14.1" customHeight="1" x14ac:dyDescent="0.2">
      <c r="A101" s="39">
        <v>1521</v>
      </c>
      <c r="B101" s="40" t="s">
        <v>573</v>
      </c>
      <c r="C101" s="199">
        <v>18338488.539999999</v>
      </c>
      <c r="D101" s="205">
        <v>18229295.539999999</v>
      </c>
      <c r="E101" s="32">
        <v>16274174.92</v>
      </c>
      <c r="F101" s="280">
        <f>+E101/D101</f>
        <v>0.8927484270738858</v>
      </c>
      <c r="G101" s="32">
        <v>16274174.92</v>
      </c>
      <c r="H101" s="48">
        <f t="shared" si="26"/>
        <v>0.8927484270738858</v>
      </c>
      <c r="I101" s="133">
        <v>7222884.6699999999</v>
      </c>
      <c r="J101" s="178">
        <f t="shared" si="27"/>
        <v>0.39622401502850396</v>
      </c>
      <c r="K101" s="32">
        <v>13134310.75</v>
      </c>
      <c r="L101" s="280">
        <v>0.73979353596668529</v>
      </c>
      <c r="M101" s="211">
        <f t="shared" si="23"/>
        <v>0.23905816070325581</v>
      </c>
      <c r="N101" s="32">
        <v>12498296.75</v>
      </c>
      <c r="O101" s="280">
        <v>0.70396987875769812</v>
      </c>
      <c r="P101" s="211">
        <f t="shared" si="30"/>
        <v>-0.42209048044886599</v>
      </c>
      <c r="R101" s="275"/>
      <c r="S101" s="275"/>
    </row>
    <row r="102" spans="1:19" ht="14.1" customHeight="1" x14ac:dyDescent="0.2">
      <c r="A102" s="39" t="s">
        <v>574</v>
      </c>
      <c r="B102" s="40" t="s">
        <v>575</v>
      </c>
      <c r="C102" s="199">
        <v>10647962.52</v>
      </c>
      <c r="D102" s="205">
        <v>10692962.52</v>
      </c>
      <c r="E102" s="32">
        <v>10655067.99</v>
      </c>
      <c r="F102" s="280">
        <f>+E102/D102</f>
        <v>0.99645612430333297</v>
      </c>
      <c r="G102" s="32">
        <v>10594588.390000001</v>
      </c>
      <c r="H102" s="48">
        <f t="shared" si="26"/>
        <v>0.99080010522659168</v>
      </c>
      <c r="I102" s="133">
        <v>9891200.6699999999</v>
      </c>
      <c r="J102" s="178">
        <f t="shared" si="27"/>
        <v>0.92501967078811009</v>
      </c>
      <c r="K102" s="32">
        <v>10739209.35</v>
      </c>
      <c r="L102" s="280">
        <v>0.99385901957721767</v>
      </c>
      <c r="M102" s="211">
        <f t="shared" si="23"/>
        <v>-1.3466630110902766E-2</v>
      </c>
      <c r="N102" s="32">
        <v>7126020.6299999999</v>
      </c>
      <c r="O102" s="280">
        <v>0.65947684284773045</v>
      </c>
      <c r="P102" s="211">
        <f t="shared" si="30"/>
        <v>0.38803985893035509</v>
      </c>
      <c r="R102" s="275"/>
      <c r="S102" s="275"/>
    </row>
    <row r="103" spans="1:19" ht="14.1" customHeight="1" x14ac:dyDescent="0.2">
      <c r="A103" s="39" t="s">
        <v>576</v>
      </c>
      <c r="B103" s="40" t="s">
        <v>577</v>
      </c>
      <c r="C103" s="199">
        <v>8492360.5399999991</v>
      </c>
      <c r="D103" s="205">
        <v>8358302.6799999997</v>
      </c>
      <c r="E103" s="32">
        <v>8128540.2699999996</v>
      </c>
      <c r="F103" s="280">
        <f>+E103/D103</f>
        <v>0.97251087705285155</v>
      </c>
      <c r="G103" s="32">
        <v>8017506.9100000001</v>
      </c>
      <c r="H103" s="48">
        <f t="shared" si="26"/>
        <v>0.95922667758665092</v>
      </c>
      <c r="I103" s="133">
        <v>3770987.22</v>
      </c>
      <c r="J103" s="178">
        <f t="shared" si="27"/>
        <v>0.45116662609303837</v>
      </c>
      <c r="K103" s="32">
        <v>7686003.3600000003</v>
      </c>
      <c r="L103" s="280">
        <v>0.93941849238504849</v>
      </c>
      <c r="M103" s="211">
        <f t="shared" si="23"/>
        <v>4.3130809924600388E-2</v>
      </c>
      <c r="N103" s="32">
        <v>5228952.87</v>
      </c>
      <c r="O103" s="280">
        <v>0.6391065410473451</v>
      </c>
      <c r="P103" s="211">
        <f t="shared" ref="P103:P113" si="31">+I103/N103-1</f>
        <v>-0.27882554810634574</v>
      </c>
      <c r="R103" s="275"/>
    </row>
    <row r="104" spans="1:19" ht="14.1" customHeight="1" x14ac:dyDescent="0.2">
      <c r="A104" s="39" t="s">
        <v>578</v>
      </c>
      <c r="B104" s="40" t="s">
        <v>579</v>
      </c>
      <c r="C104" s="199">
        <v>7787183.1299999999</v>
      </c>
      <c r="D104" s="205">
        <v>6538463.6399999997</v>
      </c>
      <c r="E104" s="32">
        <v>6511480.3799999999</v>
      </c>
      <c r="F104" s="280">
        <f t="shared" ref="F104:F107" si="32">+E104/D104</f>
        <v>0.99587314979700647</v>
      </c>
      <c r="G104" s="32">
        <v>6410777.8799999999</v>
      </c>
      <c r="H104" s="48">
        <f t="shared" si="26"/>
        <v>0.98047159592371769</v>
      </c>
      <c r="I104" s="133">
        <v>3612710.97</v>
      </c>
      <c r="J104" s="178">
        <f t="shared" si="27"/>
        <v>0.55253208840968648</v>
      </c>
      <c r="K104" s="32">
        <v>6460134.6699999999</v>
      </c>
      <c r="L104" s="280">
        <v>0.92660868044608036</v>
      </c>
      <c r="M104" s="211">
        <f t="shared" si="23"/>
        <v>-7.6402106954838178E-3</v>
      </c>
      <c r="N104" s="32">
        <v>3581422.93</v>
      </c>
      <c r="O104" s="280">
        <v>0.51370098996506441</v>
      </c>
      <c r="P104" s="211">
        <f t="shared" si="31"/>
        <v>8.7362036295446366E-3</v>
      </c>
      <c r="R104" s="275"/>
    </row>
    <row r="105" spans="1:19" ht="14.1" customHeight="1" x14ac:dyDescent="0.2">
      <c r="A105" s="39" t="s">
        <v>580</v>
      </c>
      <c r="B105" s="40" t="s">
        <v>581</v>
      </c>
      <c r="C105" s="199">
        <v>13014565.800000001</v>
      </c>
      <c r="D105" s="205">
        <v>13907084.67</v>
      </c>
      <c r="E105" s="32">
        <v>12695996.890000001</v>
      </c>
      <c r="F105" s="280">
        <f t="shared" si="32"/>
        <v>0.91291576856416745</v>
      </c>
      <c r="G105" s="32">
        <v>12622281.85</v>
      </c>
      <c r="H105" s="48">
        <f t="shared" si="26"/>
        <v>0.90761522989994137</v>
      </c>
      <c r="I105" s="133">
        <v>8775097.4199999999</v>
      </c>
      <c r="J105" s="178">
        <f t="shared" si="27"/>
        <v>0.63098036923075695</v>
      </c>
      <c r="K105" s="32">
        <v>12624708.26</v>
      </c>
      <c r="L105" s="280">
        <v>0.89810983746723827</v>
      </c>
      <c r="M105" s="211">
        <f t="shared" si="23"/>
        <v>-1.9219533236169983E-4</v>
      </c>
      <c r="N105" s="32">
        <v>8450210.2699999996</v>
      </c>
      <c r="O105" s="280">
        <v>0.60113998801851809</v>
      </c>
      <c r="P105" s="211">
        <f t="shared" si="31"/>
        <v>3.8447226710253357E-2</v>
      </c>
      <c r="R105" s="275"/>
    </row>
    <row r="106" spans="1:19" ht="14.1" customHeight="1" x14ac:dyDescent="0.2">
      <c r="A106" s="39" t="s">
        <v>582</v>
      </c>
      <c r="B106" s="40" t="s">
        <v>583</v>
      </c>
      <c r="C106" s="199">
        <v>0</v>
      </c>
      <c r="D106" s="205">
        <v>430736.66</v>
      </c>
      <c r="E106" s="32">
        <v>241391.12</v>
      </c>
      <c r="F106" s="280">
        <f t="shared" si="32"/>
        <v>0.5604146162065704</v>
      </c>
      <c r="G106" s="32">
        <v>156616.82999999999</v>
      </c>
      <c r="H106" s="48">
        <f t="shared" si="26"/>
        <v>0.36360227615638752</v>
      </c>
      <c r="I106" s="133">
        <v>138621.82999999999</v>
      </c>
      <c r="J106" s="178">
        <f t="shared" si="27"/>
        <v>0.32182501020461085</v>
      </c>
      <c r="K106" s="32">
        <v>827852.96</v>
      </c>
      <c r="L106" s="280">
        <v>0.54685243636933745</v>
      </c>
      <c r="M106" s="211">
        <f t="shared" si="23"/>
        <v>-0.81081564291320529</v>
      </c>
      <c r="N106" s="32">
        <v>593387.9</v>
      </c>
      <c r="O106" s="280">
        <v>0.3919725295505192</v>
      </c>
      <c r="P106" s="211">
        <f t="shared" si="31"/>
        <v>-0.76638918656750499</v>
      </c>
      <c r="R106" s="275"/>
    </row>
    <row r="107" spans="1:19" ht="14.1" customHeight="1" x14ac:dyDescent="0.2">
      <c r="A107" s="39">
        <v>1536</v>
      </c>
      <c r="B107" s="40" t="s">
        <v>768</v>
      </c>
      <c r="C107" s="199">
        <v>7068560</v>
      </c>
      <c r="D107" s="205">
        <v>6997844</v>
      </c>
      <c r="E107" s="32">
        <v>4507552.28</v>
      </c>
      <c r="F107" s="280">
        <f t="shared" si="32"/>
        <v>0.64413443340548893</v>
      </c>
      <c r="G107" s="32">
        <v>4507552.28</v>
      </c>
      <c r="H107" s="48">
        <f t="shared" si="26"/>
        <v>0.64413443340548893</v>
      </c>
      <c r="I107" s="133">
        <v>2178874.9500000002</v>
      </c>
      <c r="J107" s="178">
        <f t="shared" si="27"/>
        <v>0.31136375003501082</v>
      </c>
      <c r="K107" s="32"/>
      <c r="L107" s="280"/>
      <c r="M107" s="211" t="s">
        <v>129</v>
      </c>
      <c r="N107" s="32"/>
      <c r="O107" s="280"/>
      <c r="P107" s="211" t="s">
        <v>129</v>
      </c>
      <c r="R107" s="275"/>
    </row>
    <row r="108" spans="1:19" ht="14.1" customHeight="1" x14ac:dyDescent="0.2">
      <c r="A108" s="39">
        <v>1601</v>
      </c>
      <c r="B108" s="40" t="s">
        <v>584</v>
      </c>
      <c r="C108" s="199">
        <v>18215182.399999999</v>
      </c>
      <c r="D108" s="205">
        <v>18569383.899999999</v>
      </c>
      <c r="E108" s="32">
        <v>18561056.969999999</v>
      </c>
      <c r="F108" s="280">
        <f>+E108/D108</f>
        <v>0.99955157747586876</v>
      </c>
      <c r="G108" s="32">
        <v>18561056.969999999</v>
      </c>
      <c r="H108" s="48">
        <f t="shared" si="26"/>
        <v>0.99955157747586876</v>
      </c>
      <c r="I108" s="133">
        <v>13288842.380000001</v>
      </c>
      <c r="J108" s="178">
        <f t="shared" si="27"/>
        <v>0.71563184064496621</v>
      </c>
      <c r="K108" s="32">
        <v>19349633.260000002</v>
      </c>
      <c r="L108" s="280">
        <v>0.97773683570486836</v>
      </c>
      <c r="M108" s="211">
        <f t="shared" si="23"/>
        <v>-4.0754069051539332E-2</v>
      </c>
      <c r="N108" s="32">
        <v>14991552.6</v>
      </c>
      <c r="O108" s="280">
        <v>0.75752304989304431</v>
      </c>
      <c r="P108" s="211">
        <f t="shared" si="31"/>
        <v>-0.11357797724032925</v>
      </c>
      <c r="R108" s="275"/>
    </row>
    <row r="109" spans="1:19" ht="14.1" customHeight="1" x14ac:dyDescent="0.2">
      <c r="A109" s="39" t="s">
        <v>585</v>
      </c>
      <c r="B109" s="40" t="s">
        <v>586</v>
      </c>
      <c r="C109" s="199">
        <v>8305266.9900000002</v>
      </c>
      <c r="D109" s="205">
        <v>7089197.5300000003</v>
      </c>
      <c r="E109" s="32">
        <v>7084449.2699999996</v>
      </c>
      <c r="F109" s="280">
        <f>+E109/D109</f>
        <v>0.99933021192033267</v>
      </c>
      <c r="G109" s="32">
        <v>7084449.2699999996</v>
      </c>
      <c r="H109" s="48">
        <f t="shared" si="26"/>
        <v>0.99933021192033267</v>
      </c>
      <c r="I109" s="133">
        <v>3932003.7</v>
      </c>
      <c r="J109" s="178">
        <f t="shared" si="27"/>
        <v>0.55464721971148123</v>
      </c>
      <c r="K109" s="32">
        <v>6159912.9800000004</v>
      </c>
      <c r="L109" s="280">
        <v>0.99902960904640981</v>
      </c>
      <c r="M109" s="211">
        <f t="shared" si="23"/>
        <v>0.15008918031825824</v>
      </c>
      <c r="N109" s="32">
        <v>3611148.06</v>
      </c>
      <c r="O109" s="280">
        <v>0.58566474011951075</v>
      </c>
      <c r="P109" s="211">
        <f t="shared" si="31"/>
        <v>8.8851421949173837E-2</v>
      </c>
    </row>
    <row r="110" spans="1:19" ht="14.1" customHeight="1" x14ac:dyDescent="0.2">
      <c r="A110" s="39" t="s">
        <v>587</v>
      </c>
      <c r="B110" s="40" t="s">
        <v>588</v>
      </c>
      <c r="C110" s="199">
        <v>98538647.590000004</v>
      </c>
      <c r="D110" s="205">
        <v>95384004.469999999</v>
      </c>
      <c r="E110" s="32">
        <v>87650000</v>
      </c>
      <c r="F110" s="280">
        <f>+E110/D110</f>
        <v>0.91891717575736209</v>
      </c>
      <c r="G110" s="32">
        <v>87650000</v>
      </c>
      <c r="H110" s="48">
        <f t="shared" si="26"/>
        <v>0.91891717575736209</v>
      </c>
      <c r="I110" s="133">
        <v>56483255.020000003</v>
      </c>
      <c r="J110" s="178">
        <f t="shared" si="27"/>
        <v>0.59216695014901599</v>
      </c>
      <c r="K110" s="32">
        <v>85241375.739999995</v>
      </c>
      <c r="L110" s="280">
        <v>0.99964818205711292</v>
      </c>
      <c r="M110" s="211">
        <f t="shared" si="23"/>
        <v>2.8256515560550088E-2</v>
      </c>
      <c r="N110" s="32">
        <v>53405576.57</v>
      </c>
      <c r="O110" s="280">
        <v>0.62630133625190187</v>
      </c>
      <c r="P110" s="211">
        <f t="shared" si="31"/>
        <v>5.7628409759157062E-2</v>
      </c>
    </row>
    <row r="111" spans="1:19" ht="14.1" customHeight="1" x14ac:dyDescent="0.2">
      <c r="A111" s="39" t="s">
        <v>589</v>
      </c>
      <c r="B111" s="40" t="s">
        <v>590</v>
      </c>
      <c r="C111" s="199">
        <v>4809562.41</v>
      </c>
      <c r="D111" s="205">
        <v>4817719.41</v>
      </c>
      <c r="E111" s="32">
        <v>4767846.51</v>
      </c>
      <c r="F111" s="280">
        <f t="shared" ref="F111:F112" si="33">+E111/D111</f>
        <v>0.98964802726026746</v>
      </c>
      <c r="G111" s="32">
        <v>4767846.51</v>
      </c>
      <c r="H111" s="48">
        <f t="shared" si="26"/>
        <v>0.98964802726026746</v>
      </c>
      <c r="I111" s="133">
        <v>1799952.63</v>
      </c>
      <c r="J111" s="178">
        <f t="shared" si="27"/>
        <v>0.37361093015585145</v>
      </c>
      <c r="K111" s="32">
        <v>4722163.59</v>
      </c>
      <c r="L111" s="280">
        <v>1</v>
      </c>
      <c r="M111" s="211">
        <f t="shared" si="23"/>
        <v>9.6741502341726182E-3</v>
      </c>
      <c r="N111" s="32">
        <v>2163694.6</v>
      </c>
      <c r="O111" s="280">
        <v>0.45819983970525685</v>
      </c>
      <c r="P111" s="211" t="s">
        <v>129</v>
      </c>
    </row>
    <row r="112" spans="1:19" ht="14.1" customHeight="1" x14ac:dyDescent="0.2">
      <c r="A112" s="39" t="s">
        <v>591</v>
      </c>
      <c r="B112" s="40" t="s">
        <v>592</v>
      </c>
      <c r="C112" s="199">
        <v>452333.1</v>
      </c>
      <c r="D112" s="205">
        <v>833871.46</v>
      </c>
      <c r="E112" s="32">
        <v>746250.71</v>
      </c>
      <c r="F112" s="280">
        <f t="shared" si="33"/>
        <v>0.89492295371279407</v>
      </c>
      <c r="G112" s="32">
        <v>746250.71</v>
      </c>
      <c r="H112" s="48">
        <f t="shared" si="26"/>
        <v>0.89492295371279407</v>
      </c>
      <c r="I112" s="133">
        <v>746250.71</v>
      </c>
      <c r="J112" s="178">
        <f t="shared" si="27"/>
        <v>0.89492295371279407</v>
      </c>
      <c r="K112" s="32">
        <v>4136060.06</v>
      </c>
      <c r="L112" s="280">
        <v>0.68278214377088609</v>
      </c>
      <c r="M112" s="211">
        <f t="shared" si="23"/>
        <v>-0.81957449863530274</v>
      </c>
      <c r="N112" s="32">
        <v>4136060.06</v>
      </c>
      <c r="O112" s="280">
        <v>0.68278214377088609</v>
      </c>
      <c r="P112" s="211">
        <f t="shared" si="31"/>
        <v>-0.81957449863530274</v>
      </c>
    </row>
    <row r="113" spans="1:16" ht="14.1" customHeight="1" x14ac:dyDescent="0.2">
      <c r="A113" s="39" t="s">
        <v>593</v>
      </c>
      <c r="B113" s="40" t="s">
        <v>98</v>
      </c>
      <c r="C113" s="199">
        <v>171073344.52000001</v>
      </c>
      <c r="D113" s="205">
        <v>174749390.63999999</v>
      </c>
      <c r="E113" s="32">
        <v>174465421.55000001</v>
      </c>
      <c r="F113" s="280">
        <f t="shared" ref="F113:F119" si="34">+E113/D113</f>
        <v>0.99837499238789917</v>
      </c>
      <c r="G113" s="32">
        <v>174464586.87</v>
      </c>
      <c r="H113" s="48">
        <f t="shared" si="26"/>
        <v>0.99837021594778141</v>
      </c>
      <c r="I113" s="133">
        <v>118249441.65000001</v>
      </c>
      <c r="J113" s="178">
        <f t="shared" si="27"/>
        <v>0.67668013729218013</v>
      </c>
      <c r="K113" s="32">
        <v>176745515</v>
      </c>
      <c r="L113" s="280">
        <v>0.99482306991996949</v>
      </c>
      <c r="M113" s="211">
        <f t="shared" si="23"/>
        <v>-1.2905154226968585E-2</v>
      </c>
      <c r="N113" s="32">
        <v>117471629.44</v>
      </c>
      <c r="O113" s="280">
        <v>0.66119633659729282</v>
      </c>
      <c r="P113" s="211">
        <f t="shared" si="31"/>
        <v>6.6212771007596594E-3</v>
      </c>
    </row>
    <row r="114" spans="1:16" ht="14.1" customHeight="1" x14ac:dyDescent="0.2">
      <c r="A114" s="39" t="s">
        <v>594</v>
      </c>
      <c r="B114" s="40" t="s">
        <v>595</v>
      </c>
      <c r="C114" s="199">
        <v>11864168</v>
      </c>
      <c r="D114" s="205">
        <v>11973361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">
      <c r="A115" s="39" t="s">
        <v>596</v>
      </c>
      <c r="B115" s="40" t="s">
        <v>597</v>
      </c>
      <c r="C115" s="199">
        <v>29617801.809999999</v>
      </c>
      <c r="D115" s="205">
        <v>30298696.41</v>
      </c>
      <c r="E115" s="32">
        <v>30009660.969999999</v>
      </c>
      <c r="F115" s="280">
        <f t="shared" si="34"/>
        <v>0.99046046615046424</v>
      </c>
      <c r="G115" s="32">
        <v>29992403.510000002</v>
      </c>
      <c r="H115" s="48">
        <f t="shared" si="26"/>
        <v>0.98989088851034179</v>
      </c>
      <c r="I115" s="133">
        <v>15452701.109999999</v>
      </c>
      <c r="J115" s="178">
        <f t="shared" si="27"/>
        <v>0.51001207777704516</v>
      </c>
      <c r="K115" s="32">
        <v>29579005.969999999</v>
      </c>
      <c r="L115" s="280">
        <v>0.92871253531876197</v>
      </c>
      <c r="M115" s="211">
        <f t="shared" si="23"/>
        <v>1.3976045727137842E-2</v>
      </c>
      <c r="N115" s="32">
        <v>15776568.380000001</v>
      </c>
      <c r="O115" s="280">
        <v>0.49534784345626931</v>
      </c>
      <c r="P115" s="211">
        <f t="shared" ref="P115:P120" si="35">+I115/N115-1</f>
        <v>-2.0528372343035617E-2</v>
      </c>
    </row>
    <row r="116" spans="1:16" ht="14.1" customHeight="1" x14ac:dyDescent="0.2">
      <c r="A116" s="39" t="s">
        <v>598</v>
      </c>
      <c r="B116" s="40" t="s">
        <v>599</v>
      </c>
      <c r="C116" s="199">
        <v>1946253.38</v>
      </c>
      <c r="D116" s="205">
        <v>2595027.77</v>
      </c>
      <c r="E116" s="32">
        <v>2595027.67</v>
      </c>
      <c r="F116" s="280">
        <f t="shared" si="34"/>
        <v>0.99999996146476688</v>
      </c>
      <c r="G116" s="32">
        <v>2262292.46</v>
      </c>
      <c r="H116" s="48">
        <f t="shared" si="26"/>
        <v>0.87177967270847356</v>
      </c>
      <c r="I116" s="133">
        <v>1905243.5</v>
      </c>
      <c r="J116" s="178">
        <f t="shared" si="27"/>
        <v>0.73419002371600828</v>
      </c>
      <c r="K116" s="32">
        <v>1573660.61</v>
      </c>
      <c r="L116" s="280">
        <v>0.66670163721566866</v>
      </c>
      <c r="M116" s="211">
        <f t="shared" si="23"/>
        <v>0.4375987081483852</v>
      </c>
      <c r="N116" s="32">
        <v>1224119.56</v>
      </c>
      <c r="O116" s="280">
        <v>0.51861405795734061</v>
      </c>
      <c r="P116" s="211">
        <f t="shared" si="35"/>
        <v>0.55641945628252198</v>
      </c>
    </row>
    <row r="117" spans="1:16" ht="14.1" customHeight="1" x14ac:dyDescent="0.2">
      <c r="A117" s="39" t="s">
        <v>600</v>
      </c>
      <c r="B117" s="40" t="s">
        <v>601</v>
      </c>
      <c r="C117" s="199">
        <v>48802097.030000001</v>
      </c>
      <c r="D117" s="205">
        <v>48802097.030000001</v>
      </c>
      <c r="E117" s="32">
        <v>48801897.43</v>
      </c>
      <c r="F117" s="280">
        <f t="shared" si="34"/>
        <v>0.9999959100118202</v>
      </c>
      <c r="G117" s="32">
        <v>48795113.630000003</v>
      </c>
      <c r="H117" s="48">
        <f t="shared" si="26"/>
        <v>0.99985690369010771</v>
      </c>
      <c r="I117" s="133">
        <v>33830851</v>
      </c>
      <c r="J117" s="178">
        <f t="shared" si="27"/>
        <v>0.69322535421384124</v>
      </c>
      <c r="K117" s="32">
        <v>47912834.229999997</v>
      </c>
      <c r="L117" s="280">
        <v>0.99792007851026598</v>
      </c>
      <c r="M117" s="211">
        <f t="shared" si="23"/>
        <v>1.8414260274496108E-2</v>
      </c>
      <c r="N117" s="32">
        <v>37551692.759999998</v>
      </c>
      <c r="O117" s="280">
        <v>0.78212004757149145</v>
      </c>
      <c r="P117" s="211">
        <f t="shared" si="35"/>
        <v>-9.9085859691615097E-2</v>
      </c>
    </row>
    <row r="118" spans="1:16" ht="14.1" customHeight="1" x14ac:dyDescent="0.2">
      <c r="A118" s="41">
        <v>1721</v>
      </c>
      <c r="B118" s="42" t="s">
        <v>602</v>
      </c>
      <c r="C118" s="199">
        <v>1270749.54</v>
      </c>
      <c r="D118" s="205">
        <v>1346094.45</v>
      </c>
      <c r="E118" s="32">
        <v>1209260.3999999999</v>
      </c>
      <c r="F118" s="280">
        <f t="shared" si="34"/>
        <v>0.89834736336666421</v>
      </c>
      <c r="G118" s="32">
        <v>1060282.5</v>
      </c>
      <c r="H118" s="48">
        <f t="shared" si="26"/>
        <v>0.78767318296275568</v>
      </c>
      <c r="I118" s="133">
        <v>530827.18000000005</v>
      </c>
      <c r="J118" s="178">
        <f t="shared" si="27"/>
        <v>0.39434616196508354</v>
      </c>
      <c r="K118" s="32">
        <v>1067215.7</v>
      </c>
      <c r="L118" s="390">
        <v>0.88654142913626044</v>
      </c>
      <c r="M118" s="211">
        <f t="shared" si="23"/>
        <v>-6.496531113625803E-3</v>
      </c>
      <c r="N118" s="32">
        <v>583570.5</v>
      </c>
      <c r="O118" s="390">
        <v>0.48477493825452728</v>
      </c>
      <c r="P118" s="211">
        <f t="shared" si="35"/>
        <v>-9.0380373922259505E-2</v>
      </c>
    </row>
    <row r="119" spans="1:16" ht="14.1" customHeight="1" x14ac:dyDescent="0.2">
      <c r="A119" s="41" t="s">
        <v>603</v>
      </c>
      <c r="B119" s="42" t="s">
        <v>604</v>
      </c>
      <c r="C119" s="200">
        <v>2576457.23</v>
      </c>
      <c r="D119" s="206">
        <v>3047067.44</v>
      </c>
      <c r="E119" s="34">
        <v>2760706.51</v>
      </c>
      <c r="F119" s="280">
        <f t="shared" si="34"/>
        <v>0.90602080996277512</v>
      </c>
      <c r="G119" s="34">
        <v>2459307.38</v>
      </c>
      <c r="H119" s="48">
        <f t="shared" si="26"/>
        <v>0.80710631727927884</v>
      </c>
      <c r="I119" s="137">
        <v>1488240.69</v>
      </c>
      <c r="J119" s="178">
        <f t="shared" si="27"/>
        <v>0.48841737812012459</v>
      </c>
      <c r="K119" s="34">
        <v>1136873.1200000001</v>
      </c>
      <c r="L119" s="390">
        <v>0.79600261546499584</v>
      </c>
      <c r="M119" s="211">
        <f t="shared" si="23"/>
        <v>1.163220623951422</v>
      </c>
      <c r="N119" s="34">
        <v>858372.63</v>
      </c>
      <c r="O119" s="390">
        <v>0.60100537738421245</v>
      </c>
      <c r="P119" s="211">
        <f t="shared" si="35"/>
        <v>0.73379327111117232</v>
      </c>
    </row>
    <row r="120" spans="1:16" ht="14.1" customHeight="1" x14ac:dyDescent="0.2">
      <c r="A120" s="659" t="s">
        <v>605</v>
      </c>
      <c r="B120" s="655" t="s">
        <v>606</v>
      </c>
      <c r="C120" s="654">
        <v>3772412.45</v>
      </c>
      <c r="D120" s="397">
        <v>3095183.41</v>
      </c>
      <c r="E120" s="398">
        <v>2803261.87</v>
      </c>
      <c r="F120" s="412">
        <f>+E120/D120</f>
        <v>0.90568522076693347</v>
      </c>
      <c r="G120" s="398">
        <v>2704408.53</v>
      </c>
      <c r="H120" s="48">
        <f t="shared" si="26"/>
        <v>0.87374742358159629</v>
      </c>
      <c r="I120" s="237">
        <v>2147987.9300000002</v>
      </c>
      <c r="J120" s="427">
        <f t="shared" si="27"/>
        <v>0.69397759210656929</v>
      </c>
      <c r="K120" s="398">
        <v>1628250.62</v>
      </c>
      <c r="L120" s="412">
        <v>0.63395922901414026</v>
      </c>
      <c r="M120" s="211">
        <f t="shared" si="23"/>
        <v>0.6609289115455701</v>
      </c>
      <c r="N120" s="398">
        <v>1241811.43</v>
      </c>
      <c r="O120" s="412">
        <v>0.48349916595993492</v>
      </c>
      <c r="P120" s="211">
        <f t="shared" si="35"/>
        <v>0.72972150046968109</v>
      </c>
    </row>
    <row r="121" spans="1:16" ht="14.1" customHeight="1" x14ac:dyDescent="0.2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828053306.72000003</v>
      </c>
      <c r="E121" s="203">
        <f>SUM(E87:E120)</f>
        <v>699483559.81999981</v>
      </c>
      <c r="F121" s="90">
        <f t="shared" ref="F121" si="36">+E121/D121</f>
        <v>0.84473252403365484</v>
      </c>
      <c r="G121" s="203">
        <f>SUM(G87:G120)</f>
        <v>693664130.25999999</v>
      </c>
      <c r="H121" s="90">
        <f t="shared" si="24"/>
        <v>0.83770467991689002</v>
      </c>
      <c r="I121" s="203">
        <f>SUM(I87:I120)</f>
        <v>520109382.10999995</v>
      </c>
      <c r="J121" s="170">
        <f t="shared" ref="J121" si="37">+I121/D121</f>
        <v>0.62811098982287017</v>
      </c>
      <c r="K121" s="561">
        <f>SUM(K87:K120)</f>
        <v>698278389.03000009</v>
      </c>
      <c r="L121" s="90">
        <v>0.84049830675676551</v>
      </c>
      <c r="M121" s="213">
        <f t="shared" si="23"/>
        <v>-6.6080503743068952E-3</v>
      </c>
      <c r="N121" s="561">
        <f>SUM(N87:N120)</f>
        <v>538036300.32999992</v>
      </c>
      <c r="O121" s="90">
        <v>0.64761935426532424</v>
      </c>
      <c r="P121" s="213">
        <f t="shared" si="25"/>
        <v>-3.331916119600975E-2</v>
      </c>
    </row>
    <row r="122" spans="1:16" ht="14.1" customHeight="1" x14ac:dyDescent="0.2">
      <c r="A122" s="37" t="s">
        <v>607</v>
      </c>
      <c r="B122" s="38" t="s">
        <v>100</v>
      </c>
      <c r="C122" s="198">
        <v>557191.48</v>
      </c>
      <c r="D122" s="204">
        <v>513059.79</v>
      </c>
      <c r="E122" s="30">
        <v>409750.75</v>
      </c>
      <c r="F122" s="48">
        <f>+E122/D122</f>
        <v>0.79864132404529309</v>
      </c>
      <c r="G122" s="30">
        <v>409750.75</v>
      </c>
      <c r="H122" s="48">
        <f t="shared" si="24"/>
        <v>0.79864132404529309</v>
      </c>
      <c r="I122" s="30">
        <v>409750.75</v>
      </c>
      <c r="J122" s="153">
        <f t="shared" si="27"/>
        <v>0.79864132404529309</v>
      </c>
      <c r="K122" s="30">
        <v>453729.83</v>
      </c>
      <c r="L122" s="48">
        <v>0.79579426964420208</v>
      </c>
      <c r="M122" s="210">
        <f t="shared" si="23"/>
        <v>-9.6927900905259046E-2</v>
      </c>
      <c r="N122" s="30">
        <v>453729.83</v>
      </c>
      <c r="O122" s="48">
        <v>0.79579426964420208</v>
      </c>
      <c r="P122" s="210">
        <f t="shared" ref="P122:P148" si="38">+I122/N122-1</f>
        <v>-9.6927900905259046E-2</v>
      </c>
    </row>
    <row r="123" spans="1:16" ht="14.1" customHeight="1" x14ac:dyDescent="0.2">
      <c r="A123" s="39" t="s">
        <v>608</v>
      </c>
      <c r="B123" s="40" t="s">
        <v>609</v>
      </c>
      <c r="C123" s="199">
        <v>9112012.6300000008</v>
      </c>
      <c r="D123" s="205">
        <v>9782064.6600000001</v>
      </c>
      <c r="E123" s="32">
        <v>6947363.4500000002</v>
      </c>
      <c r="F123" s="280">
        <f>+E123/D123</f>
        <v>0.7102144272679547</v>
      </c>
      <c r="G123" s="32">
        <v>6430027.2300000004</v>
      </c>
      <c r="H123" s="280">
        <f t="shared" si="24"/>
        <v>0.65732822808799551</v>
      </c>
      <c r="I123" s="32">
        <v>5799703.8899999997</v>
      </c>
      <c r="J123" s="178">
        <f t="shared" si="27"/>
        <v>0.59289159207009368</v>
      </c>
      <c r="K123" s="32">
        <v>6623461.6900000004</v>
      </c>
      <c r="L123" s="280">
        <v>0.76910905581620836</v>
      </c>
      <c r="M123" s="211">
        <f t="shared" si="23"/>
        <v>-2.920443554343255E-2</v>
      </c>
      <c r="N123" s="32">
        <v>5945991.4299999997</v>
      </c>
      <c r="O123" s="280">
        <v>0.69044195749225601</v>
      </c>
      <c r="P123" s="211">
        <f t="shared" si="38"/>
        <v>-2.4602716253830814E-2</v>
      </c>
    </row>
    <row r="124" spans="1:16" ht="14.1" customHeight="1" x14ac:dyDescent="0.2">
      <c r="A124" s="39" t="s">
        <v>610</v>
      </c>
      <c r="B124" s="40" t="s">
        <v>611</v>
      </c>
      <c r="C124" s="199">
        <v>9392699.8300000001</v>
      </c>
      <c r="D124" s="205">
        <v>9704957.4600000009</v>
      </c>
      <c r="E124" s="32">
        <v>7900819.5199999996</v>
      </c>
      <c r="F124" s="280">
        <f t="shared" ref="F124:F138" si="39">+E124/D124</f>
        <v>0.81410140668457898</v>
      </c>
      <c r="G124" s="32">
        <v>7876064.8499999996</v>
      </c>
      <c r="H124" s="280">
        <f t="shared" si="24"/>
        <v>0.81155068246945194</v>
      </c>
      <c r="I124" s="32">
        <v>7826926.7300000004</v>
      </c>
      <c r="J124" s="178">
        <f t="shared" si="27"/>
        <v>0.80648748459326058</v>
      </c>
      <c r="K124" s="32">
        <v>8587736.2100000009</v>
      </c>
      <c r="L124" s="280">
        <v>0.83443891724069985</v>
      </c>
      <c r="M124" s="211">
        <f t="shared" si="23"/>
        <v>-8.2870659111687006E-2</v>
      </c>
      <c r="N124" s="32">
        <v>8531752.0500000007</v>
      </c>
      <c r="O124" s="280">
        <v>0.82899914117973605</v>
      </c>
      <c r="P124" s="211">
        <f t="shared" si="38"/>
        <v>-8.2612025744465911E-2</v>
      </c>
    </row>
    <row r="125" spans="1:16" ht="14.1" customHeight="1" x14ac:dyDescent="0.2">
      <c r="A125" s="39" t="s">
        <v>612</v>
      </c>
      <c r="B125" s="40" t="s">
        <v>613</v>
      </c>
      <c r="C125" s="199">
        <v>8507680.8399999999</v>
      </c>
      <c r="D125" s="205">
        <v>6858471.71</v>
      </c>
      <c r="E125" s="32">
        <v>5051308.7699999996</v>
      </c>
      <c r="F125" s="280">
        <f t="shared" si="39"/>
        <v>0.73650646726951352</v>
      </c>
      <c r="G125" s="32">
        <v>4337081.59</v>
      </c>
      <c r="H125" s="280">
        <f t="shared" si="24"/>
        <v>0.63236851785454107</v>
      </c>
      <c r="I125" s="32">
        <v>3429641.02</v>
      </c>
      <c r="J125" s="178">
        <f>I125/D125</f>
        <v>0.50005907511427206</v>
      </c>
      <c r="K125" s="32">
        <v>3240684.78</v>
      </c>
      <c r="L125" s="280">
        <v>0.62309600011731725</v>
      </c>
      <c r="M125" s="211">
        <f t="shared" si="23"/>
        <v>0.33832257205836602</v>
      </c>
      <c r="N125" s="32">
        <v>2446592.7000000002</v>
      </c>
      <c r="O125" s="280">
        <v>0.47041357885052543</v>
      </c>
      <c r="P125" s="211">
        <f t="shared" si="38"/>
        <v>0.40180301363606619</v>
      </c>
    </row>
    <row r="126" spans="1:16" ht="14.1" customHeight="1" x14ac:dyDescent="0.2">
      <c r="A126" s="39" t="s">
        <v>614</v>
      </c>
      <c r="B126" s="40" t="s">
        <v>616</v>
      </c>
      <c r="C126" s="199">
        <v>8498539.1999999993</v>
      </c>
      <c r="D126" s="205">
        <v>8823140.0600000005</v>
      </c>
      <c r="E126" s="32">
        <v>7310579.1299999999</v>
      </c>
      <c r="F126" s="280">
        <f t="shared" si="39"/>
        <v>0.82856886327156409</v>
      </c>
      <c r="G126" s="32">
        <v>7010473.2300000004</v>
      </c>
      <c r="H126" s="280">
        <f t="shared" si="24"/>
        <v>0.79455536037359475</v>
      </c>
      <c r="I126" s="32">
        <v>6645368.8099999996</v>
      </c>
      <c r="J126" s="178">
        <f t="shared" si="27"/>
        <v>0.75317503346988679</v>
      </c>
      <c r="K126" s="32">
        <v>7539034.2699999996</v>
      </c>
      <c r="L126" s="280">
        <v>0.86661501937445351</v>
      </c>
      <c r="M126" s="211">
        <f t="shared" si="23"/>
        <v>-7.0109913427943482E-2</v>
      </c>
      <c r="N126" s="32">
        <v>6415917.4500000002</v>
      </c>
      <c r="O126" s="280">
        <v>0.73751228951989423</v>
      </c>
      <c r="P126" s="211">
        <f t="shared" si="38"/>
        <v>3.5762829211588354E-2</v>
      </c>
    </row>
    <row r="127" spans="1:16" ht="14.1" customHeight="1" x14ac:dyDescent="0.2">
      <c r="A127" s="39" t="s">
        <v>615</v>
      </c>
      <c r="B127" s="40" t="s">
        <v>617</v>
      </c>
      <c r="C127" s="199">
        <v>1364200</v>
      </c>
      <c r="D127" s="205">
        <v>1303854.8999999999</v>
      </c>
      <c r="E127" s="32">
        <v>665685.32999999996</v>
      </c>
      <c r="F127" s="280">
        <f t="shared" si="39"/>
        <v>0.51055169559128089</v>
      </c>
      <c r="G127" s="32">
        <v>647035.32999999996</v>
      </c>
      <c r="H127" s="280">
        <f t="shared" si="24"/>
        <v>0.49624795673199523</v>
      </c>
      <c r="I127" s="32">
        <v>560680.82999999996</v>
      </c>
      <c r="J127" s="178">
        <f t="shared" si="27"/>
        <v>0.4300178110309667</v>
      </c>
      <c r="K127" s="32">
        <v>628296.35</v>
      </c>
      <c r="L127" s="280">
        <v>0.44088487195504089</v>
      </c>
      <c r="M127" s="211">
        <f t="shared" si="23"/>
        <v>2.9825065830797914E-2</v>
      </c>
      <c r="N127" s="32">
        <v>598425.87</v>
      </c>
      <c r="O127" s="280">
        <v>0.41992431289714471</v>
      </c>
      <c r="P127" s="211">
        <f t="shared" si="38"/>
        <v>-6.3073877471239714E-2</v>
      </c>
    </row>
    <row r="128" spans="1:16" ht="14.1" customHeight="1" x14ac:dyDescent="0.2">
      <c r="A128" s="39" t="s">
        <v>618</v>
      </c>
      <c r="B128" s="40" t="s">
        <v>619</v>
      </c>
      <c r="C128" s="199">
        <v>32027467.34</v>
      </c>
      <c r="D128" s="205">
        <v>29423893.109999999</v>
      </c>
      <c r="E128" s="32">
        <v>29036856.140000001</v>
      </c>
      <c r="F128" s="280">
        <f t="shared" si="39"/>
        <v>0.9868461672099923</v>
      </c>
      <c r="G128" s="32">
        <v>25181852.550000001</v>
      </c>
      <c r="H128" s="280">
        <f t="shared" si="24"/>
        <v>0.85583007169916958</v>
      </c>
      <c r="I128" s="32">
        <v>17274502.800000001</v>
      </c>
      <c r="J128" s="178">
        <f t="shared" si="27"/>
        <v>0.5870909989857559</v>
      </c>
      <c r="K128" s="32">
        <v>27810763.109999999</v>
      </c>
      <c r="L128" s="280">
        <v>0.87225573473825735</v>
      </c>
      <c r="M128" s="211">
        <f t="shared" si="23"/>
        <v>-9.4528530180990056E-2</v>
      </c>
      <c r="N128" s="32">
        <v>21082306.649999999</v>
      </c>
      <c r="O128" s="280">
        <v>0.66122467780687222</v>
      </c>
      <c r="P128" s="211">
        <f t="shared" si="38"/>
        <v>-0.18061609259440303</v>
      </c>
    </row>
    <row r="129" spans="1:16" ht="14.1" customHeight="1" x14ac:dyDescent="0.2">
      <c r="A129" s="39" t="s">
        <v>620</v>
      </c>
      <c r="B129" s="40" t="s">
        <v>623</v>
      </c>
      <c r="C129" s="199">
        <v>36671618.640000001</v>
      </c>
      <c r="D129" s="205">
        <v>36651919.469999999</v>
      </c>
      <c r="E129" s="32">
        <v>30682782.239999998</v>
      </c>
      <c r="F129" s="280">
        <f t="shared" si="39"/>
        <v>0.83713984652602424</v>
      </c>
      <c r="G129" s="32">
        <v>30667782.239999998</v>
      </c>
      <c r="H129" s="280">
        <f t="shared" si="24"/>
        <v>0.83673059101589253</v>
      </c>
      <c r="I129" s="32">
        <v>19277612.73</v>
      </c>
      <c r="J129" s="178">
        <f t="shared" si="27"/>
        <v>0.52596461546247097</v>
      </c>
      <c r="K129" s="32">
        <v>25476170.48</v>
      </c>
      <c r="L129" s="280">
        <v>0.85372648655242267</v>
      </c>
      <c r="M129" s="211">
        <f t="shared" si="23"/>
        <v>0.20378305146276432</v>
      </c>
      <c r="N129" s="32">
        <v>17901213.300000001</v>
      </c>
      <c r="O129" s="280">
        <v>0.59988372065700279</v>
      </c>
      <c r="P129" s="211">
        <f t="shared" si="38"/>
        <v>7.6888611231731296E-2</v>
      </c>
    </row>
    <row r="130" spans="1:16" ht="14.1" customHeight="1" x14ac:dyDescent="0.2">
      <c r="A130" s="39" t="s">
        <v>621</v>
      </c>
      <c r="B130" s="40" t="s">
        <v>622</v>
      </c>
      <c r="C130" s="199">
        <v>140935753.61000001</v>
      </c>
      <c r="D130" s="205">
        <v>150914952.47999999</v>
      </c>
      <c r="E130" s="32">
        <v>148907786.78999999</v>
      </c>
      <c r="F130" s="280">
        <f t="shared" si="39"/>
        <v>0.98670002105811216</v>
      </c>
      <c r="G130" s="32">
        <v>147407786.78999999</v>
      </c>
      <c r="H130" s="280">
        <f t="shared" si="24"/>
        <v>0.97676064808445817</v>
      </c>
      <c r="I130" s="32">
        <v>134562075.08000001</v>
      </c>
      <c r="J130" s="178">
        <f t="shared" si="27"/>
        <v>0.89164176821930785</v>
      </c>
      <c r="K130" s="32">
        <v>133524849</v>
      </c>
      <c r="L130" s="280">
        <v>0.97445718768863598</v>
      </c>
      <c r="M130" s="211">
        <f t="shared" si="23"/>
        <v>0.10397269043157653</v>
      </c>
      <c r="N130" s="32">
        <v>125094849</v>
      </c>
      <c r="O130" s="280">
        <v>0.912935499750122</v>
      </c>
      <c r="P130" s="211">
        <f t="shared" si="38"/>
        <v>7.5680382970844784E-2</v>
      </c>
    </row>
    <row r="131" spans="1:16" ht="15.75" thickBot="1" x14ac:dyDescent="0.3">
      <c r="A131" s="7" t="s">
        <v>19</v>
      </c>
      <c r="L131" s="679"/>
      <c r="N131" s="97"/>
      <c r="O131" s="679"/>
      <c r="P131" s="517"/>
    </row>
    <row r="132" spans="1:16" ht="12.75" customHeight="1" x14ac:dyDescent="0.2">
      <c r="A132" s="765" t="s">
        <v>756</v>
      </c>
      <c r="B132" s="766"/>
      <c r="C132" s="164" t="s">
        <v>765</v>
      </c>
      <c r="D132" s="751" t="s">
        <v>784</v>
      </c>
      <c r="E132" s="752"/>
      <c r="F132" s="752"/>
      <c r="G132" s="752"/>
      <c r="H132" s="752"/>
      <c r="I132" s="752"/>
      <c r="J132" s="753"/>
      <c r="K132" s="760" t="s">
        <v>785</v>
      </c>
      <c r="L132" s="767"/>
      <c r="M132" s="767"/>
      <c r="N132" s="767"/>
      <c r="O132" s="767"/>
      <c r="P132" s="768"/>
    </row>
    <row r="133" spans="1:16" ht="12.75" customHeight="1" x14ac:dyDescent="0.2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86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4" t="s">
        <v>362</v>
      </c>
    </row>
    <row r="134" spans="1:16" ht="14.1" customHeight="1" x14ac:dyDescent="0.2">
      <c r="A134" s="673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06" t="s">
        <v>764</v>
      </c>
      <c r="N134" s="557" t="s">
        <v>17</v>
      </c>
      <c r="O134" s="89" t="s">
        <v>18</v>
      </c>
      <c r="P134" s="605" t="s">
        <v>764</v>
      </c>
    </row>
    <row r="135" spans="1:16" ht="14.1" customHeight="1" x14ac:dyDescent="0.2">
      <c r="A135" s="37" t="s">
        <v>624</v>
      </c>
      <c r="B135" s="38" t="s">
        <v>625</v>
      </c>
      <c r="C135" s="198">
        <v>7411204.5599999996</v>
      </c>
      <c r="D135" s="204">
        <v>8282952.25</v>
      </c>
      <c r="E135" s="30">
        <v>7259046.5999999996</v>
      </c>
      <c r="F135" s="48">
        <f t="shared" si="39"/>
        <v>0.87638397287633762</v>
      </c>
      <c r="G135" s="136">
        <v>7155006.1100000003</v>
      </c>
      <c r="H135" s="48">
        <f t="shared" ref="H135:H138" si="40">+G135/D135</f>
        <v>0.86382317488308591</v>
      </c>
      <c r="I135" s="136">
        <v>4715752.5</v>
      </c>
      <c r="J135" s="153">
        <f t="shared" ref="J135:J138" si="41">+I135/D135</f>
        <v>0.56933232954469826</v>
      </c>
      <c r="K135" s="30">
        <v>4580508.9800000004</v>
      </c>
      <c r="L135" s="48">
        <v>0.72597762307892311</v>
      </c>
      <c r="M135" s="210">
        <f t="shared" si="23"/>
        <v>0.56205481557641224</v>
      </c>
      <c r="N135" s="30">
        <v>2816475.17</v>
      </c>
      <c r="O135" s="48">
        <v>0.4463909924214155</v>
      </c>
      <c r="P135" s="210">
        <f t="shared" si="38"/>
        <v>0.67434549050187442</v>
      </c>
    </row>
    <row r="136" spans="1:16" ht="14.1" customHeight="1" x14ac:dyDescent="0.2">
      <c r="A136" s="39" t="s">
        <v>626</v>
      </c>
      <c r="B136" s="40" t="s">
        <v>627</v>
      </c>
      <c r="C136" s="199">
        <v>11963437.41</v>
      </c>
      <c r="D136" s="205">
        <v>8987477.1500000004</v>
      </c>
      <c r="E136" s="32">
        <v>8397551.1199999992</v>
      </c>
      <c r="F136" s="280">
        <f t="shared" si="39"/>
        <v>0.93436133186719683</v>
      </c>
      <c r="G136" s="133">
        <v>7942149.3700000001</v>
      </c>
      <c r="H136" s="280">
        <f t="shared" si="40"/>
        <v>0.8836906328045574</v>
      </c>
      <c r="I136" s="133">
        <v>4297714.57</v>
      </c>
      <c r="J136" s="178">
        <f t="shared" si="41"/>
        <v>0.47818920685656485</v>
      </c>
      <c r="K136" s="32">
        <v>7724718.21</v>
      </c>
      <c r="L136" s="280">
        <v>0.87955184942342846</v>
      </c>
      <c r="M136" s="211">
        <f t="shared" si="23"/>
        <v>2.8147455232544916E-2</v>
      </c>
      <c r="N136" s="32">
        <v>6935901.0999999996</v>
      </c>
      <c r="O136" s="280">
        <v>0.78973555721756117</v>
      </c>
      <c r="P136" s="211">
        <f t="shared" si="38"/>
        <v>-0.3803668033847829</v>
      </c>
    </row>
    <row r="137" spans="1:16" ht="14.1" customHeight="1" x14ac:dyDescent="0.2">
      <c r="A137" s="39" t="s">
        <v>628</v>
      </c>
      <c r="B137" s="40" t="s">
        <v>629</v>
      </c>
      <c r="C137" s="199">
        <v>619200</v>
      </c>
      <c r="D137" s="205">
        <v>558176</v>
      </c>
      <c r="E137" s="32">
        <v>557988</v>
      </c>
      <c r="F137" s="280">
        <f t="shared" si="39"/>
        <v>0.99966318867167347</v>
      </c>
      <c r="G137" s="133">
        <v>172817.55</v>
      </c>
      <c r="H137" s="280">
        <f t="shared" si="40"/>
        <v>0.30961121581723328</v>
      </c>
      <c r="I137" s="133">
        <v>151536.04999999999</v>
      </c>
      <c r="J137" s="178">
        <f t="shared" si="41"/>
        <v>0.27148435260562975</v>
      </c>
      <c r="K137" s="32">
        <v>436941.4</v>
      </c>
      <c r="L137" s="280">
        <v>0.73512625005047316</v>
      </c>
      <c r="M137" s="211" t="s">
        <v>129</v>
      </c>
      <c r="N137" s="32">
        <v>413446.40000000002</v>
      </c>
      <c r="O137" s="280">
        <v>0.69559739962582612</v>
      </c>
      <c r="P137" s="211" t="s">
        <v>129</v>
      </c>
    </row>
    <row r="138" spans="1:16" ht="14.1" customHeight="1" x14ac:dyDescent="0.2">
      <c r="A138" s="39" t="s">
        <v>630</v>
      </c>
      <c r="B138" s="40" t="s">
        <v>631</v>
      </c>
      <c r="C138" s="199">
        <v>3840200</v>
      </c>
      <c r="D138" s="205">
        <v>3958400.26</v>
      </c>
      <c r="E138" s="32">
        <v>3400527.31</v>
      </c>
      <c r="F138" s="280">
        <f t="shared" si="39"/>
        <v>0.85906605867088348</v>
      </c>
      <c r="G138" s="133">
        <v>3400527.31</v>
      </c>
      <c r="H138" s="280">
        <f t="shared" si="40"/>
        <v>0.85906605867088348</v>
      </c>
      <c r="I138" s="133">
        <v>2081970.54</v>
      </c>
      <c r="J138" s="178">
        <f t="shared" si="41"/>
        <v>0.52596261197699101</v>
      </c>
      <c r="K138" s="32">
        <v>3132342.26</v>
      </c>
      <c r="L138" s="280">
        <v>0.95483706024319315</v>
      </c>
      <c r="M138" s="211">
        <f t="shared" si="23"/>
        <v>8.5618054394860588E-2</v>
      </c>
      <c r="N138" s="32">
        <v>2282262.29</v>
      </c>
      <c r="O138" s="280">
        <v>0.69570578014916484</v>
      </c>
      <c r="P138" s="211">
        <f t="shared" si="38"/>
        <v>-8.7760180272706489E-2</v>
      </c>
    </row>
    <row r="139" spans="1:16" ht="14.1" customHeight="1" x14ac:dyDescent="0.2">
      <c r="A139" s="39" t="s">
        <v>632</v>
      </c>
      <c r="B139" s="40" t="s">
        <v>633</v>
      </c>
      <c r="C139" s="199">
        <v>7354400.5099999998</v>
      </c>
      <c r="D139" s="205">
        <v>7835925.4500000002</v>
      </c>
      <c r="E139" s="32">
        <v>7275480.6799999997</v>
      </c>
      <c r="F139" s="280">
        <f>+E139/D139</f>
        <v>0.92847752654410454</v>
      </c>
      <c r="G139" s="133">
        <v>6330655.4000000004</v>
      </c>
      <c r="H139" s="280">
        <f>+G139/D139</f>
        <v>0.80790143300814588</v>
      </c>
      <c r="I139" s="133">
        <v>5280758.1500000004</v>
      </c>
      <c r="J139" s="178">
        <f>+I139/D139</f>
        <v>0.67391633364761017</v>
      </c>
      <c r="K139" s="32">
        <v>5630213.6299999999</v>
      </c>
      <c r="L139" s="280">
        <v>0.80332269826278158</v>
      </c>
      <c r="M139" s="211">
        <f t="shared" si="23"/>
        <v>0.12440767189858848</v>
      </c>
      <c r="N139" s="32">
        <v>4736799.88</v>
      </c>
      <c r="O139" s="280">
        <v>0.67584981863866145</v>
      </c>
      <c r="P139" s="211">
        <f t="shared" si="38"/>
        <v>0.11483665845727065</v>
      </c>
    </row>
    <row r="140" spans="1:16" ht="14.1" customHeight="1" x14ac:dyDescent="0.2">
      <c r="A140" s="39" t="s">
        <v>634</v>
      </c>
      <c r="B140" s="40" t="s">
        <v>635</v>
      </c>
      <c r="C140" s="199">
        <v>6846944.8200000003</v>
      </c>
      <c r="D140" s="205">
        <v>6702956.5499999998</v>
      </c>
      <c r="E140" s="32">
        <v>5906318.9400000004</v>
      </c>
      <c r="F140" s="280">
        <f t="shared" ref="F140:F147" si="42">+E140/D140</f>
        <v>0.88115130926814689</v>
      </c>
      <c r="G140" s="133">
        <v>5486496.6900000004</v>
      </c>
      <c r="H140" s="280">
        <f t="shared" ref="H140:H147" si="43">+G140/D140</f>
        <v>0.8185189101367516</v>
      </c>
      <c r="I140" s="133">
        <v>3736848.92</v>
      </c>
      <c r="J140" s="178">
        <f>+I140/D140</f>
        <v>0.55749263658884973</v>
      </c>
      <c r="K140" s="32">
        <v>4661757.76</v>
      </c>
      <c r="L140" s="390">
        <v>0.79874890026676504</v>
      </c>
      <c r="M140" s="211">
        <f t="shared" si="23"/>
        <v>0.17691587003439668</v>
      </c>
      <c r="N140" s="32">
        <v>3560386.17</v>
      </c>
      <c r="O140" s="390">
        <v>0.61003910632467095</v>
      </c>
      <c r="P140" s="211">
        <f t="shared" si="38"/>
        <v>4.9562811890149439E-2</v>
      </c>
    </row>
    <row r="141" spans="1:16" ht="14.1" customHeight="1" x14ac:dyDescent="0.2">
      <c r="A141" s="39" t="s">
        <v>636</v>
      </c>
      <c r="B141" s="40" t="s">
        <v>637</v>
      </c>
      <c r="C141" s="199">
        <v>6662283.29</v>
      </c>
      <c r="D141" s="205">
        <v>5740904.9000000004</v>
      </c>
      <c r="E141" s="32">
        <v>4241138.4400000004</v>
      </c>
      <c r="F141" s="280">
        <f t="shared" si="42"/>
        <v>0.73875782892693453</v>
      </c>
      <c r="G141" s="133">
        <v>3913427.89</v>
      </c>
      <c r="H141" s="280">
        <f t="shared" si="43"/>
        <v>0.68167439770688409</v>
      </c>
      <c r="I141" s="133">
        <v>3044486.18</v>
      </c>
      <c r="J141" s="178">
        <f t="shared" ref="J141:J147" si="44">+I141/D141</f>
        <v>0.5303146861046244</v>
      </c>
      <c r="K141" s="32">
        <v>3739795.46</v>
      </c>
      <c r="L141" s="390">
        <v>0.59318596785563249</v>
      </c>
      <c r="M141" s="211">
        <f t="shared" si="23"/>
        <v>4.6428322579973536E-2</v>
      </c>
      <c r="N141" s="32">
        <v>2947784.72</v>
      </c>
      <c r="O141" s="390">
        <v>0.46756154203236683</v>
      </c>
      <c r="P141" s="211">
        <f t="shared" si="38"/>
        <v>3.2804790439377784E-2</v>
      </c>
    </row>
    <row r="142" spans="1:16" ht="14.1" customHeight="1" x14ac:dyDescent="0.2">
      <c r="A142" s="39" t="s">
        <v>638</v>
      </c>
      <c r="B142" s="40" t="s">
        <v>639</v>
      </c>
      <c r="C142" s="199">
        <v>1046944.94</v>
      </c>
      <c r="D142" s="205">
        <v>977816.15</v>
      </c>
      <c r="E142" s="32">
        <v>884270.95</v>
      </c>
      <c r="F142" s="280">
        <f t="shared" si="42"/>
        <v>0.90433252713201751</v>
      </c>
      <c r="G142" s="133">
        <v>656392.76</v>
      </c>
      <c r="H142" s="280">
        <f>+G142/D142</f>
        <v>0.67128443317284137</v>
      </c>
      <c r="I142" s="133">
        <v>412204.34</v>
      </c>
      <c r="J142" s="178">
        <f t="shared" si="44"/>
        <v>0.42155607677373708</v>
      </c>
      <c r="K142" s="32">
        <v>670305.49</v>
      </c>
      <c r="L142" s="390">
        <v>0.67214790116893608</v>
      </c>
      <c r="M142" s="211">
        <f t="shared" si="23"/>
        <v>-2.0755804939028621E-2</v>
      </c>
      <c r="N142" s="32">
        <v>477182.66</v>
      </c>
      <c r="O142" s="390">
        <v>0.47849425102159021</v>
      </c>
      <c r="P142" s="211">
        <f t="shared" si="38"/>
        <v>-0.13617074853474342</v>
      </c>
    </row>
    <row r="143" spans="1:16" ht="14.1" customHeight="1" x14ac:dyDescent="0.2">
      <c r="A143" s="39" t="s">
        <v>640</v>
      </c>
      <c r="B143" s="40" t="s">
        <v>641</v>
      </c>
      <c r="C143" s="199">
        <v>3071168.61</v>
      </c>
      <c r="D143" s="205">
        <v>2558474.4700000002</v>
      </c>
      <c r="E143" s="32">
        <v>2341322.7400000002</v>
      </c>
      <c r="F143" s="280">
        <f>+E143/D143</f>
        <v>0.915124527312559</v>
      </c>
      <c r="G143" s="133">
        <v>1934941.12</v>
      </c>
      <c r="H143" s="280">
        <f t="shared" si="43"/>
        <v>0.75628705413660036</v>
      </c>
      <c r="I143" s="133">
        <v>1714379.79</v>
      </c>
      <c r="J143" s="178">
        <f t="shared" si="44"/>
        <v>0.67007891229807737</v>
      </c>
      <c r="K143" s="32">
        <v>1435885.86</v>
      </c>
      <c r="L143" s="390">
        <v>0.61360344936821731</v>
      </c>
      <c r="M143" s="211">
        <f t="shared" si="23"/>
        <v>0.34755914373305408</v>
      </c>
      <c r="N143" s="32">
        <v>930410.7</v>
      </c>
      <c r="O143" s="390">
        <v>0.39759651567924592</v>
      </c>
      <c r="P143" s="211">
        <f t="shared" si="38"/>
        <v>0.84260541070733619</v>
      </c>
    </row>
    <row r="144" spans="1:16" ht="14.1" customHeight="1" x14ac:dyDescent="0.2">
      <c r="A144" s="39" t="s">
        <v>642</v>
      </c>
      <c r="B144" s="40" t="s">
        <v>643</v>
      </c>
      <c r="C144" s="199">
        <v>3957522.84</v>
      </c>
      <c r="D144" s="205">
        <v>3776950.06</v>
      </c>
      <c r="E144" s="32">
        <v>3389563.35</v>
      </c>
      <c r="F144" s="280">
        <f t="shared" si="42"/>
        <v>0.89743398672313923</v>
      </c>
      <c r="G144" s="133">
        <v>3225614.28</v>
      </c>
      <c r="H144" s="280">
        <f t="shared" si="43"/>
        <v>0.85402619276358649</v>
      </c>
      <c r="I144" s="133">
        <v>2516831.6800000002</v>
      </c>
      <c r="J144" s="178">
        <f t="shared" si="44"/>
        <v>0.66636615258820764</v>
      </c>
      <c r="K144" s="32">
        <v>2850507.62</v>
      </c>
      <c r="L144" s="390">
        <v>0.744531900567862</v>
      </c>
      <c r="M144" s="211">
        <f t="shared" si="23"/>
        <v>0.13159293361229452</v>
      </c>
      <c r="N144" s="32">
        <v>2204443.7999999998</v>
      </c>
      <c r="O144" s="390">
        <v>0.57578472009453519</v>
      </c>
      <c r="P144" s="211">
        <f t="shared" si="38"/>
        <v>0.1417082531203564</v>
      </c>
    </row>
    <row r="145" spans="1:18" ht="14.1" customHeight="1" x14ac:dyDescent="0.2">
      <c r="A145" s="39" t="s">
        <v>644</v>
      </c>
      <c r="B145" s="40" t="s">
        <v>645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 t="s">
        <v>129</v>
      </c>
      <c r="M145" s="211" t="s">
        <v>129</v>
      </c>
      <c r="N145" s="32">
        <v>0</v>
      </c>
      <c r="O145" s="390" t="s">
        <v>129</v>
      </c>
      <c r="P145" s="211" t="s">
        <v>129</v>
      </c>
    </row>
    <row r="146" spans="1:18" ht="14.1" customHeight="1" x14ac:dyDescent="0.2">
      <c r="A146" s="39" t="s">
        <v>646</v>
      </c>
      <c r="B146" s="40" t="s">
        <v>647</v>
      </c>
      <c r="C146" s="199">
        <v>543815.78</v>
      </c>
      <c r="D146" s="205">
        <v>740552.38</v>
      </c>
      <c r="E146" s="32">
        <v>687202.25</v>
      </c>
      <c r="F146" s="280">
        <f t="shared" si="42"/>
        <v>0.92795900541160914</v>
      </c>
      <c r="G146" s="133">
        <v>684456.33</v>
      </c>
      <c r="H146" s="280">
        <f t="shared" si="43"/>
        <v>0.92425107053197231</v>
      </c>
      <c r="I146" s="133">
        <v>571867.89</v>
      </c>
      <c r="J146" s="178">
        <f t="shared" si="44"/>
        <v>0.77221801650276245</v>
      </c>
      <c r="K146" s="32">
        <v>512279.94</v>
      </c>
      <c r="L146" s="390">
        <v>0.78634501015695768</v>
      </c>
      <c r="M146" s="211">
        <f t="shared" si="23"/>
        <v>0.33609824737622951</v>
      </c>
      <c r="N146" s="32">
        <v>468164.93</v>
      </c>
      <c r="O146" s="390">
        <v>0.71862887435331035</v>
      </c>
      <c r="P146" s="211">
        <f t="shared" si="38"/>
        <v>0.22150945821593271</v>
      </c>
    </row>
    <row r="147" spans="1:18" ht="14.1" customHeight="1" x14ac:dyDescent="0.2">
      <c r="A147" s="39" t="s">
        <v>648</v>
      </c>
      <c r="B147" s="40" t="s">
        <v>649</v>
      </c>
      <c r="C147" s="199">
        <v>10158466.529999999</v>
      </c>
      <c r="D147" s="205">
        <v>10081186.529999999</v>
      </c>
      <c r="E147" s="32">
        <v>9086826.3800000008</v>
      </c>
      <c r="F147" s="280">
        <f t="shared" si="42"/>
        <v>0.90136477020428685</v>
      </c>
      <c r="G147" s="133">
        <v>8764636.6899999995</v>
      </c>
      <c r="H147" s="280">
        <f t="shared" si="43"/>
        <v>0.86940526930216422</v>
      </c>
      <c r="I147" s="133">
        <v>4101761.72</v>
      </c>
      <c r="J147" s="178">
        <f t="shared" si="44"/>
        <v>0.40687291201227288</v>
      </c>
      <c r="K147" s="32">
        <v>2983623.99</v>
      </c>
      <c r="L147" s="390">
        <v>0.32729767350224348</v>
      </c>
      <c r="M147" s="211">
        <f t="shared" si="23"/>
        <v>1.9375808477796825</v>
      </c>
      <c r="N147" s="32">
        <v>732677.27</v>
      </c>
      <c r="O147" s="390">
        <v>8.0373253031450209E-2</v>
      </c>
      <c r="P147" s="211">
        <f t="shared" si="38"/>
        <v>4.5983198714489939</v>
      </c>
    </row>
    <row r="148" spans="1:18" ht="14.1" customHeight="1" x14ac:dyDescent="0.2">
      <c r="A148" s="253">
        <v>2341</v>
      </c>
      <c r="B148" s="40" t="s">
        <v>431</v>
      </c>
      <c r="C148" s="199">
        <v>10668077.699999999</v>
      </c>
      <c r="D148" s="205">
        <v>10746163.939999999</v>
      </c>
      <c r="E148" s="32">
        <v>10728080.539999999</v>
      </c>
      <c r="F148" s="280">
        <f>+E148/D148</f>
        <v>0.99831722276889068</v>
      </c>
      <c r="G148" s="133">
        <v>10660231.960000001</v>
      </c>
      <c r="H148" s="280">
        <f>+G148/D148</f>
        <v>0.9920034739391852</v>
      </c>
      <c r="I148" s="133">
        <v>7994709.54</v>
      </c>
      <c r="J148" s="178">
        <f>+I148/D148</f>
        <v>0.7439593872415835</v>
      </c>
      <c r="K148" s="32">
        <v>10766557.390000001</v>
      </c>
      <c r="L148" s="390">
        <v>0.98906359450719827</v>
      </c>
      <c r="M148" s="211">
        <f t="shared" si="23"/>
        <v>-9.8755271669991318E-3</v>
      </c>
      <c r="N148" s="32">
        <v>7385216.9800000004</v>
      </c>
      <c r="O148" s="390">
        <v>0.67843870495120218</v>
      </c>
      <c r="P148" s="211">
        <f t="shared" si="38"/>
        <v>8.2528727544576519E-2</v>
      </c>
    </row>
    <row r="149" spans="1:18" ht="14.1" customHeight="1" x14ac:dyDescent="0.2">
      <c r="A149" s="18">
        <v>2</v>
      </c>
      <c r="B149" s="513" t="s">
        <v>125</v>
      </c>
      <c r="C149" s="201">
        <f>SUM(C122:C130,C135:C148)</f>
        <v>321210830.55999994</v>
      </c>
      <c r="D149" s="207">
        <f>SUM(D122:D130,D135:D148)</f>
        <v>324924249.7299999</v>
      </c>
      <c r="E149" s="203">
        <f>SUM(E122:E130,E135:E148)</f>
        <v>301068249.42000008</v>
      </c>
      <c r="F149" s="232">
        <f>E149/D149</f>
        <v>0.92657980950999108</v>
      </c>
      <c r="G149" s="203">
        <f>SUM(G122:G130,G135:G148)</f>
        <v>290295208.01999998</v>
      </c>
      <c r="H149" s="232">
        <f>G149/D149</f>
        <v>0.8934242619971412</v>
      </c>
      <c r="I149" s="203">
        <f>SUM(I122:I130,I135:I148)</f>
        <v>236407084.50999999</v>
      </c>
      <c r="J149" s="277">
        <f>I149/D149</f>
        <v>0.72757599565574305</v>
      </c>
      <c r="K149" s="561">
        <f>SUM(K122:K148)</f>
        <v>263010163.71000004</v>
      </c>
      <c r="L149" s="90">
        <v>0.87098469813762258</v>
      </c>
      <c r="M149" s="213">
        <f t="shared" si="23"/>
        <v>0.1037414065111375</v>
      </c>
      <c r="N149" s="561">
        <f>SUM(N122:N148)</f>
        <v>224361930.34999996</v>
      </c>
      <c r="O149" s="90">
        <v>0.74299717327630799</v>
      </c>
      <c r="P149" s="213">
        <f t="shared" ref="P149" si="45">+I149/N149-1</f>
        <v>5.3686265496155405E-2</v>
      </c>
      <c r="R149"/>
    </row>
    <row r="150" spans="1:18" ht="14.1" customHeight="1" x14ac:dyDescent="0.2">
      <c r="A150" s="37">
        <v>3111</v>
      </c>
      <c r="B150" s="38" t="s">
        <v>651</v>
      </c>
      <c r="C150" s="198">
        <v>19998074.850000001</v>
      </c>
      <c r="D150" s="533">
        <v>19318987.59</v>
      </c>
      <c r="E150" s="56">
        <v>18622675.690000001</v>
      </c>
      <c r="F150" s="48">
        <f t="shared" ref="F150:F159" si="46">+E150/D150</f>
        <v>0.96395712266203704</v>
      </c>
      <c r="G150" s="56">
        <v>18572459.359999999</v>
      </c>
      <c r="H150" s="48">
        <f t="shared" ref="H150:H159" si="47">+G150/D150</f>
        <v>0.96135779752835382</v>
      </c>
      <c r="I150" s="56">
        <v>13453399.48</v>
      </c>
      <c r="J150" s="153">
        <f t="shared" ref="J150:J159" si="48">+I150/D150</f>
        <v>0.6963822207207081</v>
      </c>
      <c r="K150" s="180">
        <v>19365498.219999999</v>
      </c>
      <c r="L150" s="48">
        <v>0.9812782217179119</v>
      </c>
      <c r="M150" s="210">
        <f t="shared" si="23"/>
        <v>-4.0951120957010922E-2</v>
      </c>
      <c r="N150" s="180">
        <v>18866533.960000001</v>
      </c>
      <c r="O150" s="48">
        <v>0.95599497022645652</v>
      </c>
      <c r="P150" s="210">
        <f>+I150/N150-1</f>
        <v>-0.28691727327747063</v>
      </c>
    </row>
    <row r="151" spans="1:18" ht="14.1" customHeight="1" x14ac:dyDescent="0.2">
      <c r="A151" s="37" t="s">
        <v>650</v>
      </c>
      <c r="B151" s="38" t="s">
        <v>652</v>
      </c>
      <c r="C151" s="200">
        <v>2248848</v>
      </c>
      <c r="D151" s="534">
        <v>2889577.19</v>
      </c>
      <c r="E151" s="137">
        <v>2889577.19</v>
      </c>
      <c r="F151" s="48">
        <f t="shared" si="46"/>
        <v>1</v>
      </c>
      <c r="G151" s="137">
        <v>2889577.19</v>
      </c>
      <c r="H151" s="48">
        <f t="shared" si="47"/>
        <v>1</v>
      </c>
      <c r="I151" s="137">
        <v>2248848</v>
      </c>
      <c r="J151" s="153">
        <f t="shared" si="48"/>
        <v>0.77826195741806781</v>
      </c>
      <c r="K151" s="34">
        <v>2248848</v>
      </c>
      <c r="L151" s="48">
        <v>1</v>
      </c>
      <c r="M151" s="210">
        <f t="shared" ref="M151:M212" si="49">+G151/K151-1</f>
        <v>0.28491440506428178</v>
      </c>
      <c r="N151" s="34">
        <v>2248848</v>
      </c>
      <c r="O151" s="48">
        <v>1</v>
      </c>
      <c r="P151" s="210">
        <f t="shared" ref="P151:P172" si="50">+I151/N151-1</f>
        <v>0</v>
      </c>
    </row>
    <row r="152" spans="1:18" ht="14.1" customHeight="1" x14ac:dyDescent="0.2">
      <c r="A152" s="37">
        <v>3131</v>
      </c>
      <c r="B152" s="38" t="s">
        <v>761</v>
      </c>
      <c r="C152" s="200">
        <v>9000</v>
      </c>
      <c r="D152" s="534">
        <v>6000</v>
      </c>
      <c r="E152" s="137">
        <v>6000</v>
      </c>
      <c r="F152" s="48">
        <f t="shared" si="46"/>
        <v>1</v>
      </c>
      <c r="G152" s="137">
        <v>5190</v>
      </c>
      <c r="H152" s="48">
        <f t="shared" si="47"/>
        <v>0.86499999999999999</v>
      </c>
      <c r="I152" s="137">
        <v>5190</v>
      </c>
      <c r="J152" s="153">
        <f t="shared" si="48"/>
        <v>0.86499999999999999</v>
      </c>
      <c r="K152" s="34">
        <v>0</v>
      </c>
      <c r="L152" s="48">
        <v>0</v>
      </c>
      <c r="M152" s="224" t="s">
        <v>129</v>
      </c>
      <c r="N152" s="34">
        <v>0</v>
      </c>
      <c r="O152" s="48">
        <v>0</v>
      </c>
      <c r="P152" s="210" t="s">
        <v>129</v>
      </c>
    </row>
    <row r="153" spans="1:18" ht="14.1" customHeight="1" x14ac:dyDescent="0.2">
      <c r="A153" s="39" t="s">
        <v>653</v>
      </c>
      <c r="B153" s="40" t="s">
        <v>654</v>
      </c>
      <c r="C153" s="200">
        <v>10674936.689999999</v>
      </c>
      <c r="D153" s="534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7100000</v>
      </c>
      <c r="J153" s="178">
        <f t="shared" si="48"/>
        <v>0.66510933096690805</v>
      </c>
      <c r="K153" s="34">
        <v>16218656.73</v>
      </c>
      <c r="L153" s="280">
        <v>0.92232964439806342</v>
      </c>
      <c r="M153" s="212">
        <f t="shared" si="49"/>
        <v>-0.34181129376427721</v>
      </c>
      <c r="N153" s="34">
        <v>16218656.73</v>
      </c>
      <c r="O153" s="280">
        <v>0.92232964439806342</v>
      </c>
      <c r="P153" s="210">
        <f t="shared" si="50"/>
        <v>-0.56223254994558358</v>
      </c>
    </row>
    <row r="154" spans="1:18" ht="14.1" customHeight="1" x14ac:dyDescent="0.2">
      <c r="A154" s="253">
        <v>3232</v>
      </c>
      <c r="B154" s="40" t="s">
        <v>480</v>
      </c>
      <c r="C154" s="200">
        <v>40599839.609999999</v>
      </c>
      <c r="D154" s="534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39938923</v>
      </c>
      <c r="J154" s="178">
        <f t="shared" si="48"/>
        <v>0.98372120145427344</v>
      </c>
      <c r="K154" s="34">
        <v>37980210.549999997</v>
      </c>
      <c r="L154" s="603">
        <v>1</v>
      </c>
      <c r="M154" s="211">
        <f t="shared" si="49"/>
        <v>6.8973526530384133E-2</v>
      </c>
      <c r="N154" s="34">
        <v>37980210.549999997</v>
      </c>
      <c r="O154" s="603">
        <v>1</v>
      </c>
      <c r="P154" s="210">
        <f t="shared" si="50"/>
        <v>5.1571921841281121E-2</v>
      </c>
    </row>
    <row r="155" spans="1:18" ht="14.1" customHeight="1" x14ac:dyDescent="0.2">
      <c r="A155" s="253" t="s">
        <v>655</v>
      </c>
      <c r="B155" s="40" t="s">
        <v>656</v>
      </c>
      <c r="C155" s="200">
        <v>1576943.5</v>
      </c>
      <c r="D155" s="534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03">
        <v>1</v>
      </c>
      <c r="M155" s="211">
        <f t="shared" si="49"/>
        <v>0.18840289733511639</v>
      </c>
      <c r="N155" s="34">
        <v>1326943.5</v>
      </c>
      <c r="O155" s="603">
        <v>1</v>
      </c>
      <c r="P155" s="210" t="s">
        <v>129</v>
      </c>
    </row>
    <row r="156" spans="1:18" ht="14.1" customHeight="1" x14ac:dyDescent="0.2">
      <c r="A156" s="39" t="s">
        <v>657</v>
      </c>
      <c r="B156" s="40" t="s">
        <v>658</v>
      </c>
      <c r="C156" s="200">
        <v>8163831</v>
      </c>
      <c r="D156" s="534">
        <v>8163831</v>
      </c>
      <c r="E156" s="137">
        <v>8163831</v>
      </c>
      <c r="F156" s="280">
        <f t="shared" si="46"/>
        <v>1</v>
      </c>
      <c r="G156" s="137">
        <v>8163831</v>
      </c>
      <c r="H156" s="280">
        <f t="shared" si="47"/>
        <v>1</v>
      </c>
      <c r="I156" s="137">
        <v>5416531</v>
      </c>
      <c r="J156" s="178">
        <f t="shared" si="48"/>
        <v>0.66347907005914253</v>
      </c>
      <c r="K156" s="34">
        <v>7557020.8600000003</v>
      </c>
      <c r="L156" s="280">
        <v>1</v>
      </c>
      <c r="M156" s="211">
        <f t="shared" si="49"/>
        <v>8.0297534073499932E-2</v>
      </c>
      <c r="N156" s="34">
        <v>7557020.8600000003</v>
      </c>
      <c r="O156" s="280">
        <v>1</v>
      </c>
      <c r="P156" s="210">
        <f t="shared" si="50"/>
        <v>-0.28324519670572934</v>
      </c>
    </row>
    <row r="157" spans="1:18" ht="14.1" customHeight="1" x14ac:dyDescent="0.2">
      <c r="A157" s="39" t="s">
        <v>659</v>
      </c>
      <c r="B157" s="40" t="s">
        <v>114</v>
      </c>
      <c r="C157" s="200">
        <v>9096798.4100000001</v>
      </c>
      <c r="D157" s="534">
        <v>9079761.7899999991</v>
      </c>
      <c r="E157" s="137">
        <v>8973829.2400000002</v>
      </c>
      <c r="F157" s="280">
        <f t="shared" si="46"/>
        <v>0.98833311352764042</v>
      </c>
      <c r="G157" s="137">
        <v>8896753.1099999994</v>
      </c>
      <c r="H157" s="280">
        <f t="shared" si="47"/>
        <v>0.97984433025527651</v>
      </c>
      <c r="I157" s="137">
        <v>8567412.6999999993</v>
      </c>
      <c r="J157" s="178">
        <f t="shared" si="48"/>
        <v>0.94357240841226964</v>
      </c>
      <c r="K157" s="34">
        <v>6873751.96</v>
      </c>
      <c r="L157" s="280">
        <v>0.8338120265159803</v>
      </c>
      <c r="M157" s="211">
        <f t="shared" si="49"/>
        <v>0.29430813939349654</v>
      </c>
      <c r="N157" s="34">
        <v>6092671.4400000004</v>
      </c>
      <c r="O157" s="280">
        <v>0.73906401479788575</v>
      </c>
      <c r="P157" s="210">
        <f t="shared" si="50"/>
        <v>0.4061832784470647</v>
      </c>
    </row>
    <row r="158" spans="1:18" ht="14.1" customHeight="1" x14ac:dyDescent="0.2">
      <c r="A158" s="39" t="s">
        <v>660</v>
      </c>
      <c r="B158" s="40" t="s">
        <v>661</v>
      </c>
      <c r="C158" s="200">
        <v>8827393.0999999996</v>
      </c>
      <c r="D158" s="534">
        <v>8771335.0999999996</v>
      </c>
      <c r="E158" s="137">
        <v>8751716.0299999993</v>
      </c>
      <c r="F158" s="280">
        <f t="shared" si="46"/>
        <v>0.99776327437313383</v>
      </c>
      <c r="G158" s="137">
        <v>8751716.0299999993</v>
      </c>
      <c r="H158" s="280">
        <f t="shared" si="47"/>
        <v>0.99776327437313383</v>
      </c>
      <c r="I158" s="137">
        <v>7479296</v>
      </c>
      <c r="J158" s="178">
        <f t="shared" si="48"/>
        <v>0.85269755570049999</v>
      </c>
      <c r="K158" s="34">
        <v>8147393.0999999996</v>
      </c>
      <c r="L158" s="280">
        <v>0.83328889578961496</v>
      </c>
      <c r="M158" s="211">
        <f t="shared" si="49"/>
        <v>7.4173778358626041E-2</v>
      </c>
      <c r="N158" s="34">
        <v>4168699.45</v>
      </c>
      <c r="O158" s="280">
        <v>0.42636103584707058</v>
      </c>
      <c r="P158" s="210">
        <f t="shared" si="50"/>
        <v>0.79415572883288577</v>
      </c>
    </row>
    <row r="159" spans="1:18" ht="14.1" customHeight="1" x14ac:dyDescent="0.2">
      <c r="A159" s="39">
        <v>3281</v>
      </c>
      <c r="B159" s="40" t="s">
        <v>664</v>
      </c>
      <c r="C159" s="200">
        <v>5255775.0999999996</v>
      </c>
      <c r="D159" s="534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5155750.58</v>
      </c>
      <c r="L159" s="280">
        <v>1</v>
      </c>
      <c r="M159" s="211">
        <f t="shared" si="49"/>
        <v>1.9400573873377569E-2</v>
      </c>
      <c r="N159" s="34">
        <v>5155750.58</v>
      </c>
      <c r="O159" s="280">
        <v>1</v>
      </c>
      <c r="P159" s="210">
        <f t="shared" si="50"/>
        <v>-1</v>
      </c>
    </row>
    <row r="160" spans="1:18" ht="14.1" customHeight="1" x14ac:dyDescent="0.2">
      <c r="A160" s="39" t="s">
        <v>662</v>
      </c>
      <c r="B160" s="40" t="s">
        <v>665</v>
      </c>
      <c r="C160" s="200">
        <v>2919606</v>
      </c>
      <c r="D160" s="534">
        <v>3019606</v>
      </c>
      <c r="E160" s="137">
        <v>3019606</v>
      </c>
      <c r="F160" s="280">
        <f t="shared" ref="F160:F161" si="51">+E160/D160</f>
        <v>1</v>
      </c>
      <c r="G160" s="137">
        <v>3019606</v>
      </c>
      <c r="H160" s="280">
        <f t="shared" ref="H160:H161" si="52">+G160/D160</f>
        <v>1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3.4251196908075876E-2</v>
      </c>
      <c r="N160" s="34">
        <v>2519606</v>
      </c>
      <c r="O160" s="280">
        <v>0.86299521236769616</v>
      </c>
      <c r="P160" s="210" t="s">
        <v>129</v>
      </c>
    </row>
    <row r="161" spans="1:18" ht="14.1" customHeight="1" x14ac:dyDescent="0.2">
      <c r="A161" s="39" t="s">
        <v>663</v>
      </c>
      <c r="B161" s="40" t="s">
        <v>666</v>
      </c>
      <c r="C161" s="200">
        <v>1326943.5</v>
      </c>
      <c r="D161" s="534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1326943.5</v>
      </c>
      <c r="O161" s="280">
        <v>1</v>
      </c>
      <c r="P161" s="210">
        <f t="shared" si="50"/>
        <v>-1</v>
      </c>
    </row>
    <row r="162" spans="1:18" ht="14.1" customHeight="1" x14ac:dyDescent="0.2">
      <c r="A162" s="39">
        <v>3291</v>
      </c>
      <c r="B162" s="40" t="s">
        <v>495</v>
      </c>
      <c r="C162" s="200">
        <v>33376191.52</v>
      </c>
      <c r="D162" s="534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29700000</v>
      </c>
      <c r="J162" s="178">
        <f>+I162/D162</f>
        <v>0.88985587172829117</v>
      </c>
      <c r="K162" s="34">
        <v>30377801.829999998</v>
      </c>
      <c r="L162" s="603">
        <v>1</v>
      </c>
      <c r="M162" s="211">
        <f t="shared" si="49"/>
        <v>9.8703313254183689E-2</v>
      </c>
      <c r="N162" s="34">
        <v>30377801.829999998</v>
      </c>
      <c r="O162" s="603">
        <v>1</v>
      </c>
      <c r="P162" s="210">
        <f t="shared" si="50"/>
        <v>-2.2312405413436709E-2</v>
      </c>
    </row>
    <row r="163" spans="1:18" ht="14.1" customHeight="1" x14ac:dyDescent="0.2">
      <c r="A163" s="253" t="s">
        <v>667</v>
      </c>
      <c r="B163" s="40" t="s">
        <v>668</v>
      </c>
      <c r="C163" s="200">
        <v>24741430.09</v>
      </c>
      <c r="D163" s="534">
        <v>20701995.420000002</v>
      </c>
      <c r="E163" s="137">
        <v>19229143.77</v>
      </c>
      <c r="F163" s="280">
        <f>+E163/D163</f>
        <v>0.92885460458671076</v>
      </c>
      <c r="G163" s="137">
        <v>19229143.77</v>
      </c>
      <c r="H163" s="280">
        <f>+G163/D163</f>
        <v>0.92885460458671076</v>
      </c>
      <c r="I163" s="137">
        <v>12649287.73</v>
      </c>
      <c r="J163" s="178">
        <f>+I163/D163</f>
        <v>0.61101780158736019</v>
      </c>
      <c r="K163" s="34">
        <v>16141852.65</v>
      </c>
      <c r="L163" s="280">
        <v>0.94376352513630357</v>
      </c>
      <c r="M163" s="211">
        <f t="shared" si="49"/>
        <v>0.19126002367516337</v>
      </c>
      <c r="N163" s="34">
        <v>14358046.68</v>
      </c>
      <c r="O163" s="280">
        <v>0.83946998170550147</v>
      </c>
      <c r="P163" s="210">
        <f t="shared" si="50"/>
        <v>-0.11901054426715374</v>
      </c>
    </row>
    <row r="164" spans="1:18" ht="14.1" customHeight="1" x14ac:dyDescent="0.2">
      <c r="A164" s="39" t="s">
        <v>669</v>
      </c>
      <c r="B164" s="40" t="s">
        <v>670</v>
      </c>
      <c r="C164" s="200">
        <v>12623127.310000001</v>
      </c>
      <c r="D164" s="534">
        <v>12970033.42</v>
      </c>
      <c r="E164" s="137">
        <v>12968189.83</v>
      </c>
      <c r="F164" s="280">
        <f>+E164/D164</f>
        <v>0.99985785772940594</v>
      </c>
      <c r="G164" s="137">
        <v>12923971.6</v>
      </c>
      <c r="H164" s="280">
        <f>+G164/D164</f>
        <v>0.9964485966605936</v>
      </c>
      <c r="I164" s="137">
        <v>7094756.8200000003</v>
      </c>
      <c r="J164" s="178">
        <f>+I164/D164</f>
        <v>0.547011452496319</v>
      </c>
      <c r="K164" s="34">
        <v>14701213.880000001</v>
      </c>
      <c r="L164" s="280">
        <v>0.99000298206028514</v>
      </c>
      <c r="M164" s="211">
        <f t="shared" si="49"/>
        <v>-0.12089085258584109</v>
      </c>
      <c r="N164" s="34">
        <v>14569723.23</v>
      </c>
      <c r="O164" s="280">
        <v>0.98114819383152929</v>
      </c>
      <c r="P164" s="210">
        <f t="shared" si="50"/>
        <v>-0.51304793454199338</v>
      </c>
    </row>
    <row r="165" spans="1:18" ht="14.1" customHeight="1" x14ac:dyDescent="0.2">
      <c r="A165" s="39" t="s">
        <v>671</v>
      </c>
      <c r="B165" s="40" t="s">
        <v>672</v>
      </c>
      <c r="C165" s="200">
        <v>48067327.659999996</v>
      </c>
      <c r="D165" s="534">
        <v>51847827.659999996</v>
      </c>
      <c r="E165" s="137">
        <v>51817327.659999996</v>
      </c>
      <c r="F165" s="280">
        <f>+E165/D165</f>
        <v>0.99941174005977629</v>
      </c>
      <c r="G165" s="137">
        <v>51817327.659999996</v>
      </c>
      <c r="H165" s="280">
        <f>+G165/D165</f>
        <v>0.99941174005977629</v>
      </c>
      <c r="I165" s="137">
        <v>48000000</v>
      </c>
      <c r="J165" s="178">
        <f>+I165/D165</f>
        <v>0.92578613543401067</v>
      </c>
      <c r="K165" s="34">
        <v>48997115.619999997</v>
      </c>
      <c r="L165" s="280">
        <v>1</v>
      </c>
      <c r="M165" s="211">
        <f t="shared" si="49"/>
        <v>5.7558735944220007E-2</v>
      </c>
      <c r="N165" s="34">
        <v>47461939.759999998</v>
      </c>
      <c r="O165" s="280">
        <v>0.96866803605530283</v>
      </c>
      <c r="P165" s="210">
        <f t="shared" si="50"/>
        <v>1.1336667711450588E-2</v>
      </c>
      <c r="R165" s="275"/>
    </row>
    <row r="166" spans="1:18" ht="14.1" customHeight="1" x14ac:dyDescent="0.2">
      <c r="A166" s="39" t="s">
        <v>673</v>
      </c>
      <c r="B166" s="40" t="s">
        <v>674</v>
      </c>
      <c r="C166" s="200">
        <v>17219551.329999998</v>
      </c>
      <c r="D166" s="534">
        <v>18169551.329999998</v>
      </c>
      <c r="E166" s="137">
        <v>18169551.329999998</v>
      </c>
      <c r="F166" s="280">
        <f>+E166/D166</f>
        <v>1</v>
      </c>
      <c r="G166" s="137">
        <v>18169551.329999998</v>
      </c>
      <c r="H166" s="280">
        <f>+G166/D166</f>
        <v>1</v>
      </c>
      <c r="I166" s="137">
        <v>13500000</v>
      </c>
      <c r="J166" s="178">
        <f>+I166/D166</f>
        <v>0.74300128576702729</v>
      </c>
      <c r="K166" s="34">
        <v>17284551.329999998</v>
      </c>
      <c r="L166" s="280">
        <v>1</v>
      </c>
      <c r="M166" s="211">
        <f t="shared" si="49"/>
        <v>5.1201791883596526E-2</v>
      </c>
      <c r="N166" s="34">
        <v>14265000</v>
      </c>
      <c r="O166" s="280">
        <v>0.82530345900508839</v>
      </c>
      <c r="P166" s="210">
        <f t="shared" si="50"/>
        <v>-5.362776025236593E-2</v>
      </c>
      <c r="R166" s="275"/>
    </row>
    <row r="167" spans="1:18" ht="14.1" customHeight="1" x14ac:dyDescent="0.2">
      <c r="A167" s="39" t="s">
        <v>675</v>
      </c>
      <c r="B167" s="40" t="s">
        <v>102</v>
      </c>
      <c r="C167" s="200">
        <v>17748245.370000001</v>
      </c>
      <c r="D167" s="534">
        <v>20659785.010000002</v>
      </c>
      <c r="E167" s="137">
        <v>20416778.579999998</v>
      </c>
      <c r="F167" s="280">
        <f t="shared" ref="F167:F173" si="54">+E167/D167</f>
        <v>0.98823770770691077</v>
      </c>
      <c r="G167" s="137">
        <v>20199811.02</v>
      </c>
      <c r="H167" s="280">
        <f t="shared" ref="H167:H173" si="55">+G167/D167</f>
        <v>0.97773578041701015</v>
      </c>
      <c r="I167" s="137">
        <v>16878725.949999999</v>
      </c>
      <c r="J167" s="178">
        <f t="shared" ref="J167:J173" si="56">+I167/D167</f>
        <v>0.81698458826314757</v>
      </c>
      <c r="K167" s="34">
        <v>16002471.77</v>
      </c>
      <c r="L167" s="603">
        <v>0.98702508838642533</v>
      </c>
      <c r="M167" s="211">
        <f t="shared" si="49"/>
        <v>0.26229318259875289</v>
      </c>
      <c r="N167" s="34">
        <v>9751599.9600000009</v>
      </c>
      <c r="O167" s="603">
        <v>0.60147419415994774</v>
      </c>
      <c r="P167" s="210">
        <f t="shared" si="50"/>
        <v>0.73086734681843923</v>
      </c>
      <c r="R167" s="275"/>
    </row>
    <row r="168" spans="1:18" ht="14.1" customHeight="1" x14ac:dyDescent="0.2">
      <c r="A168" s="253">
        <v>3361</v>
      </c>
      <c r="B168" s="40" t="s">
        <v>676</v>
      </c>
      <c r="C168" s="200">
        <v>211322.62</v>
      </c>
      <c r="D168" s="534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">
      <c r="A169" s="253">
        <v>3371</v>
      </c>
      <c r="B169" s="40" t="s">
        <v>677</v>
      </c>
      <c r="C169" s="200">
        <v>15245118.1</v>
      </c>
      <c r="D169" s="534">
        <v>15640781.130000001</v>
      </c>
      <c r="E169" s="137">
        <v>14846795.640000001</v>
      </c>
      <c r="F169" s="280">
        <f t="shared" si="54"/>
        <v>0.94923619968844863</v>
      </c>
      <c r="G169" s="137">
        <v>14763795.25</v>
      </c>
      <c r="H169" s="280">
        <f t="shared" si="55"/>
        <v>0.94392953441961491</v>
      </c>
      <c r="I169" s="137">
        <v>10463564.789999999</v>
      </c>
      <c r="J169" s="178">
        <f t="shared" si="56"/>
        <v>0.66899246930386513</v>
      </c>
      <c r="K169" s="34">
        <v>14227159.33</v>
      </c>
      <c r="L169" s="280">
        <v>0.95566902555992461</v>
      </c>
      <c r="M169" s="211">
        <f t="shared" si="49"/>
        <v>3.7719119295193781E-2</v>
      </c>
      <c r="N169" s="34">
        <v>11498376.550000001</v>
      </c>
      <c r="O169" s="280">
        <v>0.77237079153872024</v>
      </c>
      <c r="P169" s="210">
        <f t="shared" si="50"/>
        <v>-8.9996336047978964E-2</v>
      </c>
    </row>
    <row r="170" spans="1:18" ht="14.1" customHeight="1" x14ac:dyDescent="0.2">
      <c r="A170" s="253">
        <v>3381</v>
      </c>
      <c r="B170" s="40" t="s">
        <v>678</v>
      </c>
      <c r="C170" s="200">
        <v>8127724.7699999996</v>
      </c>
      <c r="D170" s="534">
        <v>8809568.1999999993</v>
      </c>
      <c r="E170" s="137">
        <v>8332951.2599999998</v>
      </c>
      <c r="F170" s="280">
        <f t="shared" si="54"/>
        <v>0.94589780915709354</v>
      </c>
      <c r="G170" s="137">
        <v>8251256.1100000003</v>
      </c>
      <c r="H170" s="280">
        <f t="shared" si="55"/>
        <v>0.93662435237177699</v>
      </c>
      <c r="I170" s="137">
        <v>3503532.08</v>
      </c>
      <c r="J170" s="178">
        <f t="shared" si="56"/>
        <v>0.39769623214903999</v>
      </c>
      <c r="K170" s="34">
        <v>7374594.04</v>
      </c>
      <c r="L170" s="280">
        <v>0.93799837674992559</v>
      </c>
      <c r="M170" s="211">
        <f t="shared" si="49"/>
        <v>0.1188759767988532</v>
      </c>
      <c r="N170" s="34">
        <v>6365436.4299999997</v>
      </c>
      <c r="O170" s="280">
        <v>0.80964036884731916</v>
      </c>
      <c r="P170" s="210">
        <f t="shared" si="50"/>
        <v>-0.44960064898488028</v>
      </c>
    </row>
    <row r="171" spans="1:18" ht="14.1" customHeight="1" x14ac:dyDescent="0.2">
      <c r="A171" s="253" t="s">
        <v>679</v>
      </c>
      <c r="B171" s="40" t="s">
        <v>680</v>
      </c>
      <c r="C171" s="200">
        <v>14042820.529999999</v>
      </c>
      <c r="D171" s="534">
        <v>13122178.390000001</v>
      </c>
      <c r="E171" s="137">
        <v>12591103.789999999</v>
      </c>
      <c r="F171" s="390">
        <f t="shared" si="54"/>
        <v>0.95952847277211861</v>
      </c>
      <c r="G171" s="137">
        <v>12533749.57</v>
      </c>
      <c r="H171" s="390">
        <f t="shared" si="55"/>
        <v>0.95515768780826638</v>
      </c>
      <c r="I171" s="137">
        <v>9223315.7699999996</v>
      </c>
      <c r="J171" s="392">
        <f t="shared" si="56"/>
        <v>0.7028799255639443</v>
      </c>
      <c r="K171" s="34">
        <v>12549655.859999999</v>
      </c>
      <c r="L171" s="390">
        <v>0.98283331558546128</v>
      </c>
      <c r="M171" s="211">
        <f t="shared" si="49"/>
        <v>-1.2674682220329414E-3</v>
      </c>
      <c r="N171" s="34">
        <v>11844404.380000001</v>
      </c>
      <c r="O171" s="390">
        <v>0.92760115160085044</v>
      </c>
      <c r="P171" s="210">
        <f t="shared" si="50"/>
        <v>-0.22129340791723295</v>
      </c>
    </row>
    <row r="172" spans="1:18" ht="14.1" customHeight="1" x14ac:dyDescent="0.2">
      <c r="A172" s="253">
        <v>3421</v>
      </c>
      <c r="B172" s="40" t="s">
        <v>484</v>
      </c>
      <c r="C172" s="200">
        <v>5455050.5800000001</v>
      </c>
      <c r="D172" s="534">
        <v>6478127.2199999997</v>
      </c>
      <c r="E172" s="137">
        <v>6056013.3300000001</v>
      </c>
      <c r="F172" s="390">
        <f t="shared" si="54"/>
        <v>0.93484013578850345</v>
      </c>
      <c r="G172" s="137">
        <v>6056013.3300000001</v>
      </c>
      <c r="H172" s="390">
        <f t="shared" si="55"/>
        <v>0.93484013578850345</v>
      </c>
      <c r="I172" s="137">
        <v>1454850.83</v>
      </c>
      <c r="J172" s="392">
        <f t="shared" si="56"/>
        <v>0.22457892236330612</v>
      </c>
      <c r="K172" s="34">
        <v>6370972.0099999998</v>
      </c>
      <c r="L172" s="390">
        <v>1</v>
      </c>
      <c r="M172" s="211">
        <f t="shared" si="49"/>
        <v>-4.9436519185084293E-2</v>
      </c>
      <c r="N172" s="34">
        <v>4828592.28</v>
      </c>
      <c r="O172" s="390">
        <v>0.75790511595733734</v>
      </c>
      <c r="P172" s="210">
        <f t="shared" si="50"/>
        <v>-0.69870083336172673</v>
      </c>
    </row>
    <row r="173" spans="1:18" ht="14.1" customHeight="1" x14ac:dyDescent="0.2">
      <c r="A173" s="525">
        <v>3431</v>
      </c>
      <c r="B173" s="527" t="s">
        <v>435</v>
      </c>
      <c r="C173" s="200">
        <v>6518951.2199999997</v>
      </c>
      <c r="D173" s="534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4500000</v>
      </c>
      <c r="J173" s="392">
        <f t="shared" si="56"/>
        <v>0.69029508706770171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3000000</v>
      </c>
      <c r="O173" s="390">
        <v>0.39428669536113503</v>
      </c>
      <c r="P173" s="210" t="s">
        <v>129</v>
      </c>
    </row>
    <row r="174" spans="1:18" ht="14.1" customHeight="1" x14ac:dyDescent="0.2">
      <c r="A174" s="526">
        <v>3</v>
      </c>
      <c r="B174" s="2" t="s">
        <v>124</v>
      </c>
      <c r="C174" s="201">
        <f>SUM(C150:C173)</f>
        <v>314074850.86000001</v>
      </c>
      <c r="D174" s="207">
        <f>SUM(D150:D173)</f>
        <v>319189850.20999998</v>
      </c>
      <c r="E174" s="203">
        <f>SUM(E150:E173)</f>
        <v>314395994.10000002</v>
      </c>
      <c r="F174" s="90">
        <f t="shared" ref="F174:F211" si="57">+E174/D174</f>
        <v>0.98498117622836068</v>
      </c>
      <c r="G174" s="203">
        <f>SUM(G150:G173)</f>
        <v>313784656.09000003</v>
      </c>
      <c r="H174" s="90">
        <f t="shared" ref="H174:H211" si="58">+G174/D174</f>
        <v>0.98306589599749561</v>
      </c>
      <c r="I174" s="203">
        <f>SUM(I150:I173)</f>
        <v>241177634.15000004</v>
      </c>
      <c r="J174" s="170">
        <f t="shared" ref="J174:J211" si="59">+I174/D174</f>
        <v>0.75559305532843701</v>
      </c>
      <c r="K174" s="561">
        <f>SUM(K150:K173)</f>
        <v>300968010.66000009</v>
      </c>
      <c r="L174" s="90">
        <v>0.97448230983584694</v>
      </c>
      <c r="M174" s="213">
        <f t="shared" si="49"/>
        <v>4.2584743148928128E-2</v>
      </c>
      <c r="N174" s="561">
        <f>SUM(N150:N173)</f>
        <v>271782805.66999996</v>
      </c>
      <c r="O174" s="90">
        <v>0.87998566911539222</v>
      </c>
      <c r="P174" s="213">
        <f t="shared" ref="P174:P211" si="60">+I174/N174-1</f>
        <v>-0.11260893213811651</v>
      </c>
    </row>
    <row r="175" spans="1:18" ht="14.1" customHeight="1" x14ac:dyDescent="0.2">
      <c r="A175" s="37">
        <v>4301</v>
      </c>
      <c r="B175" s="528" t="s">
        <v>681</v>
      </c>
      <c r="C175" s="198">
        <v>4583248.97</v>
      </c>
      <c r="D175" s="511">
        <v>5127237.7699999996</v>
      </c>
      <c r="E175" s="180">
        <v>3916966.07</v>
      </c>
      <c r="F175" s="78">
        <f>+E175/D175</f>
        <v>0.76395249171368163</v>
      </c>
      <c r="G175" s="180">
        <v>3848772.32</v>
      </c>
      <c r="H175" s="78">
        <f>+G175/D175</f>
        <v>0.75065220156544454</v>
      </c>
      <c r="I175" s="180">
        <v>3817784.35</v>
      </c>
      <c r="J175" s="153">
        <f>+I175/D175</f>
        <v>0.74460840734522837</v>
      </c>
      <c r="K175" s="180">
        <v>3849733.81</v>
      </c>
      <c r="L175" s="48">
        <v>0.7795548472109205</v>
      </c>
      <c r="M175" s="210">
        <f t="shared" si="49"/>
        <v>-2.4975493045853447E-4</v>
      </c>
      <c r="N175" s="180">
        <v>3770438.44</v>
      </c>
      <c r="O175" s="48">
        <v>0.76349786948318421</v>
      </c>
      <c r="P175" s="210">
        <f>+I175/N175-1</f>
        <v>1.255713645864498E-2</v>
      </c>
    </row>
    <row r="176" spans="1:18" ht="14.1" customHeight="1" x14ac:dyDescent="0.2">
      <c r="A176" s="37" t="s">
        <v>682</v>
      </c>
      <c r="B176" s="38" t="s">
        <v>684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2165090</v>
      </c>
      <c r="J176" s="153">
        <f>+I176/D176</f>
        <v>1</v>
      </c>
      <c r="K176" s="34">
        <v>2215090</v>
      </c>
      <c r="L176" s="48">
        <v>1</v>
      </c>
      <c r="M176" s="210">
        <f t="shared" si="49"/>
        <v>-2.2572446266291624E-2</v>
      </c>
      <c r="N176" s="34">
        <v>2215090</v>
      </c>
      <c r="O176" s="48">
        <v>1</v>
      </c>
      <c r="P176" s="210">
        <f>+I176/N176-1</f>
        <v>-2.2572446266291624E-2</v>
      </c>
    </row>
    <row r="177" spans="1:19" ht="14.1" customHeight="1" x14ac:dyDescent="0.2">
      <c r="A177" s="37" t="s">
        <v>683</v>
      </c>
      <c r="B177" s="38" t="s">
        <v>685</v>
      </c>
      <c r="C177" s="200">
        <v>7512544.6100000003</v>
      </c>
      <c r="D177" s="206">
        <v>7176607.75</v>
      </c>
      <c r="E177" s="34">
        <v>4229145.78</v>
      </c>
      <c r="F177" s="48">
        <f>+E177/D177</f>
        <v>0.58929593581312845</v>
      </c>
      <c r="G177" s="34">
        <v>3164512.64</v>
      </c>
      <c r="H177" s="48">
        <f>+G177/D177</f>
        <v>0.44094825163044477</v>
      </c>
      <c r="I177" s="34">
        <v>2428036.5099999998</v>
      </c>
      <c r="J177" s="153">
        <f>+I177/D177</f>
        <v>0.33832648997710651</v>
      </c>
      <c r="K177" s="34">
        <v>3210694.82</v>
      </c>
      <c r="L177" s="48">
        <v>0.43791688465422912</v>
      </c>
      <c r="M177" s="210">
        <f t="shared" si="49"/>
        <v>-1.438385850698809E-2</v>
      </c>
      <c r="N177" s="34">
        <v>2926106.53</v>
      </c>
      <c r="O177" s="48">
        <v>0.39910098206842237</v>
      </c>
      <c r="P177" s="210">
        <f>+I177/N177-1</f>
        <v>-0.17021595587635696</v>
      </c>
    </row>
    <row r="178" spans="1:19" ht="14.1" customHeight="1" x14ac:dyDescent="0.2">
      <c r="A178" s="41" t="s">
        <v>686</v>
      </c>
      <c r="B178" s="42" t="s">
        <v>687</v>
      </c>
      <c r="C178" s="200">
        <v>2743104</v>
      </c>
      <c r="D178" s="206">
        <v>6670473.1699999999</v>
      </c>
      <c r="E178" s="34">
        <v>3919121.51</v>
      </c>
      <c r="F178" s="390">
        <f>+E178/D178</f>
        <v>0.58753275968877028</v>
      </c>
      <c r="G178" s="34">
        <v>3841129</v>
      </c>
      <c r="H178" s="390">
        <f>+G178/D178</f>
        <v>0.57584055914881971</v>
      </c>
      <c r="I178" s="34">
        <v>3621505.6</v>
      </c>
      <c r="J178" s="392">
        <f>+I178/D178</f>
        <v>0.54291584835202933</v>
      </c>
      <c r="K178" s="34">
        <v>6087707.8700000001</v>
      </c>
      <c r="L178" s="390">
        <v>0.70549195065690196</v>
      </c>
      <c r="M178" s="515">
        <f t="shared" si="49"/>
        <v>-0.36903526219959704</v>
      </c>
      <c r="N178" s="34">
        <v>5904539.5499999998</v>
      </c>
      <c r="O178" s="390">
        <v>0.68426495058809811</v>
      </c>
      <c r="P178" s="515">
        <f>+I178/N178-1</f>
        <v>-0.38665740667280313</v>
      </c>
    </row>
    <row r="179" spans="1:19" ht="15.75" thickBot="1" x14ac:dyDescent="0.3">
      <c r="A179" s="664" t="s">
        <v>19</v>
      </c>
      <c r="B179" s="665"/>
      <c r="C179" s="665"/>
      <c r="D179" s="665"/>
      <c r="E179" s="665"/>
      <c r="F179" s="666"/>
      <c r="G179" s="665"/>
      <c r="H179" s="666"/>
      <c r="I179" s="665"/>
      <c r="J179" s="666"/>
      <c r="K179" s="666"/>
      <c r="L179" s="666"/>
      <c r="M179" s="666"/>
      <c r="N179" s="666"/>
      <c r="O179" s="666"/>
      <c r="P179" s="666"/>
    </row>
    <row r="180" spans="1:19" ht="12.75" customHeight="1" x14ac:dyDescent="0.2">
      <c r="A180" s="765" t="s">
        <v>756</v>
      </c>
      <c r="B180" s="766"/>
      <c r="C180" s="164" t="s">
        <v>765</v>
      </c>
      <c r="D180" s="769" t="s">
        <v>784</v>
      </c>
      <c r="E180" s="770"/>
      <c r="F180" s="771"/>
      <c r="G180" s="770"/>
      <c r="H180" s="770"/>
      <c r="I180" s="770"/>
      <c r="J180" s="772"/>
      <c r="K180" s="773" t="s">
        <v>785</v>
      </c>
      <c r="L180" s="774"/>
      <c r="M180" s="774"/>
      <c r="N180" s="774"/>
      <c r="O180" s="774"/>
      <c r="P180" s="775"/>
    </row>
    <row r="181" spans="1:19" ht="14.1" customHeight="1" x14ac:dyDescent="0.2">
      <c r="A181" s="39" t="s">
        <v>688</v>
      </c>
      <c r="B181" s="40" t="s">
        <v>689</v>
      </c>
      <c r="C181" s="200">
        <v>36360668.060000002</v>
      </c>
      <c r="D181" s="533">
        <v>41774614.119999997</v>
      </c>
      <c r="E181" s="136">
        <v>34056395.789999999</v>
      </c>
      <c r="F181" s="685">
        <f>+E181/D181</f>
        <v>0.81524142131321742</v>
      </c>
      <c r="G181" s="136">
        <v>30776198.82</v>
      </c>
      <c r="H181" s="48">
        <f>+G181/D181</f>
        <v>0.73672012221569749</v>
      </c>
      <c r="I181" s="136">
        <v>30126674.82</v>
      </c>
      <c r="J181" s="153">
        <f>+I181/D181</f>
        <v>0.72117182778659261</v>
      </c>
      <c r="K181" s="180">
        <v>27992380.719999999</v>
      </c>
      <c r="L181" s="48">
        <v>0.90016444126481554</v>
      </c>
      <c r="M181" s="210">
        <f>+G181/K181-1</f>
        <v>9.9449136814969696E-2</v>
      </c>
      <c r="N181" s="180">
        <v>27712380.719999999</v>
      </c>
      <c r="O181" s="48">
        <v>0.89116034668367594</v>
      </c>
      <c r="P181" s="210">
        <f>+I181/N181-1</f>
        <v>8.7119692977428276E-2</v>
      </c>
      <c r="R181" s="279"/>
      <c r="S181" s="279"/>
    </row>
    <row r="182" spans="1:19" ht="14.1" customHeight="1" x14ac:dyDescent="0.2">
      <c r="A182" s="39" t="s">
        <v>690</v>
      </c>
      <c r="B182" s="40" t="s">
        <v>691</v>
      </c>
      <c r="C182" s="200">
        <v>1922280</v>
      </c>
      <c r="D182" s="534">
        <v>1922280</v>
      </c>
      <c r="E182" s="137">
        <v>1604001.47</v>
      </c>
      <c r="F182" s="280">
        <f t="shared" ref="F182:F189" si="61">+E182/D182</f>
        <v>0.83442655076263605</v>
      </c>
      <c r="G182" s="137">
        <v>1604001.47</v>
      </c>
      <c r="H182" s="280">
        <f t="shared" ref="H182:H189" si="62">+G182/D182</f>
        <v>0.83442655076263605</v>
      </c>
      <c r="I182" s="137">
        <v>291411.46999999997</v>
      </c>
      <c r="J182" s="178">
        <f t="shared" ref="J182:J189" si="63">+I182/D182</f>
        <v>0.15159678610816321</v>
      </c>
      <c r="K182" s="34">
        <v>334500</v>
      </c>
      <c r="L182" s="280">
        <v>0.37913134152423267</v>
      </c>
      <c r="M182" s="210">
        <f t="shared" ref="M182:M189" si="64">+G182/K182-1</f>
        <v>3.7952211360239163</v>
      </c>
      <c r="N182" s="34">
        <v>129500</v>
      </c>
      <c r="O182" s="280">
        <v>0.14677880038083149</v>
      </c>
      <c r="P182" s="210">
        <f t="shared" ref="P182:P189" si="65">+I182/N182-1</f>
        <v>1.2502816216216215</v>
      </c>
      <c r="R182" s="279"/>
      <c r="S182" s="279"/>
    </row>
    <row r="183" spans="1:19" ht="14.1" customHeight="1" x14ac:dyDescent="0.2">
      <c r="A183" s="39" t="s">
        <v>692</v>
      </c>
      <c r="B183" s="40" t="s">
        <v>693</v>
      </c>
      <c r="C183" s="200">
        <v>10510570.890000001</v>
      </c>
      <c r="D183" s="534">
        <v>12654771.609999999</v>
      </c>
      <c r="E183" s="137">
        <v>9665014.2699999996</v>
      </c>
      <c r="F183" s="280">
        <f t="shared" si="61"/>
        <v>0.76374466231872196</v>
      </c>
      <c r="G183" s="137">
        <v>9640014.2699999996</v>
      </c>
      <c r="H183" s="280">
        <f t="shared" si="62"/>
        <v>0.76176912291189114</v>
      </c>
      <c r="I183" s="137">
        <v>9117243.7300000004</v>
      </c>
      <c r="J183" s="178">
        <f t="shared" si="63"/>
        <v>0.72045897081188026</v>
      </c>
      <c r="K183" s="34">
        <v>11989313.550000001</v>
      </c>
      <c r="L183" s="280">
        <v>0.99121518604071446</v>
      </c>
      <c r="M183" s="210">
        <f t="shared" si="64"/>
        <v>-0.19594944032471329</v>
      </c>
      <c r="N183" s="34">
        <v>9489313.5500000007</v>
      </c>
      <c r="O183" s="280">
        <v>0.78452795955627685</v>
      </c>
      <c r="P183" s="210">
        <f t="shared" si="65"/>
        <v>-3.9209350396056886E-2</v>
      </c>
      <c r="R183" s="279"/>
      <c r="S183" s="279"/>
    </row>
    <row r="184" spans="1:19" ht="14.1" customHeight="1" x14ac:dyDescent="0.2">
      <c r="A184" s="39" t="s">
        <v>694</v>
      </c>
      <c r="B184" s="40" t="s">
        <v>695</v>
      </c>
      <c r="C184" s="200">
        <v>1031566.99</v>
      </c>
      <c r="D184" s="534">
        <v>1237310.94</v>
      </c>
      <c r="E184" s="137">
        <v>897905.92</v>
      </c>
      <c r="F184" s="390">
        <f t="shared" si="61"/>
        <v>0.72569140946898936</v>
      </c>
      <c r="G184" s="137">
        <v>624765.31000000006</v>
      </c>
      <c r="H184" s="280">
        <f t="shared" si="62"/>
        <v>0.50493799885095991</v>
      </c>
      <c r="I184" s="137">
        <v>432514.38</v>
      </c>
      <c r="J184" s="178">
        <f>+I184/D184</f>
        <v>0.34955997398681371</v>
      </c>
      <c r="K184" s="34">
        <v>723222.68</v>
      </c>
      <c r="L184" s="280">
        <v>0.58847283451859733</v>
      </c>
      <c r="M184" s="210">
        <f t="shared" si="64"/>
        <v>-0.1361370055485539</v>
      </c>
      <c r="N184" s="34">
        <v>400591.13</v>
      </c>
      <c r="O184" s="280">
        <v>0.32595354691325207</v>
      </c>
      <c r="P184" s="210">
        <f t="shared" si="65"/>
        <v>7.9690356598759449E-2</v>
      </c>
      <c r="R184" s="279"/>
      <c r="S184" s="279"/>
    </row>
    <row r="185" spans="1:19" ht="14.1" customHeight="1" x14ac:dyDescent="0.2">
      <c r="A185" s="39" t="s">
        <v>696</v>
      </c>
      <c r="B185" s="40" t="s">
        <v>697</v>
      </c>
      <c r="C185" s="200">
        <v>4649794.68</v>
      </c>
      <c r="D185" s="534">
        <v>5987503.5800000001</v>
      </c>
      <c r="E185" s="133">
        <v>4408851.4800000004</v>
      </c>
      <c r="F185" s="390">
        <f t="shared" si="61"/>
        <v>0.73634218687181152</v>
      </c>
      <c r="G185" s="674">
        <v>2198334.0499999998</v>
      </c>
      <c r="H185" s="280">
        <f t="shared" si="62"/>
        <v>0.36715369279161247</v>
      </c>
      <c r="I185" s="674">
        <v>1683126.25</v>
      </c>
      <c r="J185" s="178">
        <f>+I185/D185</f>
        <v>0.28110651250750485</v>
      </c>
      <c r="K185" s="674">
        <v>1224580.1299999999</v>
      </c>
      <c r="L185" s="418">
        <v>0.33141546143437073</v>
      </c>
      <c r="M185" s="210">
        <f t="shared" si="64"/>
        <v>0.79517370578273217</v>
      </c>
      <c r="N185" s="674">
        <v>571004.24</v>
      </c>
      <c r="O185" s="418">
        <v>0.15453430040595398</v>
      </c>
      <c r="P185" s="210">
        <f t="shared" si="65"/>
        <v>1.947659810722246</v>
      </c>
      <c r="R185" s="279"/>
      <c r="S185" s="279"/>
    </row>
    <row r="186" spans="1:19" ht="14.1" customHeight="1" x14ac:dyDescent="0.2">
      <c r="A186" s="39" t="s">
        <v>698</v>
      </c>
      <c r="B186" s="40" t="s">
        <v>700</v>
      </c>
      <c r="C186" s="200">
        <v>136713543.02000001</v>
      </c>
      <c r="D186" s="534">
        <v>137185641.12</v>
      </c>
      <c r="E186" s="137">
        <v>136665156.41999999</v>
      </c>
      <c r="F186" s="280">
        <f t="shared" si="61"/>
        <v>0.99620598266880767</v>
      </c>
      <c r="G186" s="137">
        <v>136665156.41999999</v>
      </c>
      <c r="H186" s="280">
        <f t="shared" si="62"/>
        <v>0.99620598266880767</v>
      </c>
      <c r="I186" s="137">
        <v>99719278.010000005</v>
      </c>
      <c r="J186" s="178">
        <f t="shared" si="63"/>
        <v>0.72689296923409674</v>
      </c>
      <c r="K186" s="34">
        <v>111313052</v>
      </c>
      <c r="L186" s="280">
        <v>0.86066759532455528</v>
      </c>
      <c r="M186" s="210">
        <f t="shared" si="64"/>
        <v>0.22775500235138635</v>
      </c>
      <c r="N186" s="34">
        <v>107839891.08</v>
      </c>
      <c r="O186" s="280">
        <v>0.83381326868915218</v>
      </c>
      <c r="P186" s="210">
        <f t="shared" si="65"/>
        <v>-7.5302496957974419E-2</v>
      </c>
      <c r="R186" s="279"/>
      <c r="S186" s="279"/>
    </row>
    <row r="187" spans="1:19" ht="14.1" customHeight="1" x14ac:dyDescent="0.2">
      <c r="A187" s="39" t="s">
        <v>699</v>
      </c>
      <c r="B187" s="40" t="s">
        <v>701</v>
      </c>
      <c r="C187" s="200">
        <v>16809054</v>
      </c>
      <c r="D187" s="534">
        <v>15609054</v>
      </c>
      <c r="E187" s="137">
        <v>14327012</v>
      </c>
      <c r="F187" s="280">
        <f t="shared" si="61"/>
        <v>0.91786549011874774</v>
      </c>
      <c r="G187" s="137">
        <v>14327012</v>
      </c>
      <c r="H187" s="280">
        <f t="shared" si="62"/>
        <v>0.91786549011874774</v>
      </c>
      <c r="I187" s="137">
        <v>11695346.74</v>
      </c>
      <c r="J187" s="178">
        <f t="shared" si="63"/>
        <v>0.74926685114933933</v>
      </c>
      <c r="K187" s="34">
        <v>16692043</v>
      </c>
      <c r="L187" s="280">
        <v>1</v>
      </c>
      <c r="M187" s="210">
        <f t="shared" si="64"/>
        <v>-0.14168613152985532</v>
      </c>
      <c r="N187" s="34">
        <v>11932244.800000001</v>
      </c>
      <c r="O187" s="280">
        <v>0.71484627735502482</v>
      </c>
      <c r="P187" s="210">
        <f t="shared" si="65"/>
        <v>-1.985360374101619E-2</v>
      </c>
      <c r="R187" s="279"/>
      <c r="S187" s="279"/>
    </row>
    <row r="188" spans="1:19" ht="14.1" customHeight="1" x14ac:dyDescent="0.2">
      <c r="A188" s="39">
        <v>4911</v>
      </c>
      <c r="B188" s="40" t="s">
        <v>702</v>
      </c>
      <c r="C188" s="200">
        <v>16869480</v>
      </c>
      <c r="D188" s="534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13150000</v>
      </c>
      <c r="J188" s="178">
        <f t="shared" si="63"/>
        <v>0.77951424703073247</v>
      </c>
      <c r="K188" s="34">
        <v>15669752</v>
      </c>
      <c r="L188" s="280">
        <v>1</v>
      </c>
      <c r="M188" s="210">
        <f t="shared" si="64"/>
        <v>7.6563304894678552E-2</v>
      </c>
      <c r="N188" s="34">
        <v>12300000</v>
      </c>
      <c r="O188" s="280">
        <v>0.78495179757790678</v>
      </c>
      <c r="P188" s="210">
        <f t="shared" si="65"/>
        <v>6.9105691056910556E-2</v>
      </c>
      <c r="R188" s="279"/>
      <c r="S188" s="279"/>
    </row>
    <row r="189" spans="1:19" ht="14.1" customHeight="1" x14ac:dyDescent="0.2">
      <c r="A189" s="41" t="s">
        <v>703</v>
      </c>
      <c r="B189" s="42" t="s">
        <v>704</v>
      </c>
      <c r="C189" s="200">
        <v>1548192.01</v>
      </c>
      <c r="D189" s="534">
        <v>1477254.95</v>
      </c>
      <c r="E189" s="137">
        <v>1135249.17</v>
      </c>
      <c r="F189" s="390">
        <f t="shared" si="61"/>
        <v>0.76848560906836016</v>
      </c>
      <c r="G189" s="137">
        <v>1025461.79</v>
      </c>
      <c r="H189" s="390">
        <f t="shared" si="62"/>
        <v>0.6941671036539766</v>
      </c>
      <c r="I189" s="137">
        <v>987323.95</v>
      </c>
      <c r="J189" s="392">
        <f t="shared" si="63"/>
        <v>0.66835040897984466</v>
      </c>
      <c r="K189" s="34">
        <v>1143645.6000000001</v>
      </c>
      <c r="L189" s="412">
        <v>0.66414755948047477</v>
      </c>
      <c r="M189" s="210">
        <f t="shared" si="64"/>
        <v>-0.10333953980149102</v>
      </c>
      <c r="N189" s="34">
        <v>1101384.55</v>
      </c>
      <c r="O189" s="412">
        <v>0.63960536457448092</v>
      </c>
      <c r="P189" s="210">
        <f t="shared" si="65"/>
        <v>-0.10356110406669505</v>
      </c>
    </row>
    <row r="190" spans="1:19" ht="14.1" customHeight="1" x14ac:dyDescent="0.2">
      <c r="A190" s="526">
        <v>4</v>
      </c>
      <c r="B190" s="2" t="s">
        <v>123</v>
      </c>
      <c r="C190" s="201">
        <f>SUM(C175:C189)</f>
        <v>243419137.23000002</v>
      </c>
      <c r="D190" s="207">
        <f>SUM(D175:D189)</f>
        <v>255857319.00999999</v>
      </c>
      <c r="E190" s="203">
        <f>SUM(E175:E189)</f>
        <v>233859389.87999997</v>
      </c>
      <c r="F190" s="90">
        <f>+E190/D190</f>
        <v>0.91402267007597204</v>
      </c>
      <c r="G190" s="203">
        <f>SUM(G175:G189)</f>
        <v>226749928.08999997</v>
      </c>
      <c r="H190" s="90">
        <f>+G190/D190</f>
        <v>0.88623584803973354</v>
      </c>
      <c r="I190" s="203">
        <f>SUM(I175:I189)</f>
        <v>179235335.81</v>
      </c>
      <c r="J190" s="170">
        <f>+I190/D190</f>
        <v>0.70052846838043636</v>
      </c>
      <c r="K190" s="561">
        <f>SUM(K175:K189)</f>
        <v>202445716.17999998</v>
      </c>
      <c r="L190" s="90">
        <v>0.85953193857773325</v>
      </c>
      <c r="M190" s="622">
        <f t="shared" si="49"/>
        <v>0.12005298194796299</v>
      </c>
      <c r="N190" s="561">
        <f>SUM(N175:N189)</f>
        <v>186292484.59000003</v>
      </c>
      <c r="O190" s="90">
        <v>0.79094951201503483</v>
      </c>
      <c r="P190" s="213">
        <f t="shared" si="60"/>
        <v>-3.7882090603556517E-2</v>
      </c>
    </row>
    <row r="191" spans="1:19" ht="14.1" customHeight="1" x14ac:dyDescent="0.2">
      <c r="A191" s="37" t="s">
        <v>705</v>
      </c>
      <c r="B191" s="38" t="s">
        <v>113</v>
      </c>
      <c r="C191" s="669">
        <v>22797084.350000001</v>
      </c>
      <c r="D191" s="190">
        <v>23240554.260000002</v>
      </c>
      <c r="E191" s="82">
        <v>19203423.91</v>
      </c>
      <c r="F191" s="414">
        <f>+E191/D191</f>
        <v>0.82628941182575733</v>
      </c>
      <c r="G191" s="82">
        <v>18781423.91</v>
      </c>
      <c r="H191" s="414">
        <f>+G191/D191</f>
        <v>0.8081314972046626</v>
      </c>
      <c r="I191" s="82">
        <v>18131084.07</v>
      </c>
      <c r="J191" s="431">
        <f>+I191/D191</f>
        <v>0.78014852258519241</v>
      </c>
      <c r="K191" s="472">
        <v>19072416.739999998</v>
      </c>
      <c r="L191" s="414">
        <v>0.82306600164375354</v>
      </c>
      <c r="M191" s="584">
        <f t="shared" si="49"/>
        <v>-1.525726047028475E-2</v>
      </c>
      <c r="N191" s="472">
        <v>19026827.850000001</v>
      </c>
      <c r="O191" s="414">
        <v>0.82109862299828917</v>
      </c>
      <c r="P191" s="584">
        <f t="shared" ref="P191:P196" si="66">+I191/N191-1</f>
        <v>-4.7077935800002635E-2</v>
      </c>
    </row>
    <row r="192" spans="1:19" ht="14.1" customHeight="1" x14ac:dyDescent="0.2">
      <c r="A192" s="37" t="s">
        <v>706</v>
      </c>
      <c r="B192" s="38" t="s">
        <v>707</v>
      </c>
      <c r="C192" s="524">
        <v>7386447.1399999997</v>
      </c>
      <c r="D192" s="533">
        <v>7001876.4900000002</v>
      </c>
      <c r="E192" s="56">
        <v>5108885.76</v>
      </c>
      <c r="F192" s="48">
        <f t="shared" ref="F192:F210" si="67">+E192/D192</f>
        <v>0.72964522686117816</v>
      </c>
      <c r="G192" s="56">
        <v>4712308.5</v>
      </c>
      <c r="H192" s="414">
        <f t="shared" ref="H192:H210" si="68">+G192/D192</f>
        <v>0.67300651571476089</v>
      </c>
      <c r="I192" s="56">
        <v>4286420.8099999996</v>
      </c>
      <c r="J192" s="431">
        <f t="shared" ref="J192:J210" si="69">+I192/D192</f>
        <v>0.61218172244566393</v>
      </c>
      <c r="K192" s="180">
        <v>5616571.79</v>
      </c>
      <c r="L192" s="48">
        <v>0.69928707781272181</v>
      </c>
      <c r="M192" s="210">
        <f t="shared" si="49"/>
        <v>-0.16099915104975449</v>
      </c>
      <c r="N192" s="180">
        <v>5396136.4699999997</v>
      </c>
      <c r="O192" s="48">
        <v>0.67184194285620558</v>
      </c>
      <c r="P192" s="210">
        <f t="shared" si="66"/>
        <v>-0.20565003612668087</v>
      </c>
    </row>
    <row r="193" spans="1:21" ht="14.1" customHeight="1" x14ac:dyDescent="0.2">
      <c r="A193" s="39" t="s">
        <v>708</v>
      </c>
      <c r="B193" s="40" t="s">
        <v>709</v>
      </c>
      <c r="C193" s="200">
        <v>51339420.009999998</v>
      </c>
      <c r="D193" s="534">
        <v>54474540.009999998</v>
      </c>
      <c r="E193" s="137">
        <v>39498708.299999997</v>
      </c>
      <c r="F193" s="48">
        <f t="shared" si="67"/>
        <v>0.72508566924565387</v>
      </c>
      <c r="G193" s="137">
        <v>37017388.590000004</v>
      </c>
      <c r="H193" s="414">
        <f t="shared" si="68"/>
        <v>0.6795355882436942</v>
      </c>
      <c r="I193" s="137">
        <v>32946761.780000001</v>
      </c>
      <c r="J193" s="431">
        <f t="shared" si="69"/>
        <v>0.60481027970042334</v>
      </c>
      <c r="K193" s="34">
        <v>39037481.640000001</v>
      </c>
      <c r="L193" s="280">
        <v>0.75075437955823909</v>
      </c>
      <c r="M193" s="211">
        <f t="shared" si="49"/>
        <v>-5.1747524818048118E-2</v>
      </c>
      <c r="N193" s="34">
        <v>34333087.520000003</v>
      </c>
      <c r="O193" s="280">
        <v>0.66028121529707173</v>
      </c>
      <c r="P193" s="211">
        <f t="shared" si="66"/>
        <v>-4.0378708707523803E-2</v>
      </c>
    </row>
    <row r="194" spans="1:21" ht="14.1" customHeight="1" x14ac:dyDescent="0.2">
      <c r="A194" s="39" t="s">
        <v>710</v>
      </c>
      <c r="B194" s="40" t="s">
        <v>711</v>
      </c>
      <c r="C194" s="200">
        <v>877692.04</v>
      </c>
      <c r="D194" s="534">
        <v>894429.59</v>
      </c>
      <c r="E194" s="137">
        <v>721918.17</v>
      </c>
      <c r="F194" s="48">
        <f t="shared" si="67"/>
        <v>0.80712688630974305</v>
      </c>
      <c r="G194" s="137">
        <v>715489.71</v>
      </c>
      <c r="H194" s="414">
        <f t="shared" si="68"/>
        <v>0.79993966881171719</v>
      </c>
      <c r="I194" s="137">
        <v>714265.07</v>
      </c>
      <c r="J194" s="431">
        <f t="shared" si="69"/>
        <v>0.79857048334011393</v>
      </c>
      <c r="K194" s="34">
        <v>784068.09</v>
      </c>
      <c r="L194" s="280">
        <v>0.83117143110743219</v>
      </c>
      <c r="M194" s="211">
        <f t="shared" si="49"/>
        <v>-8.7464827193770911E-2</v>
      </c>
      <c r="N194" s="34">
        <v>768530</v>
      </c>
      <c r="O194" s="280">
        <v>0.81469988142100636</v>
      </c>
      <c r="P194" s="211">
        <f t="shared" si="66"/>
        <v>-7.0608733556269843E-2</v>
      </c>
    </row>
    <row r="195" spans="1:21" ht="14.1" customHeight="1" x14ac:dyDescent="0.2">
      <c r="A195" s="39" t="s">
        <v>712</v>
      </c>
      <c r="B195" s="40" t="s">
        <v>713</v>
      </c>
      <c r="C195" s="200">
        <v>4144550.55</v>
      </c>
      <c r="D195" s="534">
        <v>4308023.99</v>
      </c>
      <c r="E195" s="137">
        <v>3682003.63</v>
      </c>
      <c r="F195" s="48">
        <f t="shared" si="67"/>
        <v>0.85468503391505013</v>
      </c>
      <c r="G195" s="137">
        <v>3521884.23</v>
      </c>
      <c r="H195" s="414">
        <f t="shared" si="68"/>
        <v>0.81751732074268224</v>
      </c>
      <c r="I195" s="137">
        <v>3201500.62</v>
      </c>
      <c r="J195" s="431">
        <f t="shared" si="69"/>
        <v>0.74314828037900504</v>
      </c>
      <c r="K195" s="34">
        <v>3783869.09</v>
      </c>
      <c r="L195" s="280">
        <v>0.8239606002379134</v>
      </c>
      <c r="M195" s="211">
        <f t="shared" si="49"/>
        <v>-6.9237294887492973E-2</v>
      </c>
      <c r="N195" s="34">
        <v>3506208.06</v>
      </c>
      <c r="O195" s="280">
        <v>0.76349821544080165</v>
      </c>
      <c r="P195" s="211">
        <f t="shared" si="66"/>
        <v>-8.6905122224834486E-2</v>
      </c>
    </row>
    <row r="196" spans="1:21" ht="14.1" customHeight="1" x14ac:dyDescent="0.2">
      <c r="A196" s="39" t="s">
        <v>714</v>
      </c>
      <c r="B196" s="40" t="s">
        <v>715</v>
      </c>
      <c r="C196" s="200">
        <v>7218581.6100000003</v>
      </c>
      <c r="D196" s="534">
        <v>7745991.6799999997</v>
      </c>
      <c r="E196" s="137">
        <v>6388034.5</v>
      </c>
      <c r="F196" s="48">
        <f t="shared" si="67"/>
        <v>0.82468904743259419</v>
      </c>
      <c r="G196" s="137">
        <v>6062802.75</v>
      </c>
      <c r="H196" s="414">
        <f t="shared" si="68"/>
        <v>0.78270194449782837</v>
      </c>
      <c r="I196" s="137">
        <v>5718199.5</v>
      </c>
      <c r="J196" s="431">
        <f t="shared" si="69"/>
        <v>0.73821399973411794</v>
      </c>
      <c r="K196" s="34">
        <v>5676942.7000000002</v>
      </c>
      <c r="L196" s="280">
        <v>0.79386857049150983</v>
      </c>
      <c r="M196" s="211">
        <f>+G196/K196-1</f>
        <v>6.7969692560046369E-2</v>
      </c>
      <c r="N196" s="34">
        <v>5335611.0599999996</v>
      </c>
      <c r="O196" s="280">
        <v>0.74613645913686766</v>
      </c>
      <c r="P196" s="211">
        <f t="shared" si="66"/>
        <v>7.1704709300906222E-2</v>
      </c>
      <c r="T196" s="254"/>
      <c r="U196" s="254"/>
    </row>
    <row r="197" spans="1:21" ht="14.1" customHeight="1" x14ac:dyDescent="0.2">
      <c r="A197" s="39" t="s">
        <v>716</v>
      </c>
      <c r="B197" s="40" t="s">
        <v>717</v>
      </c>
      <c r="C197" s="200">
        <v>1128377.3799999999</v>
      </c>
      <c r="D197" s="534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 t="s">
        <v>129</v>
      </c>
      <c r="M197" s="211" t="s">
        <v>129</v>
      </c>
      <c r="N197" s="34">
        <v>0</v>
      </c>
      <c r="O197" s="418" t="s">
        <v>129</v>
      </c>
      <c r="P197" s="211" t="s">
        <v>129</v>
      </c>
      <c r="T197" s="254"/>
      <c r="U197" s="254"/>
    </row>
    <row r="198" spans="1:21" ht="14.1" customHeight="1" x14ac:dyDescent="0.2">
      <c r="A198" s="39" t="s">
        <v>718</v>
      </c>
      <c r="B198" s="40" t="s">
        <v>719</v>
      </c>
      <c r="C198" s="200">
        <v>2204546.69</v>
      </c>
      <c r="D198" s="534">
        <v>2367200.3199999998</v>
      </c>
      <c r="E198" s="137">
        <v>2014968.84</v>
      </c>
      <c r="F198" s="48">
        <f t="shared" si="67"/>
        <v>0.85120334894175764</v>
      </c>
      <c r="G198" s="137">
        <v>1967777.32</v>
      </c>
      <c r="H198" s="414">
        <f t="shared" si="68"/>
        <v>0.83126776528992707</v>
      </c>
      <c r="I198" s="137">
        <v>1838338.44</v>
      </c>
      <c r="J198" s="431">
        <f t="shared" si="69"/>
        <v>0.77658761046466906</v>
      </c>
      <c r="K198" s="34">
        <v>1938456.16</v>
      </c>
      <c r="L198" s="280">
        <v>0.79081516500640814</v>
      </c>
      <c r="M198" s="211">
        <f t="shared" si="49"/>
        <v>1.5126037206846243E-2</v>
      </c>
      <c r="N198" s="34">
        <v>1813632.6</v>
      </c>
      <c r="O198" s="280">
        <v>0.73989197869195089</v>
      </c>
      <c r="P198" s="211">
        <f>+I198/N198-1</f>
        <v>1.3622295937997464E-2</v>
      </c>
      <c r="T198" s="254"/>
      <c r="U198" s="254"/>
    </row>
    <row r="199" spans="1:21" ht="14.1" customHeight="1" x14ac:dyDescent="0.2">
      <c r="A199" s="39" t="s">
        <v>720</v>
      </c>
      <c r="B199" s="42" t="s">
        <v>721</v>
      </c>
      <c r="C199" s="200">
        <v>14812972.529999999</v>
      </c>
      <c r="D199" s="534">
        <v>15602405.720000001</v>
      </c>
      <c r="E199" s="137">
        <v>11652316.130000001</v>
      </c>
      <c r="F199" s="48">
        <f t="shared" si="67"/>
        <v>0.74682817118794931</v>
      </c>
      <c r="G199" s="137">
        <v>11237621.17</v>
      </c>
      <c r="H199" s="414">
        <f t="shared" si="68"/>
        <v>0.72024925974043952</v>
      </c>
      <c r="I199" s="137">
        <v>9472133.7699999996</v>
      </c>
      <c r="J199" s="431">
        <f t="shared" si="69"/>
        <v>0.60709444043351024</v>
      </c>
      <c r="K199" s="34">
        <v>10006213.4</v>
      </c>
      <c r="L199" s="390">
        <v>0.72870129375781345</v>
      </c>
      <c r="M199" s="515">
        <f t="shared" si="49"/>
        <v>0.12306431222024505</v>
      </c>
      <c r="N199" s="34">
        <v>8988051.8100000005</v>
      </c>
      <c r="O199" s="390">
        <v>0.65455379777421674</v>
      </c>
      <c r="P199" s="515">
        <f>+I199/N199-1</f>
        <v>5.3858385580445312E-2</v>
      </c>
      <c r="T199" s="254"/>
      <c r="U199" s="254"/>
    </row>
    <row r="200" spans="1:21" ht="14.1" customHeight="1" x14ac:dyDescent="0.2">
      <c r="A200" s="39" t="s">
        <v>722</v>
      </c>
      <c r="B200" s="670" t="s">
        <v>723</v>
      </c>
      <c r="C200" s="671">
        <v>871764.12</v>
      </c>
      <c r="D200" s="534">
        <v>983634.64</v>
      </c>
      <c r="E200" s="137">
        <v>910182.44</v>
      </c>
      <c r="F200" s="48">
        <f t="shared" si="67"/>
        <v>0.925325728666896</v>
      </c>
      <c r="G200" s="674">
        <v>902073.4</v>
      </c>
      <c r="H200" s="414">
        <f t="shared" si="68"/>
        <v>0.91708177337064911</v>
      </c>
      <c r="I200" s="674">
        <v>873214.9</v>
      </c>
      <c r="J200" s="431">
        <f t="shared" si="69"/>
        <v>0.8877431360083049</v>
      </c>
      <c r="K200" s="674">
        <v>380000</v>
      </c>
      <c r="L200" s="667">
        <v>1</v>
      </c>
      <c r="M200" s="672" t="s">
        <v>129</v>
      </c>
      <c r="N200" s="668">
        <v>380000</v>
      </c>
      <c r="O200" s="667">
        <v>1</v>
      </c>
      <c r="P200" s="672" t="s">
        <v>129</v>
      </c>
      <c r="T200" s="254"/>
      <c r="U200" s="254"/>
    </row>
    <row r="201" spans="1:21" ht="14.1" customHeight="1" x14ac:dyDescent="0.2">
      <c r="A201" s="39" t="s">
        <v>724</v>
      </c>
      <c r="B201" s="40" t="s">
        <v>725</v>
      </c>
      <c r="C201" s="200">
        <v>16719312.35</v>
      </c>
      <c r="D201" s="534">
        <v>17704565.149999999</v>
      </c>
      <c r="E201" s="137">
        <v>15757321.15</v>
      </c>
      <c r="F201" s="48">
        <f t="shared" si="67"/>
        <v>0.8900145819170262</v>
      </c>
      <c r="G201" s="137">
        <v>15732641.85</v>
      </c>
      <c r="H201" s="414">
        <f t="shared" si="68"/>
        <v>0.88862063070778108</v>
      </c>
      <c r="I201" s="137">
        <v>12462911.960000001</v>
      </c>
      <c r="J201" s="431">
        <f t="shared" si="69"/>
        <v>0.70393776149876253</v>
      </c>
      <c r="K201" s="34">
        <v>14343507.43</v>
      </c>
      <c r="L201" s="280">
        <v>0.84496913261935502</v>
      </c>
      <c r="M201" s="211">
        <f>+G201/K201-1</f>
        <v>9.6847610445306431E-2</v>
      </c>
      <c r="N201" s="34">
        <v>12406338.9</v>
      </c>
      <c r="O201" s="280">
        <v>0.73085146506001863</v>
      </c>
      <c r="P201" s="211">
        <f>+I201/N201-1</f>
        <v>4.5600124626614669E-3</v>
      </c>
      <c r="T201" s="254"/>
      <c r="U201" s="254"/>
    </row>
    <row r="202" spans="1:21" ht="14.1" customHeight="1" x14ac:dyDescent="0.2">
      <c r="A202" s="39" t="s">
        <v>726</v>
      </c>
      <c r="B202" s="40" t="s">
        <v>727</v>
      </c>
      <c r="C202" s="200">
        <v>22448323.75</v>
      </c>
      <c r="D202" s="534">
        <v>22569833.359999999</v>
      </c>
      <c r="E202" s="137">
        <v>21365730.5</v>
      </c>
      <c r="F202" s="48">
        <f t="shared" si="67"/>
        <v>0.9466499002985993</v>
      </c>
      <c r="G202" s="137">
        <v>19162846.43</v>
      </c>
      <c r="H202" s="414">
        <f t="shared" si="68"/>
        <v>0.84904687262609013</v>
      </c>
      <c r="I202" s="137">
        <v>13807130.85</v>
      </c>
      <c r="J202" s="431">
        <f t="shared" si="69"/>
        <v>0.6117515636810178</v>
      </c>
      <c r="K202" s="34">
        <v>15373676.93</v>
      </c>
      <c r="L202" s="280">
        <v>0.67454823281127019</v>
      </c>
      <c r="M202" s="211">
        <f>+G202/K202-1</f>
        <v>0.24647125845384865</v>
      </c>
      <c r="N202" s="34">
        <v>9179095.4000000004</v>
      </c>
      <c r="O202" s="280">
        <v>0.40274962255734481</v>
      </c>
      <c r="P202" s="211">
        <f>+I202/N202-1</f>
        <v>0.50419297853686085</v>
      </c>
      <c r="T202" s="254"/>
      <c r="U202" s="254"/>
    </row>
    <row r="203" spans="1:21" ht="14.1" customHeight="1" x14ac:dyDescent="0.2">
      <c r="A203" s="39" t="s">
        <v>728</v>
      </c>
      <c r="B203" s="40" t="s">
        <v>729</v>
      </c>
      <c r="C203" s="200">
        <v>42228054.409999996</v>
      </c>
      <c r="D203" s="534">
        <v>50298581.579999998</v>
      </c>
      <c r="E203" s="137">
        <v>49975588.299999997</v>
      </c>
      <c r="F203" s="48">
        <f t="shared" si="67"/>
        <v>0.99357848134372773</v>
      </c>
      <c r="G203" s="137">
        <v>49469222.659999996</v>
      </c>
      <c r="H203" s="414">
        <f t="shared" si="68"/>
        <v>0.98351128612482031</v>
      </c>
      <c r="I203" s="137">
        <v>45194705.619999997</v>
      </c>
      <c r="J203" s="431">
        <f t="shared" si="69"/>
        <v>0.89852843162421436</v>
      </c>
      <c r="K203" s="34">
        <v>39311440.859999999</v>
      </c>
      <c r="L203" s="280">
        <v>0.97954915812084087</v>
      </c>
      <c r="M203" s="211">
        <f>+G203/K203-1</f>
        <v>0.25839250807862646</v>
      </c>
      <c r="N203" s="34">
        <v>34416071.789999999</v>
      </c>
      <c r="O203" s="280">
        <v>0.85756801099660629</v>
      </c>
      <c r="P203" s="211">
        <f>+I203/N203-1</f>
        <v>0.31318605725165471</v>
      </c>
    </row>
    <row r="204" spans="1:21" ht="14.1" customHeight="1" x14ac:dyDescent="0.2">
      <c r="A204" s="39" t="s">
        <v>730</v>
      </c>
      <c r="B204" s="40" t="s">
        <v>731</v>
      </c>
      <c r="C204" s="200">
        <v>13647818.9</v>
      </c>
      <c r="D204" s="534">
        <v>6908292.3700000001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">
      <c r="A205" s="39" t="s">
        <v>732</v>
      </c>
      <c r="B205" s="40" t="s">
        <v>733</v>
      </c>
      <c r="C205" s="200">
        <v>30916505.399999999</v>
      </c>
      <c r="D205" s="534">
        <v>5444755.4000000004</v>
      </c>
      <c r="E205" s="137">
        <v>11670.08</v>
      </c>
      <c r="F205" s="48">
        <f t="shared" si="67"/>
        <v>2.1433616650621255E-3</v>
      </c>
      <c r="G205" s="137">
        <v>11670.08</v>
      </c>
      <c r="H205" s="414">
        <f t="shared" si="68"/>
        <v>2.1433616650621255E-3</v>
      </c>
      <c r="I205" s="137">
        <v>11670.08</v>
      </c>
      <c r="J205" s="431">
        <f t="shared" si="69"/>
        <v>2.1433616650621255E-3</v>
      </c>
      <c r="K205" s="34">
        <v>9444865.9499999993</v>
      </c>
      <c r="L205" s="280">
        <v>0.24560739054855124</v>
      </c>
      <c r="M205" s="211">
        <f t="shared" ref="M205:M210" si="70">+G205/K205-1</f>
        <v>-0.9987643996154334</v>
      </c>
      <c r="N205" s="34">
        <v>9444865.9499999993</v>
      </c>
      <c r="O205" s="280">
        <v>0.24560739054855124</v>
      </c>
      <c r="P205" s="211">
        <f>+I205/N205-1</f>
        <v>-0.9987643996154334</v>
      </c>
    </row>
    <row r="206" spans="1:21" ht="14.1" customHeight="1" x14ac:dyDescent="0.2">
      <c r="A206" s="253">
        <v>9311</v>
      </c>
      <c r="B206" s="40" t="s">
        <v>734</v>
      </c>
      <c r="C206" s="200">
        <v>5805408.6299999999</v>
      </c>
      <c r="D206" s="534">
        <v>5983590.5099999998</v>
      </c>
      <c r="E206" s="137">
        <v>4741346.28</v>
      </c>
      <c r="F206" s="48">
        <f t="shared" si="67"/>
        <v>0.7923915034085447</v>
      </c>
      <c r="G206" s="137">
        <v>4662915.92</v>
      </c>
      <c r="H206" s="414">
        <f t="shared" si="68"/>
        <v>0.77928392863902718</v>
      </c>
      <c r="I206" s="137">
        <v>4385894.1100000003</v>
      </c>
      <c r="J206" s="431">
        <f t="shared" si="69"/>
        <v>0.73298700883192636</v>
      </c>
      <c r="K206" s="34">
        <v>3954914.96</v>
      </c>
      <c r="L206" s="280">
        <v>0.75584444438842646</v>
      </c>
      <c r="M206" s="211">
        <f t="shared" si="70"/>
        <v>0.1790179984046989</v>
      </c>
      <c r="N206" s="34">
        <v>3617757.11</v>
      </c>
      <c r="O206" s="280">
        <v>0.69140844756374464</v>
      </c>
      <c r="P206" s="211">
        <f t="shared" ref="P206:P210" si="71">+I206/N206-1</f>
        <v>0.21232409380849804</v>
      </c>
    </row>
    <row r="207" spans="1:21" ht="14.1" customHeight="1" x14ac:dyDescent="0.2">
      <c r="A207" s="39" t="s">
        <v>735</v>
      </c>
      <c r="B207" s="40" t="s">
        <v>736</v>
      </c>
      <c r="C207" s="200">
        <v>28425422.43</v>
      </c>
      <c r="D207" s="534">
        <v>28681497.27</v>
      </c>
      <c r="E207" s="137">
        <v>26365411.530000001</v>
      </c>
      <c r="F207" s="48">
        <f t="shared" si="67"/>
        <v>0.91924808812465464</v>
      </c>
      <c r="G207" s="137">
        <v>26295272.789999999</v>
      </c>
      <c r="H207" s="414">
        <f t="shared" si="68"/>
        <v>0.91680265302969655</v>
      </c>
      <c r="I207" s="137">
        <v>21329874.170000002</v>
      </c>
      <c r="J207" s="431">
        <f t="shared" si="69"/>
        <v>0.74368063735328149</v>
      </c>
      <c r="K207" s="34">
        <v>27934465.07</v>
      </c>
      <c r="L207" s="280">
        <v>0.97751382159626266</v>
      </c>
      <c r="M207" s="211">
        <f t="shared" si="70"/>
        <v>-5.8679923739094586E-2</v>
      </c>
      <c r="N207" s="34">
        <v>24346021.23</v>
      </c>
      <c r="O207" s="280">
        <v>0.85194300995437111</v>
      </c>
      <c r="P207" s="211">
        <f t="shared" si="71"/>
        <v>-0.12388665201209137</v>
      </c>
    </row>
    <row r="208" spans="1:21" ht="14.1" customHeight="1" x14ac:dyDescent="0.2">
      <c r="A208" s="39" t="s">
        <v>737</v>
      </c>
      <c r="B208" s="40" t="s">
        <v>738</v>
      </c>
      <c r="C208" s="200">
        <v>68365574.019999996</v>
      </c>
      <c r="D208" s="534">
        <v>69960617.109999999</v>
      </c>
      <c r="E208" s="137">
        <v>65387822.700000003</v>
      </c>
      <c r="F208" s="48">
        <f t="shared" si="67"/>
        <v>0.93463759184956685</v>
      </c>
      <c r="G208" s="137">
        <v>64772545.390000001</v>
      </c>
      <c r="H208" s="414">
        <f t="shared" si="68"/>
        <v>0.92584296802524302</v>
      </c>
      <c r="I208" s="137">
        <v>42726687.600000001</v>
      </c>
      <c r="J208" s="431">
        <f t="shared" si="69"/>
        <v>0.61072485299579715</v>
      </c>
      <c r="K208" s="34">
        <v>65028942.119999997</v>
      </c>
      <c r="L208" s="280">
        <v>0.91441527772281017</v>
      </c>
      <c r="M208" s="211">
        <f t="shared" si="70"/>
        <v>-3.9428094882254516E-3</v>
      </c>
      <c r="N208" s="34">
        <v>42571910.090000004</v>
      </c>
      <c r="O208" s="280">
        <v>0.59863198937331652</v>
      </c>
      <c r="P208" s="211">
        <f t="shared" si="71"/>
        <v>3.6356721996448904E-3</v>
      </c>
    </row>
    <row r="209" spans="1:19" ht="14.1" customHeight="1" x14ac:dyDescent="0.2">
      <c r="A209" s="39" t="s">
        <v>739</v>
      </c>
      <c r="B209" s="40" t="s">
        <v>117</v>
      </c>
      <c r="C209" s="200">
        <v>799840.54</v>
      </c>
      <c r="D209" s="534">
        <v>807138.59</v>
      </c>
      <c r="E209" s="137">
        <v>649034.06000000006</v>
      </c>
      <c r="F209" s="48">
        <f t="shared" si="67"/>
        <v>0.80411724583754585</v>
      </c>
      <c r="G209" s="137">
        <v>649034.06000000006</v>
      </c>
      <c r="H209" s="414">
        <f t="shared" si="68"/>
        <v>0.80411724583754585</v>
      </c>
      <c r="I209" s="137">
        <v>649034.06000000006</v>
      </c>
      <c r="J209" s="431">
        <f t="shared" si="69"/>
        <v>0.80411724583754585</v>
      </c>
      <c r="K209" s="34">
        <v>722250.63</v>
      </c>
      <c r="L209" s="280">
        <v>0.82171144625127268</v>
      </c>
      <c r="M209" s="211">
        <f t="shared" si="70"/>
        <v>-0.10137280184857711</v>
      </c>
      <c r="N209" s="34">
        <v>722250.63</v>
      </c>
      <c r="O209" s="280">
        <v>0.82171144625127268</v>
      </c>
      <c r="P209" s="211">
        <f t="shared" si="71"/>
        <v>-0.10137280184857711</v>
      </c>
    </row>
    <row r="210" spans="1:19" ht="14.1" customHeight="1" x14ac:dyDescent="0.2">
      <c r="A210" s="250">
        <v>9431</v>
      </c>
      <c r="B210" s="42" t="s">
        <v>740</v>
      </c>
      <c r="C210" s="200">
        <v>97687346.239999995</v>
      </c>
      <c r="D210" s="534">
        <v>97687346.239999995</v>
      </c>
      <c r="E210" s="137">
        <v>97687346.230000004</v>
      </c>
      <c r="F210" s="78">
        <f t="shared" si="67"/>
        <v>0.99999999989763266</v>
      </c>
      <c r="G210" s="137">
        <v>97687346.230000004</v>
      </c>
      <c r="H210" s="414">
        <f t="shared" si="68"/>
        <v>0.99999999989763266</v>
      </c>
      <c r="I210" s="137">
        <v>88756166.930000007</v>
      </c>
      <c r="J210" s="431">
        <f t="shared" si="69"/>
        <v>0.90857383628727406</v>
      </c>
      <c r="K210" s="34">
        <v>86137049.870000005</v>
      </c>
      <c r="L210" s="78">
        <v>0.75681208766854802</v>
      </c>
      <c r="M210" s="515">
        <f t="shared" si="70"/>
        <v>0.13409208206494161</v>
      </c>
      <c r="N210" s="34">
        <v>79002108.519999996</v>
      </c>
      <c r="O210" s="78">
        <v>0.69412350166942605</v>
      </c>
      <c r="P210" s="515">
        <f t="shared" si="71"/>
        <v>0.12346579847967853</v>
      </c>
    </row>
    <row r="211" spans="1:19" ht="14.1" customHeight="1" thickBot="1" x14ac:dyDescent="0.25">
      <c r="A211" s="18">
        <v>9</v>
      </c>
      <c r="B211" s="2" t="s">
        <v>534</v>
      </c>
      <c r="C211" s="514">
        <f>SUM(C191:C210)</f>
        <v>439825043.08999997</v>
      </c>
      <c r="D211" s="207">
        <f>SUM(D191:D210)</f>
        <v>422664874.27999997</v>
      </c>
      <c r="E211" s="203">
        <f>SUM(E191:E210)</f>
        <v>371121712.51000005</v>
      </c>
      <c r="F211" s="529">
        <f t="shared" si="57"/>
        <v>0.87805193923956293</v>
      </c>
      <c r="G211" s="203">
        <f>SUM(G191:G210)</f>
        <v>363362264.99000001</v>
      </c>
      <c r="H211" s="529">
        <f t="shared" si="58"/>
        <v>0.85969354706605172</v>
      </c>
      <c r="I211" s="203">
        <f>SUM(I191:I210)</f>
        <v>306505994.34000003</v>
      </c>
      <c r="J211" s="530">
        <f t="shared" si="59"/>
        <v>0.72517498612139475</v>
      </c>
      <c r="K211" s="612">
        <f>SUM(K191:K210)</f>
        <v>348547133.43000007</v>
      </c>
      <c r="L211" s="90">
        <v>0.75711352527169906</v>
      </c>
      <c r="M211" s="43">
        <f t="shared" si="49"/>
        <v>4.2505389197169618E-2</v>
      </c>
      <c r="N211" s="612">
        <f>SUM(N191:N210)</f>
        <v>295254504.99000001</v>
      </c>
      <c r="O211" s="90">
        <v>0.64135136308680596</v>
      </c>
      <c r="P211" s="43">
        <f t="shared" si="60"/>
        <v>3.8107765198641452E-2</v>
      </c>
    </row>
    <row r="212" spans="1:19" s="6" customFormat="1" ht="14.1" customHeight="1" thickBot="1" x14ac:dyDescent="0.25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2174749599.9499998</v>
      </c>
      <c r="E212" s="209">
        <f>E86+E121+E149+E174+E190+E211</f>
        <v>1938398641.1799998</v>
      </c>
      <c r="F212" s="181">
        <f>+E212/D212</f>
        <v>0.89132038061971186</v>
      </c>
      <c r="G212" s="209">
        <f>G86+G121+G149+G174+G190+G211</f>
        <v>1906325922.9000001</v>
      </c>
      <c r="H212" s="181">
        <f>+G212/D212</f>
        <v>0.87657260539044535</v>
      </c>
      <c r="I212" s="209">
        <f>I86+I121+I149+I174+I190+I211</f>
        <v>1501905166.3699999</v>
      </c>
      <c r="J212" s="173">
        <f>+I212/D212</f>
        <v>0.6906106185303037</v>
      </c>
      <c r="K212" s="613">
        <f>K86+K121+K149+K174+K190+K211</f>
        <v>1832776955.4700003</v>
      </c>
      <c r="L212" s="181">
        <v>0.84681676572578979</v>
      </c>
      <c r="M212" s="614">
        <f t="shared" si="49"/>
        <v>4.0129797142248957E-2</v>
      </c>
      <c r="N212" s="613">
        <f>N211+N190+N174+N149+N121+N86</f>
        <v>1535255568.3899999</v>
      </c>
      <c r="O212" s="181">
        <v>0.70934990267440057</v>
      </c>
      <c r="P212" s="614">
        <f>+I212/N212-1</f>
        <v>-2.1723029511610314E-2</v>
      </c>
      <c r="R212" s="255"/>
    </row>
    <row r="213" spans="1:19" s="272" customFormat="1" ht="14.1" customHeight="1" x14ac:dyDescent="0.2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">
      <c r="C217" s="340"/>
    </row>
    <row r="218" spans="1:19" x14ac:dyDescent="0.2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19" spans="1:19" x14ac:dyDescent="0.2">
      <c r="E219" t="s">
        <v>148</v>
      </c>
    </row>
    <row r="220" spans="1:19" x14ac:dyDescent="0.2">
      <c r="C220" s="352"/>
      <c r="O220"/>
      <c r="P220"/>
      <c r="R220"/>
    </row>
  </sheetData>
  <mergeCells count="15">
    <mergeCell ref="A132:B132"/>
    <mergeCell ref="D132:J132"/>
    <mergeCell ref="K132:P132"/>
    <mergeCell ref="A180:B180"/>
    <mergeCell ref="D180:J180"/>
    <mergeCell ref="K180:P180"/>
    <mergeCell ref="D2:J2"/>
    <mergeCell ref="K2:P2"/>
    <mergeCell ref="A82:B82"/>
    <mergeCell ref="D82:J82"/>
    <mergeCell ref="K82:P82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D1" zoomScaleNormal="100" workbookViewId="0">
      <selection activeCell="C41" sqref="C41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bestFit="1" customWidth="1"/>
    <col min="12" max="12" width="6" style="97" bestFit="1" customWidth="1"/>
    <col min="13" max="13" width="51.85546875" style="97" customWidth="1"/>
    <col min="14" max="14" width="16.5703125" bestFit="1" customWidth="1"/>
    <col min="15" max="15" width="20.42578125" style="254" bestFit="1" customWidth="1"/>
    <col min="16" max="18" width="15.5703125" bestFit="1" customWidth="1"/>
  </cols>
  <sheetData>
    <row r="1" spans="1:15" ht="15" customHeight="1" x14ac:dyDescent="0.25">
      <c r="A1" s="460" t="s">
        <v>19</v>
      </c>
      <c r="K1" s="97"/>
    </row>
    <row r="2" spans="1:15" ht="12.75" customHeight="1" x14ac:dyDescent="0.25">
      <c r="A2" s="461" t="s">
        <v>533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76" t="s">
        <v>465</v>
      </c>
      <c r="B29" s="777"/>
      <c r="C29" s="340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2" customFormat="1" ht="351" customHeight="1" x14ac:dyDescent="0.2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9"/>
  <sheetViews>
    <sheetView topLeftCell="A76" zoomScaleNormal="100" workbookViewId="0">
      <pane xSplit="1" topLeftCell="B1" activePane="topRight" state="frozen"/>
      <selection activeCell="C41" sqref="C41"/>
      <selection pane="topRight" activeCell="A94" sqref="A94"/>
    </sheetView>
  </sheetViews>
  <sheetFormatPr defaultColWidth="11.42578125" defaultRowHeight="12.75" x14ac:dyDescent="0.2"/>
  <cols>
    <col min="1" max="1" width="4.140625" customWidth="1"/>
    <col min="2" max="2" width="33" bestFit="1" customWidth="1"/>
    <col min="3" max="5" width="11.7109375" customWidth="1"/>
    <col min="6" max="6" width="6.28515625" style="97" customWidth="1"/>
    <col min="7" max="7" width="11.7109375" customWidth="1"/>
    <col min="8" max="8" width="6.28515625" style="97" customWidth="1"/>
    <col min="9" max="9" width="11.7109375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7109375" customWidth="1"/>
    <col min="15" max="15" width="6.28515625" style="97" customWidth="1"/>
    <col min="16" max="16" width="8.140625" style="97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81"/>
    </row>
    <row r="3" spans="1:16384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16" t="s">
        <v>362</v>
      </c>
    </row>
    <row r="4" spans="1:16384" ht="25.5" x14ac:dyDescent="0.2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7" t="s">
        <v>764</v>
      </c>
      <c r="N4" s="557" t="s">
        <v>17</v>
      </c>
      <c r="O4" s="89" t="s">
        <v>18</v>
      </c>
      <c r="P4" s="617" t="s">
        <v>764</v>
      </c>
    </row>
    <row r="5" spans="1:16384" ht="15" customHeight="1" x14ac:dyDescent="0.2">
      <c r="A5" s="29">
        <v>1</v>
      </c>
      <c r="B5" s="21" t="s">
        <v>512</v>
      </c>
      <c r="C5" s="198">
        <v>150522241.06999999</v>
      </c>
      <c r="D5" s="204">
        <v>155952193.63</v>
      </c>
      <c r="E5" s="30">
        <v>135501336.28999999</v>
      </c>
      <c r="F5" s="48">
        <f t="shared" ref="F5:F16" si="0">+E5/D5</f>
        <v>0.86886457404683826</v>
      </c>
      <c r="G5" s="30">
        <v>130777255.66000001</v>
      </c>
      <c r="H5" s="48">
        <f t="shared" ref="H5:H16" si="1">+G5/D5</f>
        <v>0.83857272293502916</v>
      </c>
      <c r="I5" s="30">
        <v>109162745.31</v>
      </c>
      <c r="J5" s="153">
        <f t="shared" ref="J5:J16" si="2">+I5/D5</f>
        <v>0.69997569619950983</v>
      </c>
      <c r="K5" s="571">
        <v>132374417.97000001</v>
      </c>
      <c r="L5" s="48">
        <v>0.82606827477651801</v>
      </c>
      <c r="M5" s="618">
        <f>+G5/K5-1</f>
        <v>-1.2065490708045745E-2</v>
      </c>
      <c r="N5" s="571">
        <v>106512015.26000001</v>
      </c>
      <c r="O5" s="48">
        <v>0.66467674070331817</v>
      </c>
      <c r="P5" s="618">
        <f t="shared" ref="P5:P16" si="3">+I5/N5-1</f>
        <v>2.4886676339091585E-2</v>
      </c>
    </row>
    <row r="6" spans="1:16384" ht="15" customHeight="1" x14ac:dyDescent="0.2">
      <c r="A6" s="31">
        <v>2</v>
      </c>
      <c r="B6" s="23" t="s">
        <v>513</v>
      </c>
      <c r="C6" s="199">
        <v>349217889.70999998</v>
      </c>
      <c r="D6" s="204">
        <v>354316544.55000001</v>
      </c>
      <c r="E6" s="30">
        <v>336467341.19</v>
      </c>
      <c r="F6" s="48">
        <f t="shared" si="0"/>
        <v>0.9496235678673447</v>
      </c>
      <c r="G6" s="30">
        <v>329262715.60000002</v>
      </c>
      <c r="H6" s="280">
        <f t="shared" si="1"/>
        <v>0.92928970059295535</v>
      </c>
      <c r="I6" s="30">
        <v>246161073.50999999</v>
      </c>
      <c r="J6" s="178">
        <f t="shared" si="2"/>
        <v>0.69474902399106719</v>
      </c>
      <c r="K6" s="571">
        <v>311931430.72000003</v>
      </c>
      <c r="L6" s="48">
        <v>0.91044227688321278</v>
      </c>
      <c r="M6" s="619">
        <f t="shared" ref="M6:M29" si="4">+G6/K6-1</f>
        <v>5.5561200870319238E-2</v>
      </c>
      <c r="N6" s="571">
        <v>270786207.54000002</v>
      </c>
      <c r="O6" s="48">
        <v>0.79035065742568911</v>
      </c>
      <c r="P6" s="619">
        <f t="shared" si="3"/>
        <v>-9.0939395524280764E-2</v>
      </c>
    </row>
    <row r="7" spans="1:16384" ht="15" customHeight="1" x14ac:dyDescent="0.2">
      <c r="A7" s="31">
        <v>3</v>
      </c>
      <c r="B7" s="23" t="s">
        <v>771</v>
      </c>
      <c r="C7" s="199">
        <v>220166239.43000001</v>
      </c>
      <c r="D7" s="204">
        <v>232894808.93000001</v>
      </c>
      <c r="E7" s="30">
        <v>161764988.75</v>
      </c>
      <c r="F7" s="48">
        <f t="shared" si="0"/>
        <v>0.69458391749135495</v>
      </c>
      <c r="G7" s="30">
        <v>160675355.61000001</v>
      </c>
      <c r="H7" s="280">
        <f t="shared" si="1"/>
        <v>0.68990526816891562</v>
      </c>
      <c r="I7" s="30">
        <v>124874964.79000001</v>
      </c>
      <c r="J7" s="178">
        <f t="shared" si="2"/>
        <v>0.53618612352812478</v>
      </c>
      <c r="K7" s="571">
        <v>0</v>
      </c>
      <c r="L7" s="48" t="s">
        <v>129</v>
      </c>
      <c r="M7" s="619" t="s">
        <v>129</v>
      </c>
      <c r="N7" s="571">
        <v>0</v>
      </c>
      <c r="O7" s="48" t="s">
        <v>129</v>
      </c>
      <c r="P7" s="619" t="s">
        <v>129</v>
      </c>
    </row>
    <row r="8" spans="1:16384" ht="15" customHeight="1" x14ac:dyDescent="0.2">
      <c r="A8" s="31">
        <v>4</v>
      </c>
      <c r="B8" s="23" t="s">
        <v>514</v>
      </c>
      <c r="C8" s="199">
        <v>241357694.44</v>
      </c>
      <c r="D8" s="204">
        <v>239849221.21000001</v>
      </c>
      <c r="E8" s="30">
        <v>198735459.49000001</v>
      </c>
      <c r="F8" s="48">
        <f t="shared" si="0"/>
        <v>0.8285849688709106</v>
      </c>
      <c r="G8" s="30">
        <v>197303054.13</v>
      </c>
      <c r="H8" s="280">
        <f t="shared" si="1"/>
        <v>0.82261286125774524</v>
      </c>
      <c r="I8" s="30">
        <v>188102715.53</v>
      </c>
      <c r="J8" s="178">
        <f t="shared" si="2"/>
        <v>0.78425401834140895</v>
      </c>
      <c r="K8" s="571">
        <v>215554164.59999999</v>
      </c>
      <c r="L8" s="48">
        <v>0.82063707724663681</v>
      </c>
      <c r="M8" s="619">
        <f t="shared" si="4"/>
        <v>-8.4670646488636647E-2</v>
      </c>
      <c r="N8" s="571">
        <v>205856722.13999999</v>
      </c>
      <c r="O8" s="48">
        <v>0.78371790729272062</v>
      </c>
      <c r="P8" s="619">
        <f t="shared" si="3"/>
        <v>-8.624448317954736E-2</v>
      </c>
    </row>
    <row r="9" spans="1:16384" ht="15" customHeight="1" x14ac:dyDescent="0.2">
      <c r="A9" s="131" t="s">
        <v>420</v>
      </c>
      <c r="B9" s="23" t="s">
        <v>515</v>
      </c>
      <c r="C9" s="199">
        <v>65215120.890000001</v>
      </c>
      <c r="D9" s="204">
        <v>72371737.319999993</v>
      </c>
      <c r="E9" s="30">
        <v>65276470.840000004</v>
      </c>
      <c r="F9" s="48">
        <f t="shared" si="0"/>
        <v>0.90196081035574083</v>
      </c>
      <c r="G9" s="30">
        <v>62224611.719999999</v>
      </c>
      <c r="H9" s="280">
        <f t="shared" si="1"/>
        <v>0.85979159854718834</v>
      </c>
      <c r="I9" s="30">
        <v>41541004.710000001</v>
      </c>
      <c r="J9" s="178">
        <f t="shared" si="2"/>
        <v>0.57399485280174567</v>
      </c>
      <c r="K9" s="571">
        <v>65542137.780000001</v>
      </c>
      <c r="L9" s="48">
        <v>0.7703496355546382</v>
      </c>
      <c r="M9" s="620">
        <f t="shared" si="4"/>
        <v>-5.0616689848226759E-2</v>
      </c>
      <c r="N9" s="571">
        <v>52308924.100000001</v>
      </c>
      <c r="O9" s="48">
        <v>0.61481303450841196</v>
      </c>
      <c r="P9" s="620">
        <f t="shared" si="3"/>
        <v>-0.20585243484294868</v>
      </c>
    </row>
    <row r="10" spans="1:16384" ht="15" customHeight="1" x14ac:dyDescent="0.2">
      <c r="A10" s="131" t="s">
        <v>419</v>
      </c>
      <c r="B10" s="23" t="s">
        <v>516</v>
      </c>
      <c r="C10" s="199">
        <v>286675054.51999998</v>
      </c>
      <c r="D10" s="204">
        <v>287513980.94</v>
      </c>
      <c r="E10" s="30">
        <v>279098846.20999998</v>
      </c>
      <c r="F10" s="48">
        <f t="shared" si="0"/>
        <v>0.97073138947021798</v>
      </c>
      <c r="G10" s="30">
        <v>278592257.16000003</v>
      </c>
      <c r="H10" s="280">
        <f t="shared" si="1"/>
        <v>0.9689694262837889</v>
      </c>
      <c r="I10" s="30">
        <v>181086124.52000001</v>
      </c>
      <c r="J10" s="178">
        <f t="shared" si="2"/>
        <v>0.62983415250957853</v>
      </c>
      <c r="K10" s="571">
        <v>278853708.02999997</v>
      </c>
      <c r="L10" s="48">
        <v>0.97201531138314456</v>
      </c>
      <c r="M10" s="618">
        <f t="shared" si="4"/>
        <v>-9.3759151293704157E-4</v>
      </c>
      <c r="N10" s="571">
        <v>186143378.81999999</v>
      </c>
      <c r="O10" s="48">
        <v>0.64884994932958706</v>
      </c>
      <c r="P10" s="618">
        <f t="shared" si="3"/>
        <v>-2.7168596229739328E-2</v>
      </c>
    </row>
    <row r="11" spans="1:16384" ht="15" customHeight="1" x14ac:dyDescent="0.2">
      <c r="A11" s="131" t="s">
        <v>443</v>
      </c>
      <c r="B11" s="23" t="s">
        <v>517</v>
      </c>
      <c r="C11" s="199">
        <v>4757330.3899999997</v>
      </c>
      <c r="D11" s="204">
        <v>4178892.33</v>
      </c>
      <c r="E11" s="30">
        <v>3892265.4</v>
      </c>
      <c r="F11" s="48">
        <f t="shared" si="0"/>
        <v>0.93141078846604308</v>
      </c>
      <c r="G11" s="30">
        <v>3769063.01</v>
      </c>
      <c r="H11" s="280">
        <f t="shared" si="1"/>
        <v>0.90192871994861845</v>
      </c>
      <c r="I11" s="30">
        <v>2935303.51</v>
      </c>
      <c r="J11" s="178">
        <f t="shared" si="2"/>
        <v>0.70241185419582219</v>
      </c>
      <c r="K11" s="559">
        <v>4000819.65</v>
      </c>
      <c r="L11" s="280">
        <v>0.81573738616242186</v>
      </c>
      <c r="M11" s="619">
        <f t="shared" si="4"/>
        <v>-5.7927289974193164E-2</v>
      </c>
      <c r="N11" s="559">
        <v>2319868.4500000002</v>
      </c>
      <c r="O11" s="280">
        <v>0.47300393199270285</v>
      </c>
      <c r="P11" s="619">
        <f t="shared" si="3"/>
        <v>0.26528877531827266</v>
      </c>
    </row>
    <row r="12" spans="1:16384" ht="15" customHeight="1" x14ac:dyDescent="0.2">
      <c r="A12" s="131" t="s">
        <v>447</v>
      </c>
      <c r="B12" s="23" t="s">
        <v>518</v>
      </c>
      <c r="C12" s="199">
        <v>60930053.189999998</v>
      </c>
      <c r="D12" s="204">
        <v>50986198.329999998</v>
      </c>
      <c r="E12" s="30">
        <v>47776434.159999996</v>
      </c>
      <c r="F12" s="48">
        <f t="shared" si="0"/>
        <v>0.93704641108510744</v>
      </c>
      <c r="G12" s="30">
        <v>46226748.579999998</v>
      </c>
      <c r="H12" s="280">
        <f t="shared" si="1"/>
        <v>0.90665219400757779</v>
      </c>
      <c r="I12" s="30">
        <v>26398505.030000001</v>
      </c>
      <c r="J12" s="178">
        <f t="shared" si="2"/>
        <v>0.51775786182644778</v>
      </c>
      <c r="K12" s="559">
        <v>38156410.509999998</v>
      </c>
      <c r="L12" s="280">
        <v>0.78157536366717428</v>
      </c>
      <c r="M12" s="619">
        <f t="shared" si="4"/>
        <v>0.21150674191129526</v>
      </c>
      <c r="N12" s="559">
        <v>21477583.780000001</v>
      </c>
      <c r="O12" s="280">
        <v>0.43993525934905098</v>
      </c>
      <c r="P12" s="619">
        <f t="shared" si="3"/>
        <v>0.22911894095751961</v>
      </c>
    </row>
    <row r="13" spans="1:16384" ht="15" customHeight="1" x14ac:dyDescent="0.2">
      <c r="A13" s="131" t="s">
        <v>510</v>
      </c>
      <c r="B13" s="23" t="s">
        <v>519</v>
      </c>
      <c r="C13" s="199">
        <v>84785705.450000003</v>
      </c>
      <c r="D13" s="204">
        <v>101771355.06</v>
      </c>
      <c r="E13" s="30">
        <v>87578682.890000001</v>
      </c>
      <c r="F13" s="48">
        <f t="shared" si="0"/>
        <v>0.86054354723259197</v>
      </c>
      <c r="G13" s="30">
        <v>84545472.920000002</v>
      </c>
      <c r="H13" s="280">
        <f t="shared" si="1"/>
        <v>0.83073938506719924</v>
      </c>
      <c r="I13" s="30">
        <v>71294832.790000007</v>
      </c>
      <c r="J13" s="178">
        <f t="shared" si="2"/>
        <v>0.70053928974383461</v>
      </c>
      <c r="K13" s="559">
        <v>98562879.370000005</v>
      </c>
      <c r="L13" s="280">
        <v>0.74701430841922045</v>
      </c>
      <c r="M13" s="619">
        <f t="shared" si="4"/>
        <v>-0.14221790738660722</v>
      </c>
      <c r="N13" s="559">
        <v>86815301.939999998</v>
      </c>
      <c r="O13" s="280">
        <v>0.65797867466374227</v>
      </c>
      <c r="P13" s="619">
        <f t="shared" si="3"/>
        <v>-0.17877573196400942</v>
      </c>
    </row>
    <row r="14" spans="1:16384" ht="29.45" customHeight="1" x14ac:dyDescent="0.2">
      <c r="A14" s="131" t="s">
        <v>511</v>
      </c>
      <c r="B14" s="721" t="s">
        <v>778</v>
      </c>
      <c r="C14" s="199">
        <v>39445338.359999999</v>
      </c>
      <c r="D14" s="204">
        <v>50726767.590000004</v>
      </c>
      <c r="E14" s="30">
        <v>40622371.990000002</v>
      </c>
      <c r="F14" s="48">
        <f t="shared" si="0"/>
        <v>0.80080742219435397</v>
      </c>
      <c r="G14" s="30">
        <v>34495509.259999998</v>
      </c>
      <c r="H14" s="412">
        <f t="shared" si="1"/>
        <v>0.68002577137992626</v>
      </c>
      <c r="I14" s="30">
        <v>33582256.530000001</v>
      </c>
      <c r="J14" s="427">
        <f t="shared" si="2"/>
        <v>0.66202240208619612</v>
      </c>
      <c r="K14" s="572">
        <v>47548147.68</v>
      </c>
      <c r="L14" s="280">
        <v>0.84855340894987574</v>
      </c>
      <c r="M14" s="619">
        <f t="shared" si="4"/>
        <v>-0.2745141305576092</v>
      </c>
      <c r="N14" s="572">
        <v>44479878.390000001</v>
      </c>
      <c r="O14" s="280">
        <v>0.79379648375632383</v>
      </c>
      <c r="P14" s="619">
        <f t="shared" si="3"/>
        <v>-0.24500116129926319</v>
      </c>
    </row>
    <row r="15" spans="1:16384" ht="15" customHeight="1" x14ac:dyDescent="0.2">
      <c r="A15" s="709" t="s">
        <v>421</v>
      </c>
      <c r="B15" s="502" t="s">
        <v>23</v>
      </c>
      <c r="C15" s="199">
        <v>820954321.05999994</v>
      </c>
      <c r="D15" s="503">
        <v>777968444.54999995</v>
      </c>
      <c r="E15" s="504">
        <v>615870017.10000002</v>
      </c>
      <c r="F15" s="48">
        <f t="shared" si="0"/>
        <v>0.79163881442034267</v>
      </c>
      <c r="G15" s="504">
        <v>615870017.10000002</v>
      </c>
      <c r="H15" s="412">
        <f t="shared" si="1"/>
        <v>0.79163881442034267</v>
      </c>
      <c r="I15" s="504">
        <v>505279545.62</v>
      </c>
      <c r="J15" s="427">
        <f t="shared" si="2"/>
        <v>0.64948591316228599</v>
      </c>
      <c r="K15" s="615">
        <v>641116289</v>
      </c>
      <c r="L15" s="495">
        <v>0.75555571701847246</v>
      </c>
      <c r="M15" s="619">
        <f t="shared" si="4"/>
        <v>-3.9378615600889844E-2</v>
      </c>
      <c r="N15" s="615">
        <v>580532281.09000003</v>
      </c>
      <c r="O15" s="495">
        <v>0.68415744759110986</v>
      </c>
      <c r="P15" s="619">
        <f t="shared" si="3"/>
        <v>-0.12962713344502819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">
      <c r="A16" s="33">
        <v>8</v>
      </c>
      <c r="B16" s="518" t="s">
        <v>520</v>
      </c>
      <c r="C16" s="200">
        <v>76829628.569999993</v>
      </c>
      <c r="D16" s="520">
        <v>76877733.849999994</v>
      </c>
      <c r="E16" s="180">
        <v>69482654.269999996</v>
      </c>
      <c r="F16" s="78">
        <f t="shared" si="0"/>
        <v>0.90380726369446696</v>
      </c>
      <c r="G16" s="180">
        <v>67309795.650000006</v>
      </c>
      <c r="H16" s="78">
        <f t="shared" si="1"/>
        <v>0.87554344124309813</v>
      </c>
      <c r="I16" s="180">
        <v>49366882.740000002</v>
      </c>
      <c r="J16" s="392">
        <f t="shared" si="2"/>
        <v>0.64214799614570073</v>
      </c>
      <c r="K16" s="573">
        <v>172124627.72</v>
      </c>
      <c r="L16" s="390">
        <v>0.95724379621311162</v>
      </c>
      <c r="M16" s="621">
        <f t="shared" si="4"/>
        <v>-0.60894732763347059</v>
      </c>
      <c r="N16" s="573">
        <v>146180819.81999999</v>
      </c>
      <c r="O16" s="390">
        <v>0.81296142656395964</v>
      </c>
      <c r="P16" s="621">
        <f t="shared" si="3"/>
        <v>-0.66228891860924022</v>
      </c>
    </row>
    <row r="17" spans="1:18" ht="15" customHeight="1" x14ac:dyDescent="0.2">
      <c r="A17" s="521"/>
      <c r="B17" s="2" t="s">
        <v>24</v>
      </c>
      <c r="C17" s="201">
        <f>SUM(C5:C16)</f>
        <v>2400856617.0800004</v>
      </c>
      <c r="D17" s="207">
        <f>SUM(D5:D16)</f>
        <v>2405407878.2899995</v>
      </c>
      <c r="E17" s="203">
        <f>SUM(E5:E16)</f>
        <v>2042066868.5800004</v>
      </c>
      <c r="F17" s="90">
        <f t="shared" ref="F17:F29" si="5">+E17/D17</f>
        <v>0.84894827484796564</v>
      </c>
      <c r="G17" s="203">
        <f>SUM(G5:G16)</f>
        <v>2011051856.4000001</v>
      </c>
      <c r="H17" s="90">
        <f t="shared" ref="H17:H29" si="6">+G17/D17</f>
        <v>0.83605440663545738</v>
      </c>
      <c r="I17" s="203">
        <f>SUM(I5:I16)</f>
        <v>1579785954.5899999</v>
      </c>
      <c r="J17" s="170">
        <f>+I17/D17</f>
        <v>0.65676427222524403</v>
      </c>
      <c r="K17" s="561">
        <f>SUM(K5:K16)</f>
        <v>2005765033.0300002</v>
      </c>
      <c r="L17" s="90">
        <v>0.83311751900428943</v>
      </c>
      <c r="M17" s="622">
        <f t="shared" si="4"/>
        <v>2.6358139078799248E-3</v>
      </c>
      <c r="N17" s="561">
        <f>SUM(N5:N16)</f>
        <v>1703412981.3300002</v>
      </c>
      <c r="O17" s="90">
        <v>0.70753212538635557</v>
      </c>
      <c r="P17" s="622">
        <f t="shared" ref="P17:P29" si="7">+I17/N17-1</f>
        <v>-7.2576074090661247E-2</v>
      </c>
    </row>
    <row r="18" spans="1:18" ht="15" customHeight="1" x14ac:dyDescent="0.2">
      <c r="A18" s="29">
        <v>1</v>
      </c>
      <c r="B18" s="21" t="s">
        <v>25</v>
      </c>
      <c r="C18" s="198">
        <v>48735421.579999998</v>
      </c>
      <c r="D18" s="204">
        <v>52681932.840000004</v>
      </c>
      <c r="E18" s="30">
        <v>49134627.530000001</v>
      </c>
      <c r="F18" s="48">
        <f t="shared" si="5"/>
        <v>0.93266561952513205</v>
      </c>
      <c r="G18" s="30">
        <v>48445013.799999997</v>
      </c>
      <c r="H18" s="48">
        <f t="shared" si="6"/>
        <v>0.91957548230305197</v>
      </c>
      <c r="I18" s="30">
        <v>37677326.340000004</v>
      </c>
      <c r="J18" s="153">
        <f t="shared" ref="J18:J29" si="8">+I18/D18</f>
        <v>0.71518496586732294</v>
      </c>
      <c r="K18" s="571">
        <v>46991105.93</v>
      </c>
      <c r="L18" s="48">
        <v>0.91709834137107293</v>
      </c>
      <c r="M18" s="618">
        <f t="shared" si="4"/>
        <v>3.0940064959650071E-2</v>
      </c>
      <c r="N18" s="571">
        <v>36459365.43</v>
      </c>
      <c r="O18" s="48">
        <v>0.71155642970190536</v>
      </c>
      <c r="P18" s="618">
        <f t="shared" si="7"/>
        <v>3.3405982129294687E-2</v>
      </c>
    </row>
    <row r="19" spans="1:18" ht="15" customHeight="1" x14ac:dyDescent="0.2">
      <c r="A19" s="31">
        <v>2</v>
      </c>
      <c r="B19" s="23" t="s">
        <v>26</v>
      </c>
      <c r="C19" s="199">
        <v>43192677.759999998</v>
      </c>
      <c r="D19" s="204">
        <v>44927246.840000004</v>
      </c>
      <c r="E19" s="30">
        <v>42620116.909999996</v>
      </c>
      <c r="F19" s="280">
        <f t="shared" si="5"/>
        <v>0.9486474223934438</v>
      </c>
      <c r="G19" s="30">
        <v>42406967.210000001</v>
      </c>
      <c r="H19" s="280">
        <f t="shared" si="6"/>
        <v>0.94390309205958012</v>
      </c>
      <c r="I19" s="30">
        <v>33752425.659999996</v>
      </c>
      <c r="J19" s="178">
        <f t="shared" si="8"/>
        <v>0.75126850706438686</v>
      </c>
      <c r="K19" s="572">
        <v>41008142.979999997</v>
      </c>
      <c r="L19" s="280">
        <v>0.92668189439153836</v>
      </c>
      <c r="M19" s="619">
        <f t="shared" si="4"/>
        <v>3.4110889407555467E-2</v>
      </c>
      <c r="N19" s="572">
        <v>32009165.050000001</v>
      </c>
      <c r="O19" s="280">
        <v>0.72332740648343852</v>
      </c>
      <c r="P19" s="619">
        <f>+I19/N19-1</f>
        <v>5.446129592186888E-2</v>
      </c>
    </row>
    <row r="20" spans="1:18" ht="15" customHeight="1" x14ac:dyDescent="0.2">
      <c r="A20" s="35">
        <v>3</v>
      </c>
      <c r="B20" s="23" t="s">
        <v>27</v>
      </c>
      <c r="C20" s="199">
        <v>37174801.850000001</v>
      </c>
      <c r="D20" s="204">
        <v>38752521.460000001</v>
      </c>
      <c r="E20" s="30">
        <v>36813325.310000002</v>
      </c>
      <c r="F20" s="280">
        <f t="shared" si="5"/>
        <v>0.94995948452021062</v>
      </c>
      <c r="G20" s="30">
        <v>36425381.75</v>
      </c>
      <c r="H20" s="280">
        <f t="shared" si="6"/>
        <v>0.93994868921233798</v>
      </c>
      <c r="I20" s="30">
        <v>27851274.530000001</v>
      </c>
      <c r="J20" s="178">
        <f t="shared" si="8"/>
        <v>0.71869580302659353</v>
      </c>
      <c r="K20" s="572">
        <v>35296212.729999997</v>
      </c>
      <c r="L20" s="280">
        <v>0.9204891846655513</v>
      </c>
      <c r="M20" s="619">
        <f t="shared" si="4"/>
        <v>3.1991223212462838E-2</v>
      </c>
      <c r="N20" s="572">
        <v>27930229.140000001</v>
      </c>
      <c r="O20" s="280">
        <v>0.72839185453879784</v>
      </c>
      <c r="P20" s="619">
        <f t="shared" si="7"/>
        <v>-2.8268514949963963E-3</v>
      </c>
    </row>
    <row r="21" spans="1:18" ht="15" customHeight="1" x14ac:dyDescent="0.2">
      <c r="A21" s="35">
        <v>4</v>
      </c>
      <c r="B21" s="23" t="s">
        <v>28</v>
      </c>
      <c r="C21" s="199">
        <v>16159465.359999999</v>
      </c>
      <c r="D21" s="204">
        <v>17344532.129999999</v>
      </c>
      <c r="E21" s="30">
        <v>15971820.91</v>
      </c>
      <c r="F21" s="280">
        <f t="shared" si="5"/>
        <v>0.92085625546360594</v>
      </c>
      <c r="G21" s="30">
        <v>15620983.74</v>
      </c>
      <c r="H21" s="280">
        <f t="shared" si="6"/>
        <v>0.90062871819881152</v>
      </c>
      <c r="I21" s="30">
        <v>12125074.619999999</v>
      </c>
      <c r="J21" s="178">
        <f t="shared" si="8"/>
        <v>0.69907187631932965</v>
      </c>
      <c r="K21" s="572">
        <v>15870963.300000001</v>
      </c>
      <c r="L21" s="280">
        <v>0.89347004307421662</v>
      </c>
      <c r="M21" s="619">
        <f t="shared" si="4"/>
        <v>-1.575074904243523E-2</v>
      </c>
      <c r="N21" s="572">
        <v>12534782.5</v>
      </c>
      <c r="O21" s="280">
        <v>0.70565676755115025</v>
      </c>
      <c r="P21" s="619">
        <f t="shared" si="7"/>
        <v>-3.2685679228977471E-2</v>
      </c>
      <c r="R21" s="342"/>
    </row>
    <row r="22" spans="1:18" ht="15" customHeight="1" x14ac:dyDescent="0.2">
      <c r="A22" s="35">
        <v>5</v>
      </c>
      <c r="B22" s="23" t="s">
        <v>29</v>
      </c>
      <c r="C22" s="199">
        <v>22086461.75</v>
      </c>
      <c r="D22" s="204">
        <v>23614727.59</v>
      </c>
      <c r="E22" s="30">
        <v>21389191.890000001</v>
      </c>
      <c r="F22" s="280">
        <f t="shared" si="5"/>
        <v>0.9057564525562245</v>
      </c>
      <c r="G22" s="30">
        <v>21229744.579999998</v>
      </c>
      <c r="H22" s="280">
        <f t="shared" si="6"/>
        <v>0.89900442421322035</v>
      </c>
      <c r="I22" s="30">
        <v>15889724.619999999</v>
      </c>
      <c r="J22" s="178">
        <f t="shared" si="8"/>
        <v>0.67287350910322308</v>
      </c>
      <c r="K22" s="572">
        <v>21525947.039999999</v>
      </c>
      <c r="L22" s="280">
        <v>0.92793690521158056</v>
      </c>
      <c r="M22" s="619">
        <f t="shared" si="4"/>
        <v>-1.376025219469279E-2</v>
      </c>
      <c r="N22" s="572">
        <v>16764413.880000001</v>
      </c>
      <c r="O22" s="280">
        <v>0.72267753444650618</v>
      </c>
      <c r="P22" s="619">
        <f t="shared" si="7"/>
        <v>-5.2175355861591388E-2</v>
      </c>
    </row>
    <row r="23" spans="1:18" ht="15" customHeight="1" x14ac:dyDescent="0.2">
      <c r="A23" s="35">
        <v>6</v>
      </c>
      <c r="B23" s="23" t="s">
        <v>30</v>
      </c>
      <c r="C23" s="199">
        <v>25671480.27</v>
      </c>
      <c r="D23" s="204">
        <v>26850341.170000002</v>
      </c>
      <c r="E23" s="30">
        <v>25547527.16</v>
      </c>
      <c r="F23" s="280">
        <f t="shared" si="5"/>
        <v>0.95147867947928944</v>
      </c>
      <c r="G23" s="30">
        <v>25113216.469999999</v>
      </c>
      <c r="H23" s="280">
        <f t="shared" si="6"/>
        <v>0.93530344031751445</v>
      </c>
      <c r="I23" s="30">
        <v>20308649.210000001</v>
      </c>
      <c r="J23" s="178">
        <f t="shared" si="8"/>
        <v>0.75636466149230686</v>
      </c>
      <c r="K23" s="572">
        <v>25740444.5</v>
      </c>
      <c r="L23" s="280">
        <v>0.92692001673959845</v>
      </c>
      <c r="M23" s="619">
        <f t="shared" si="4"/>
        <v>-2.4367412536329791E-2</v>
      </c>
      <c r="N23" s="572">
        <v>20147263.129999999</v>
      </c>
      <c r="O23" s="280">
        <v>0.72550811924466541</v>
      </c>
      <c r="P23" s="619">
        <f t="shared" si="7"/>
        <v>8.0103227400496468E-3</v>
      </c>
    </row>
    <row r="24" spans="1:18" ht="15" customHeight="1" x14ac:dyDescent="0.2">
      <c r="A24" s="35">
        <v>7</v>
      </c>
      <c r="B24" s="23" t="s">
        <v>31</v>
      </c>
      <c r="C24" s="199">
        <v>31914406.829999998</v>
      </c>
      <c r="D24" s="204">
        <v>33123961.800000001</v>
      </c>
      <c r="E24" s="30">
        <v>31416227.91</v>
      </c>
      <c r="F24" s="280">
        <f t="shared" si="5"/>
        <v>0.9484441535009861</v>
      </c>
      <c r="G24" s="30">
        <v>31062632.600000001</v>
      </c>
      <c r="H24" s="280">
        <f t="shared" si="6"/>
        <v>0.93776924353294</v>
      </c>
      <c r="I24" s="30">
        <v>25364235.530000001</v>
      </c>
      <c r="J24" s="178">
        <f t="shared" si="8"/>
        <v>0.76573677035215038</v>
      </c>
      <c r="K24" s="572">
        <v>30483351.120000001</v>
      </c>
      <c r="L24" s="280">
        <v>0.92465667233162685</v>
      </c>
      <c r="M24" s="619">
        <f t="shared" si="4"/>
        <v>1.900320859473803E-2</v>
      </c>
      <c r="N24" s="572">
        <v>24549700.309999999</v>
      </c>
      <c r="O24" s="280">
        <v>0.74467023346688088</v>
      </c>
      <c r="P24" s="619">
        <f t="shared" si="7"/>
        <v>3.3179029060009135E-2</v>
      </c>
    </row>
    <row r="25" spans="1:18" ht="15" customHeight="1" x14ac:dyDescent="0.2">
      <c r="A25" s="35">
        <v>8</v>
      </c>
      <c r="B25" s="23" t="s">
        <v>32</v>
      </c>
      <c r="C25" s="199">
        <v>36364709.509999998</v>
      </c>
      <c r="D25" s="204">
        <v>39956992.719999999</v>
      </c>
      <c r="E25" s="30">
        <v>36804385.009999998</v>
      </c>
      <c r="F25" s="280">
        <f t="shared" si="5"/>
        <v>0.92109997536371147</v>
      </c>
      <c r="G25" s="30">
        <v>36239801.5</v>
      </c>
      <c r="H25" s="280">
        <f t="shared" si="6"/>
        <v>0.90697019552876901</v>
      </c>
      <c r="I25" s="30">
        <v>26360599.010000002</v>
      </c>
      <c r="J25" s="178">
        <f t="shared" si="8"/>
        <v>0.65972429894118423</v>
      </c>
      <c r="K25" s="572">
        <v>33304514.41</v>
      </c>
      <c r="L25" s="280">
        <v>0.86884134508540667</v>
      </c>
      <c r="M25" s="619">
        <f t="shared" si="4"/>
        <v>8.8134811211018738E-2</v>
      </c>
      <c r="N25" s="572">
        <v>26550669.739999998</v>
      </c>
      <c r="O25" s="280">
        <v>0.69264842975442154</v>
      </c>
      <c r="P25" s="619">
        <f t="shared" si="7"/>
        <v>-7.1587922964385653E-3</v>
      </c>
    </row>
    <row r="26" spans="1:18" ht="15" customHeight="1" x14ac:dyDescent="0.2">
      <c r="A26" s="35">
        <v>9</v>
      </c>
      <c r="B26" s="23" t="s">
        <v>33</v>
      </c>
      <c r="C26" s="199">
        <v>29247888.579999998</v>
      </c>
      <c r="D26" s="204">
        <v>30664501.239999998</v>
      </c>
      <c r="E26" s="30">
        <v>28004806.329999998</v>
      </c>
      <c r="F26" s="280">
        <f t="shared" si="5"/>
        <v>0.91326469362134655</v>
      </c>
      <c r="G26" s="30">
        <v>27507141.710000001</v>
      </c>
      <c r="H26" s="280">
        <f t="shared" si="6"/>
        <v>0.89703535350898156</v>
      </c>
      <c r="I26" s="30">
        <v>21049535.870000001</v>
      </c>
      <c r="J26" s="178">
        <f t="shared" si="8"/>
        <v>0.68644637997705782</v>
      </c>
      <c r="K26" s="572">
        <v>27877636.620000001</v>
      </c>
      <c r="L26" s="280">
        <v>0.89574748258468662</v>
      </c>
      <c r="M26" s="619">
        <f t="shared" si="4"/>
        <v>-1.3290040151186955E-2</v>
      </c>
      <c r="N26" s="572">
        <v>22004835.710000001</v>
      </c>
      <c r="O26" s="280">
        <v>0.70704616968072509</v>
      </c>
      <c r="P26" s="619">
        <f t="shared" si="7"/>
        <v>-4.3413177566504979E-2</v>
      </c>
    </row>
    <row r="27" spans="1:18" ht="15" customHeight="1" x14ac:dyDescent="0.2">
      <c r="A27" s="36">
        <v>10</v>
      </c>
      <c r="B27" s="24" t="s">
        <v>34</v>
      </c>
      <c r="C27" s="200">
        <v>44779723.270000003</v>
      </c>
      <c r="D27" s="206">
        <v>45487401.890000001</v>
      </c>
      <c r="E27" s="180">
        <v>43874147.299999997</v>
      </c>
      <c r="F27" s="390">
        <f t="shared" si="5"/>
        <v>0.96453403529396431</v>
      </c>
      <c r="G27" s="180">
        <v>43591589.68</v>
      </c>
      <c r="H27" s="390">
        <f t="shared" si="6"/>
        <v>0.95832225778503344</v>
      </c>
      <c r="I27" s="180">
        <v>34110065.119999997</v>
      </c>
      <c r="J27" s="392">
        <f t="shared" si="8"/>
        <v>0.74987938863790748</v>
      </c>
      <c r="K27" s="573">
        <v>42643168.32</v>
      </c>
      <c r="L27" s="390">
        <v>0.9416739883409132</v>
      </c>
      <c r="M27" s="621">
        <f t="shared" si="4"/>
        <v>2.2240874619890327E-2</v>
      </c>
      <c r="N27" s="573">
        <v>34006849.659999996</v>
      </c>
      <c r="O27" s="390">
        <v>0.75096122103157148</v>
      </c>
      <c r="P27" s="621">
        <f t="shared" si="7"/>
        <v>3.0351373629708966E-3</v>
      </c>
    </row>
    <row r="28" spans="1:18" ht="15" customHeight="1" thickBot="1" x14ac:dyDescent="0.25">
      <c r="A28" s="10">
        <v>6</v>
      </c>
      <c r="B28" s="2" t="s">
        <v>35</v>
      </c>
      <c r="C28" s="522">
        <f>SUM(C18:C27)</f>
        <v>335327036.75999999</v>
      </c>
      <c r="D28" s="207">
        <f>SUM(D18:D27)</f>
        <v>353404159.68000007</v>
      </c>
      <c r="E28" s="523">
        <f>SUM(E18:E27)</f>
        <v>331576176.25999999</v>
      </c>
      <c r="F28" s="90">
        <f t="shared" si="5"/>
        <v>0.93823506933318257</v>
      </c>
      <c r="G28" s="523">
        <f>SUM(G18:G27)</f>
        <v>327642473.03999996</v>
      </c>
      <c r="H28" s="90">
        <f t="shared" si="6"/>
        <v>0.92710417822097291</v>
      </c>
      <c r="I28" s="523">
        <f>SUM(I18:I27)</f>
        <v>254488910.51000002</v>
      </c>
      <c r="J28" s="170">
        <f t="shared" si="8"/>
        <v>0.72010728662739654</v>
      </c>
      <c r="K28" s="561">
        <f>SUM(K18:K27)</f>
        <v>320741486.94999999</v>
      </c>
      <c r="L28" s="90">
        <v>0.91568907833122792</v>
      </c>
      <c r="M28" s="622">
        <f t="shared" si="4"/>
        <v>2.1515726436336369E-2</v>
      </c>
      <c r="N28" s="561">
        <f>SUM(N18:N27)</f>
        <v>252957274.55000001</v>
      </c>
      <c r="O28" s="90">
        <v>0.72217104120982467</v>
      </c>
      <c r="P28" s="622">
        <f t="shared" si="7"/>
        <v>6.0549196014414441E-3</v>
      </c>
      <c r="R28" s="342"/>
    </row>
    <row r="29" spans="1:18" s="6" customFormat="1" ht="19.5" customHeight="1" thickBot="1" x14ac:dyDescent="0.25">
      <c r="A29" s="5"/>
      <c r="B29" s="4" t="s">
        <v>11</v>
      </c>
      <c r="C29" s="202">
        <f>+C17+C28</f>
        <v>2736183653.8400002</v>
      </c>
      <c r="D29" s="208">
        <f>+D17+D28</f>
        <v>2758812037.9699993</v>
      </c>
      <c r="E29" s="209">
        <f>+E17+E28</f>
        <v>2373643044.8400002</v>
      </c>
      <c r="F29" s="181">
        <f t="shared" si="5"/>
        <v>0.86038592414820114</v>
      </c>
      <c r="G29" s="209">
        <f>+G17+G28</f>
        <v>2338694329.4400001</v>
      </c>
      <c r="H29" s="181">
        <f t="shared" si="6"/>
        <v>0.84771789351798976</v>
      </c>
      <c r="I29" s="209">
        <f>+I17+I28</f>
        <v>1834274865.0999999</v>
      </c>
      <c r="J29" s="173">
        <f t="shared" si="8"/>
        <v>0.66487852012190862</v>
      </c>
      <c r="K29" s="569">
        <f>K17+K28</f>
        <v>2326506519.98</v>
      </c>
      <c r="L29" s="181">
        <v>0.84360503116201591</v>
      </c>
      <c r="M29" s="623">
        <f t="shared" si="4"/>
        <v>5.2386741044270213E-3</v>
      </c>
      <c r="N29" s="569">
        <f>+N28+N17</f>
        <v>1956370255.8800001</v>
      </c>
      <c r="O29" s="181">
        <v>0.70939143153154649</v>
      </c>
      <c r="P29" s="623">
        <f t="shared" si="7"/>
        <v>-6.240914285679533E-2</v>
      </c>
    </row>
    <row r="30" spans="1:18" ht="33.6" customHeight="1" x14ac:dyDescent="0.2">
      <c r="A30" s="711" t="s">
        <v>772</v>
      </c>
      <c r="B30" s="778" t="s">
        <v>773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</row>
    <row r="32" spans="1:18" ht="15.75" thickBot="1" x14ac:dyDescent="0.3">
      <c r="A32" s="7" t="s">
        <v>19</v>
      </c>
    </row>
    <row r="33" spans="1:16" ht="26.25" customHeight="1" x14ac:dyDescent="0.2">
      <c r="A33" s="780" t="s">
        <v>464</v>
      </c>
      <c r="B33" s="779"/>
      <c r="C33" s="164" t="s">
        <v>765</v>
      </c>
      <c r="D33" s="754" t="s">
        <v>784</v>
      </c>
      <c r="E33" s="752"/>
      <c r="F33" s="752"/>
      <c r="G33" s="752"/>
      <c r="H33" s="752"/>
      <c r="I33" s="752"/>
      <c r="J33" s="753"/>
      <c r="K33" s="763" t="s">
        <v>785</v>
      </c>
      <c r="L33" s="761"/>
      <c r="M33" s="761"/>
      <c r="N33" s="761"/>
      <c r="O33" s="761"/>
      <c r="P33" s="764"/>
    </row>
    <row r="34" spans="1:16" x14ac:dyDescent="0.2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543</v>
      </c>
      <c r="L34" s="88" t="s">
        <v>544</v>
      </c>
      <c r="M34" s="88" t="s">
        <v>545</v>
      </c>
      <c r="N34" s="87" t="s">
        <v>39</v>
      </c>
      <c r="O34" s="88" t="s">
        <v>40</v>
      </c>
      <c r="P34" s="604" t="s">
        <v>362</v>
      </c>
    </row>
    <row r="35" spans="1:16" ht="25.5" x14ac:dyDescent="0.2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764</v>
      </c>
      <c r="N35" s="557" t="s">
        <v>17</v>
      </c>
      <c r="O35" s="89" t="s">
        <v>18</v>
      </c>
      <c r="P35" s="580" t="s">
        <v>764</v>
      </c>
    </row>
    <row r="36" spans="1:16" ht="15" customHeight="1" x14ac:dyDescent="0.2">
      <c r="A36" s="29">
        <v>1</v>
      </c>
      <c r="B36" s="21" t="s">
        <v>512</v>
      </c>
      <c r="C36" s="198">
        <v>147387289.73999998</v>
      </c>
      <c r="D36" s="204">
        <v>151340542.20999998</v>
      </c>
      <c r="E36" s="30">
        <v>132206062.5</v>
      </c>
      <c r="F36" s="48">
        <f t="shared" ref="F36:F47" si="9">+E36/D36</f>
        <v>0.8735667295056404</v>
      </c>
      <c r="G36" s="30">
        <v>127746958.58</v>
      </c>
      <c r="H36" s="48">
        <f t="shared" ref="H36:H47" si="10">+G36/D36</f>
        <v>0.8441026886420061</v>
      </c>
      <c r="I36" s="30">
        <v>107985743.83000001</v>
      </c>
      <c r="J36" s="153">
        <f t="shared" ref="J36:J47" si="11">+I36/D36</f>
        <v>0.71352819444877569</v>
      </c>
      <c r="K36" s="571">
        <v>129560233.31000002</v>
      </c>
      <c r="L36" s="48">
        <v>0.84777938616710957</v>
      </c>
      <c r="M36" s="210">
        <f t="shared" ref="M36:M60" si="12">+G36/K36-1</f>
        <v>-1.399561179904163E-2</v>
      </c>
      <c r="N36" s="571">
        <v>105491914.76000001</v>
      </c>
      <c r="O36" s="48">
        <v>0.69028797228881622</v>
      </c>
      <c r="P36" s="210">
        <f t="shared" ref="P36:P43" si="13">+I36/N36-1</f>
        <v>2.3640001943974642E-2</v>
      </c>
    </row>
    <row r="37" spans="1:16" ht="15" customHeight="1" x14ac:dyDescent="0.2">
      <c r="A37" s="31">
        <v>2</v>
      </c>
      <c r="B37" s="23" t="s">
        <v>513</v>
      </c>
      <c r="C37" s="199">
        <v>347088506.07999998</v>
      </c>
      <c r="D37" s="204">
        <v>347124407.19999999</v>
      </c>
      <c r="E37" s="30">
        <v>331077718.08999997</v>
      </c>
      <c r="F37" s="48">
        <f t="shared" si="9"/>
        <v>0.95377251274424357</v>
      </c>
      <c r="G37" s="30">
        <v>324337355.17000002</v>
      </c>
      <c r="H37" s="280">
        <f t="shared" si="10"/>
        <v>0.93435479742318739</v>
      </c>
      <c r="I37" s="30">
        <v>245012662.83000001</v>
      </c>
      <c r="J37" s="178">
        <f t="shared" si="11"/>
        <v>0.70583530788381865</v>
      </c>
      <c r="K37" s="572">
        <v>310682476.39999998</v>
      </c>
      <c r="L37" s="280">
        <v>0.91272379260372716</v>
      </c>
      <c r="M37" s="211">
        <f t="shared" si="12"/>
        <v>4.3951235770438357E-2</v>
      </c>
      <c r="N37" s="572">
        <v>270073237.74000001</v>
      </c>
      <c r="O37" s="280">
        <v>0.79342186494436251</v>
      </c>
      <c r="P37" s="211">
        <f t="shared" si="13"/>
        <v>-9.2791774259861515E-2</v>
      </c>
    </row>
    <row r="38" spans="1:16" ht="15" customHeight="1" x14ac:dyDescent="0.2">
      <c r="A38" s="31">
        <v>3</v>
      </c>
      <c r="B38" s="23" t="s">
        <v>771</v>
      </c>
      <c r="C38" s="199">
        <v>220166239.43000001</v>
      </c>
      <c r="D38" s="204">
        <v>226145560.78</v>
      </c>
      <c r="E38" s="30">
        <v>157865740.59999999</v>
      </c>
      <c r="F38" s="48">
        <f t="shared" si="9"/>
        <v>0.69807136631603262</v>
      </c>
      <c r="G38" s="30">
        <v>156776107.46000001</v>
      </c>
      <c r="H38" s="280">
        <f t="shared" si="10"/>
        <v>0.69325308407232311</v>
      </c>
      <c r="I38" s="30">
        <v>120975716.64</v>
      </c>
      <c r="J38" s="178">
        <f t="shared" si="11"/>
        <v>0.53494623649804107</v>
      </c>
      <c r="K38" s="572">
        <v>0</v>
      </c>
      <c r="L38" s="280" t="s">
        <v>129</v>
      </c>
      <c r="M38" s="211" t="s">
        <v>129</v>
      </c>
      <c r="N38" s="572">
        <v>0</v>
      </c>
      <c r="O38" s="280" t="s">
        <v>129</v>
      </c>
      <c r="P38" s="211" t="s">
        <v>129</v>
      </c>
    </row>
    <row r="39" spans="1:16" ht="15" customHeight="1" x14ac:dyDescent="0.2">
      <c r="A39" s="31">
        <v>4</v>
      </c>
      <c r="B39" s="23" t="s">
        <v>514</v>
      </c>
      <c r="C39" s="199">
        <v>239984203.19</v>
      </c>
      <c r="D39" s="204">
        <v>236715240.75999999</v>
      </c>
      <c r="E39" s="30">
        <v>196313324.53999999</v>
      </c>
      <c r="F39" s="48">
        <f t="shared" si="9"/>
        <v>0.82932270820296461</v>
      </c>
      <c r="G39" s="30">
        <v>195039368.97</v>
      </c>
      <c r="H39" s="280">
        <f t="shared" si="10"/>
        <v>0.82394090191998171</v>
      </c>
      <c r="I39" s="30">
        <v>187521706.59</v>
      </c>
      <c r="J39" s="178">
        <f t="shared" si="11"/>
        <v>0.79218264944809302</v>
      </c>
      <c r="K39" s="572">
        <v>211081884.80000001</v>
      </c>
      <c r="L39" s="280">
        <v>0.82209618992853128</v>
      </c>
      <c r="M39" s="211">
        <f t="shared" si="12"/>
        <v>-7.6001386121790082E-2</v>
      </c>
      <c r="N39" s="572">
        <v>204440019.13999999</v>
      </c>
      <c r="O39" s="280">
        <v>0.79622825503550743</v>
      </c>
      <c r="P39" s="211">
        <f t="shared" si="13"/>
        <v>-8.2754406995111718E-2</v>
      </c>
    </row>
    <row r="40" spans="1:16" ht="15" customHeight="1" x14ac:dyDescent="0.2">
      <c r="A40" s="131" t="s">
        <v>420</v>
      </c>
      <c r="B40" s="23" t="s">
        <v>515</v>
      </c>
      <c r="C40" s="199">
        <v>50177184.560000002</v>
      </c>
      <c r="D40" s="204">
        <v>55649156.140000001</v>
      </c>
      <c r="E40" s="30">
        <v>50911385.390000001</v>
      </c>
      <c r="F40" s="48">
        <f t="shared" si="9"/>
        <v>0.91486356526088375</v>
      </c>
      <c r="G40" s="30">
        <v>47859526.270000003</v>
      </c>
      <c r="H40" s="280">
        <f t="shared" si="10"/>
        <v>0.86002249790808782</v>
      </c>
      <c r="I40" s="30">
        <v>40530688.600000001</v>
      </c>
      <c r="J40" s="178">
        <f t="shared" si="11"/>
        <v>0.72832530466471868</v>
      </c>
      <c r="K40" s="572">
        <v>43882985.979999997</v>
      </c>
      <c r="L40" s="280">
        <v>0.91174991811087736</v>
      </c>
      <c r="M40" s="211">
        <f t="shared" si="12"/>
        <v>9.0616903139005833E-2</v>
      </c>
      <c r="N40" s="572">
        <v>37493206.689999998</v>
      </c>
      <c r="O40" s="280">
        <v>0.77899047582818337</v>
      </c>
      <c r="P40" s="211">
        <f t="shared" si="13"/>
        <v>8.1014193720862604E-2</v>
      </c>
    </row>
    <row r="41" spans="1:16" ht="15" customHeight="1" x14ac:dyDescent="0.2">
      <c r="A41" s="131" t="s">
        <v>419</v>
      </c>
      <c r="B41" s="23" t="s">
        <v>516</v>
      </c>
      <c r="C41" s="199">
        <v>283222598.26999998</v>
      </c>
      <c r="D41" s="204">
        <v>284625411.05000001</v>
      </c>
      <c r="E41" s="30">
        <v>276221077.12</v>
      </c>
      <c r="F41" s="48">
        <f t="shared" si="9"/>
        <v>0.97047229936710178</v>
      </c>
      <c r="G41" s="30">
        <v>275714488.06999999</v>
      </c>
      <c r="H41" s="280">
        <f t="shared" si="10"/>
        <v>0.96869245459452447</v>
      </c>
      <c r="I41" s="30">
        <v>180093520.03999999</v>
      </c>
      <c r="J41" s="178">
        <f t="shared" si="11"/>
        <v>0.63273872622835858</v>
      </c>
      <c r="K41" s="572">
        <v>278456015.69</v>
      </c>
      <c r="L41" s="280">
        <v>0.97513089092742367</v>
      </c>
      <c r="M41" s="211">
        <f t="shared" si="12"/>
        <v>-9.8454602002641112E-3</v>
      </c>
      <c r="N41" s="572">
        <v>185921069.88999999</v>
      </c>
      <c r="O41" s="280">
        <v>0.65108084691497758</v>
      </c>
      <c r="P41" s="211">
        <f t="shared" si="13"/>
        <v>-3.1344214259566461E-2</v>
      </c>
    </row>
    <row r="42" spans="1:16" ht="15" customHeight="1" x14ac:dyDescent="0.2">
      <c r="A42" s="131" t="s">
        <v>443</v>
      </c>
      <c r="B42" s="23" t="s">
        <v>517</v>
      </c>
      <c r="C42" s="199">
        <v>4757330.3899999997</v>
      </c>
      <c r="D42" s="204">
        <v>4178892.33</v>
      </c>
      <c r="E42" s="30">
        <v>3892265.4</v>
      </c>
      <c r="F42" s="48">
        <f t="shared" si="9"/>
        <v>0.93141078846604308</v>
      </c>
      <c r="G42" s="30">
        <v>3769063.01</v>
      </c>
      <c r="H42" s="280">
        <f t="shared" si="10"/>
        <v>0.90192871994861845</v>
      </c>
      <c r="I42" s="30">
        <v>2935303.51</v>
      </c>
      <c r="J42" s="178">
        <f t="shared" si="11"/>
        <v>0.70241185419582219</v>
      </c>
      <c r="K42" s="559">
        <v>4000819.65</v>
      </c>
      <c r="L42" s="280">
        <v>0.81573738616242186</v>
      </c>
      <c r="M42" s="211">
        <f t="shared" si="12"/>
        <v>-5.7927289974193164E-2</v>
      </c>
      <c r="N42" s="559">
        <v>2319868.4500000002</v>
      </c>
      <c r="O42" s="280">
        <v>0.47300393199270285</v>
      </c>
      <c r="P42" s="211">
        <f t="shared" si="13"/>
        <v>0.26528877531827266</v>
      </c>
    </row>
    <row r="43" spans="1:16" ht="15" customHeight="1" x14ac:dyDescent="0.2">
      <c r="A43" s="131" t="s">
        <v>447</v>
      </c>
      <c r="B43" s="23" t="s">
        <v>518</v>
      </c>
      <c r="C43" s="199">
        <v>36983581.259999998</v>
      </c>
      <c r="D43" s="204">
        <v>36219088.960000001</v>
      </c>
      <c r="E43" s="30">
        <v>34692339.939999998</v>
      </c>
      <c r="F43" s="48">
        <f t="shared" si="9"/>
        <v>0.9578468408831009</v>
      </c>
      <c r="G43" s="30">
        <v>34018295.68</v>
      </c>
      <c r="H43" s="280">
        <f t="shared" si="10"/>
        <v>0.93923664721576694</v>
      </c>
      <c r="I43" s="30">
        <v>20485785.23</v>
      </c>
      <c r="J43" s="178">
        <f t="shared" si="11"/>
        <v>0.56560741361065969</v>
      </c>
      <c r="K43" s="559">
        <v>33337884.27</v>
      </c>
      <c r="L43" s="280">
        <v>0.89723459957495411</v>
      </c>
      <c r="M43" s="211">
        <f t="shared" si="12"/>
        <v>2.0409555822121783E-2</v>
      </c>
      <c r="N43" s="559">
        <v>18823309.149999999</v>
      </c>
      <c r="O43" s="280">
        <v>0.50659856249707413</v>
      </c>
      <c r="P43" s="211">
        <f t="shared" si="13"/>
        <v>8.8320075219080252E-2</v>
      </c>
    </row>
    <row r="44" spans="1:16" ht="15" customHeight="1" x14ac:dyDescent="0.2">
      <c r="A44" s="131" t="s">
        <v>510</v>
      </c>
      <c r="B44" s="23" t="s">
        <v>519</v>
      </c>
      <c r="C44" s="199">
        <v>82667330.079999998</v>
      </c>
      <c r="D44" s="204">
        <v>84517808.200000003</v>
      </c>
      <c r="E44" s="30">
        <v>71743308.900000006</v>
      </c>
      <c r="F44" s="48">
        <f t="shared" si="9"/>
        <v>0.8488543471244443</v>
      </c>
      <c r="G44" s="30">
        <v>68729980.400000006</v>
      </c>
      <c r="H44" s="280">
        <f t="shared" si="10"/>
        <v>0.81320116865027747</v>
      </c>
      <c r="I44" s="30">
        <v>55479340.270000003</v>
      </c>
      <c r="J44" s="178">
        <f t="shared" si="11"/>
        <v>0.65642190032561687</v>
      </c>
      <c r="K44" s="559">
        <v>69298080.219999999</v>
      </c>
      <c r="L44" s="280">
        <v>0.73895819991233813</v>
      </c>
      <c r="M44" s="211">
        <f t="shared" si="12"/>
        <v>-8.1979157026638161E-3</v>
      </c>
      <c r="N44" s="559">
        <v>57550502.789999999</v>
      </c>
      <c r="O44" s="280">
        <v>0.6136882264376875</v>
      </c>
      <c r="P44" s="211">
        <f t="shared" ref="P44:P45" si="14">+I44/N44-1</f>
        <v>-3.5988608606211558E-2</v>
      </c>
    </row>
    <row r="45" spans="1:16" ht="25.5" x14ac:dyDescent="0.2">
      <c r="A45" s="710" t="s">
        <v>511</v>
      </c>
      <c r="B45" s="721" t="s">
        <v>778</v>
      </c>
      <c r="C45" s="199">
        <v>39407700.859999999</v>
      </c>
      <c r="D45" s="204">
        <v>50276767.590000004</v>
      </c>
      <c r="E45" s="30">
        <v>40622371.990000002</v>
      </c>
      <c r="F45" s="48">
        <f t="shared" si="9"/>
        <v>0.80797501385271531</v>
      </c>
      <c r="G45" s="30">
        <v>34495509.259999998</v>
      </c>
      <c r="H45" s="390">
        <f t="shared" si="10"/>
        <v>0.68611231217778446</v>
      </c>
      <c r="I45" s="30">
        <v>33582256.530000001</v>
      </c>
      <c r="J45" s="392">
        <f t="shared" si="11"/>
        <v>0.66794780451795543</v>
      </c>
      <c r="K45" s="572">
        <v>47544485.049999997</v>
      </c>
      <c r="L45" s="280">
        <v>0.84867429711883935</v>
      </c>
      <c r="M45" s="211">
        <f t="shared" si="12"/>
        <v>-0.2744582421342262</v>
      </c>
      <c r="N45" s="572">
        <v>44476215.759999998</v>
      </c>
      <c r="O45" s="280">
        <v>0.79390535219654979</v>
      </c>
      <c r="P45" s="211">
        <f t="shared" si="14"/>
        <v>-0.24493898691348548</v>
      </c>
    </row>
    <row r="46" spans="1:16" ht="15" customHeight="1" x14ac:dyDescent="0.2">
      <c r="A46" s="710" t="s">
        <v>421</v>
      </c>
      <c r="B46" s="24" t="s">
        <v>23</v>
      </c>
      <c r="C46" s="199">
        <v>298770260.13</v>
      </c>
      <c r="D46" s="204">
        <v>285701944.60000002</v>
      </c>
      <c r="E46" s="30">
        <v>254818817.61000001</v>
      </c>
      <c r="F46" s="48">
        <f>+E46/D46</f>
        <v>0.89190438646387848</v>
      </c>
      <c r="G46" s="30">
        <v>254818817.61000001</v>
      </c>
      <c r="H46" s="390">
        <f t="shared" si="10"/>
        <v>0.89190438646387848</v>
      </c>
      <c r="I46" s="30">
        <v>208423245.41999999</v>
      </c>
      <c r="J46" s="392">
        <f t="shared" si="11"/>
        <v>0.72951286947593275</v>
      </c>
      <c r="K46" s="573">
        <v>228806659.72</v>
      </c>
      <c r="L46" s="390">
        <v>0.59237092805541225</v>
      </c>
      <c r="M46" s="211">
        <f t="shared" si="12"/>
        <v>0.11368619218440656</v>
      </c>
      <c r="N46" s="573">
        <v>218169536.12</v>
      </c>
      <c r="O46" s="390">
        <v>0.56483185735492192</v>
      </c>
      <c r="P46" s="211">
        <f>+I46/N46-1</f>
        <v>-4.4673013809954032E-2</v>
      </c>
    </row>
    <row r="47" spans="1:16" ht="15" customHeight="1" x14ac:dyDescent="0.2">
      <c r="A47" s="31">
        <v>8</v>
      </c>
      <c r="B47" s="518" t="s">
        <v>520</v>
      </c>
      <c r="C47" s="200">
        <v>72658648.889999986</v>
      </c>
      <c r="D47" s="511">
        <v>76008951.140000001</v>
      </c>
      <c r="E47" s="180">
        <v>68687820.909999996</v>
      </c>
      <c r="F47" s="78">
        <f t="shared" si="9"/>
        <v>0.90368068339062724</v>
      </c>
      <c r="G47" s="180">
        <v>66694851.390000001</v>
      </c>
      <c r="H47" s="390">
        <f t="shared" si="10"/>
        <v>0.87746048839899837</v>
      </c>
      <c r="I47" s="180">
        <v>49036380.869999997</v>
      </c>
      <c r="J47" s="392">
        <f t="shared" si="11"/>
        <v>0.64513955441485382</v>
      </c>
      <c r="K47" s="573">
        <v>167484460.05000001</v>
      </c>
      <c r="L47" s="390">
        <v>0.96185567547743278</v>
      </c>
      <c r="M47" s="515">
        <f t="shared" si="12"/>
        <v>-0.60178483800772176</v>
      </c>
      <c r="N47" s="573">
        <v>143111048.16999999</v>
      </c>
      <c r="O47" s="390">
        <v>0.82188027393553253</v>
      </c>
      <c r="P47" s="515">
        <f>+I47/N47-1</f>
        <v>-0.65735433080086003</v>
      </c>
    </row>
    <row r="48" spans="1:16" ht="15" customHeight="1" x14ac:dyDescent="0.2">
      <c r="A48" s="9"/>
      <c r="B48" s="2" t="s">
        <v>24</v>
      </c>
      <c r="C48" s="519">
        <f>SUM(C36:C47)</f>
        <v>1823270872.8799996</v>
      </c>
      <c r="D48" s="207">
        <f>SUM(D36:D47)</f>
        <v>1838503770.9599998</v>
      </c>
      <c r="E48" s="203">
        <f>SUM(E36:E47)</f>
        <v>1619052232.99</v>
      </c>
      <c r="F48" s="90">
        <f t="shared" ref="F48:F60" si="15">+E48/D48</f>
        <v>0.88063579665359615</v>
      </c>
      <c r="G48" s="203">
        <f>SUM(G36:G47)</f>
        <v>1590000321.8700001</v>
      </c>
      <c r="H48" s="90">
        <f t="shared" ref="H48:H60" si="16">+G48/D48</f>
        <v>0.86483386489860703</v>
      </c>
      <c r="I48" s="203">
        <f>SUM(I36:I47)</f>
        <v>1252062350.3599999</v>
      </c>
      <c r="J48" s="170">
        <f t="shared" ref="J48:J60" si="17">+I48/D48</f>
        <v>0.68102245431143094</v>
      </c>
      <c r="K48" s="612">
        <f>SUM(K36:K47)</f>
        <v>1524135985.1399999</v>
      </c>
      <c r="L48" s="90">
        <v>0.83018227602559858</v>
      </c>
      <c r="M48" s="213">
        <f t="shared" si="12"/>
        <v>4.3214212755399384E-2</v>
      </c>
      <c r="N48" s="612">
        <f>SUM(N36:N47)</f>
        <v>1287869928.6599998</v>
      </c>
      <c r="O48" s="90">
        <v>0.70149041753756336</v>
      </c>
      <c r="P48" s="213">
        <f t="shared" ref="P48:P60" si="18">+I48/N48-1</f>
        <v>-2.7803722645544648E-2</v>
      </c>
    </row>
    <row r="49" spans="1:16" ht="15" customHeight="1" x14ac:dyDescent="0.2">
      <c r="A49" s="29">
        <v>1</v>
      </c>
      <c r="B49" s="21" t="s">
        <v>25</v>
      </c>
      <c r="C49" s="199">
        <v>48396785.019999996</v>
      </c>
      <c r="D49" s="204">
        <v>49640729.719999999</v>
      </c>
      <c r="E49" s="30">
        <v>47901345.039999999</v>
      </c>
      <c r="F49" s="48">
        <f t="shared" si="15"/>
        <v>0.96496053362206702</v>
      </c>
      <c r="G49" s="30">
        <v>47575497.229999997</v>
      </c>
      <c r="H49" s="48">
        <f t="shared" si="16"/>
        <v>0.95839641154251742</v>
      </c>
      <c r="I49" s="30">
        <v>37341905.170000002</v>
      </c>
      <c r="J49" s="153">
        <f t="shared" si="17"/>
        <v>0.75224327645117472</v>
      </c>
      <c r="K49" s="571">
        <v>46376384.039999999</v>
      </c>
      <c r="L49" s="48">
        <v>0.96660101708486701</v>
      </c>
      <c r="M49" s="210">
        <f t="shared" si="12"/>
        <v>2.5856116530468487E-2</v>
      </c>
      <c r="N49" s="571">
        <v>36178486.93</v>
      </c>
      <c r="O49" s="48">
        <v>0.75405107549927841</v>
      </c>
      <c r="P49" s="210">
        <f>+I49/N49-1</f>
        <v>3.2157736232890199E-2</v>
      </c>
    </row>
    <row r="50" spans="1:16" ht="15" customHeight="1" x14ac:dyDescent="0.2">
      <c r="A50" s="31">
        <v>2</v>
      </c>
      <c r="B50" s="23" t="s">
        <v>26</v>
      </c>
      <c r="C50" s="199">
        <v>42470037.759999998</v>
      </c>
      <c r="D50" s="204">
        <v>43800606.840000004</v>
      </c>
      <c r="E50" s="30">
        <v>41664563.880000003</v>
      </c>
      <c r="F50" s="280">
        <f t="shared" si="15"/>
        <v>0.95123257155311136</v>
      </c>
      <c r="G50" s="30">
        <v>41451414.18</v>
      </c>
      <c r="H50" s="280">
        <f t="shared" si="16"/>
        <v>0.94636620746873645</v>
      </c>
      <c r="I50" s="30">
        <v>33471859.800000001</v>
      </c>
      <c r="J50" s="178">
        <f t="shared" si="17"/>
        <v>0.76418712467317951</v>
      </c>
      <c r="K50" s="572">
        <v>39857173.670000002</v>
      </c>
      <c r="L50" s="280">
        <v>0.94189852372894078</v>
      </c>
      <c r="M50" s="211">
        <f t="shared" si="12"/>
        <v>3.9998834919896975E-2</v>
      </c>
      <c r="N50" s="572">
        <v>31814784.030000001</v>
      </c>
      <c r="O50" s="280">
        <v>0.75184202368988695</v>
      </c>
      <c r="P50" s="211">
        <f>+I50/N50-1</f>
        <v>5.2085086242843692E-2</v>
      </c>
    </row>
    <row r="51" spans="1:16" ht="15" customHeight="1" x14ac:dyDescent="0.2">
      <c r="A51" s="35">
        <v>3</v>
      </c>
      <c r="B51" s="23" t="s">
        <v>27</v>
      </c>
      <c r="C51" s="199">
        <v>36541747.380000003</v>
      </c>
      <c r="D51" s="204">
        <v>37434868.780000001</v>
      </c>
      <c r="E51" s="30">
        <v>35911612.100000001</v>
      </c>
      <c r="F51" s="280">
        <f t="shared" si="15"/>
        <v>0.95930914867227168</v>
      </c>
      <c r="G51" s="30">
        <v>35523668.539999999</v>
      </c>
      <c r="H51" s="280">
        <f t="shared" si="16"/>
        <v>0.94894598799766372</v>
      </c>
      <c r="I51" s="30">
        <v>27637828.530000001</v>
      </c>
      <c r="J51" s="178">
        <f t="shared" si="17"/>
        <v>0.73829104871247264</v>
      </c>
      <c r="K51" s="572">
        <v>34127201.390000001</v>
      </c>
      <c r="L51" s="280">
        <v>0.9315974361925965</v>
      </c>
      <c r="M51" s="211">
        <f t="shared" si="12"/>
        <v>4.0919474586896376E-2</v>
      </c>
      <c r="N51" s="572">
        <v>27079915.859999999</v>
      </c>
      <c r="O51" s="280">
        <v>0.73922206216649955</v>
      </c>
      <c r="P51" s="211">
        <f t="shared" si="18"/>
        <v>2.0602452122980841E-2</v>
      </c>
    </row>
    <row r="52" spans="1:16" ht="15" customHeight="1" x14ac:dyDescent="0.2">
      <c r="A52" s="35">
        <v>4</v>
      </c>
      <c r="B52" s="23" t="s">
        <v>28</v>
      </c>
      <c r="C52" s="199">
        <v>15926491.469999999</v>
      </c>
      <c r="D52" s="204">
        <v>16373158.24</v>
      </c>
      <c r="E52" s="30">
        <v>15313984.76</v>
      </c>
      <c r="F52" s="280">
        <f t="shared" si="15"/>
        <v>0.93531037418227503</v>
      </c>
      <c r="G52" s="30">
        <v>14969832.619999999</v>
      </c>
      <c r="H52" s="280">
        <f t="shared" si="16"/>
        <v>0.91429108548089122</v>
      </c>
      <c r="I52" s="30">
        <v>11790248.32</v>
      </c>
      <c r="J52" s="178">
        <f t="shared" si="17"/>
        <v>0.72009615659831305</v>
      </c>
      <c r="K52" s="572">
        <v>14800256.970000001</v>
      </c>
      <c r="L52" s="280">
        <v>0.9195968162383662</v>
      </c>
      <c r="M52" s="211">
        <f t="shared" si="12"/>
        <v>1.1457615252473463E-2</v>
      </c>
      <c r="N52" s="572">
        <v>11957769.880000001</v>
      </c>
      <c r="O52" s="280">
        <v>0.74298217478578221</v>
      </c>
      <c r="P52" s="211">
        <f t="shared" si="18"/>
        <v>-1.4009431665028882E-2</v>
      </c>
    </row>
    <row r="53" spans="1:16" ht="15" customHeight="1" x14ac:dyDescent="0.2">
      <c r="A53" s="35">
        <v>5</v>
      </c>
      <c r="B53" s="23" t="s">
        <v>29</v>
      </c>
      <c r="C53" s="199">
        <v>21490346.219999999</v>
      </c>
      <c r="D53" s="204">
        <v>22328352.280000001</v>
      </c>
      <c r="E53" s="30">
        <v>20629341.030000001</v>
      </c>
      <c r="F53" s="280">
        <f t="shared" si="15"/>
        <v>0.92390789841121224</v>
      </c>
      <c r="G53" s="30">
        <v>20475021.170000002</v>
      </c>
      <c r="H53" s="280">
        <f t="shared" si="16"/>
        <v>0.91699651247172098</v>
      </c>
      <c r="I53" s="30">
        <v>15648594.390000001</v>
      </c>
      <c r="J53" s="178">
        <f t="shared" si="17"/>
        <v>0.70083964072963834</v>
      </c>
      <c r="K53" s="572">
        <v>20653722.07</v>
      </c>
      <c r="L53" s="280">
        <v>0.93977695335591338</v>
      </c>
      <c r="M53" s="211">
        <f t="shared" si="12"/>
        <v>-8.6522370831921824E-3</v>
      </c>
      <c r="N53" s="572">
        <v>16500380.199999999</v>
      </c>
      <c r="O53" s="280">
        <v>0.75079334276963261</v>
      </c>
      <c r="P53" s="211">
        <f t="shared" si="18"/>
        <v>-5.1622192923772681E-2</v>
      </c>
    </row>
    <row r="54" spans="1:16" ht="15" customHeight="1" x14ac:dyDescent="0.2">
      <c r="A54" s="35">
        <v>6</v>
      </c>
      <c r="B54" s="23" t="s">
        <v>30</v>
      </c>
      <c r="C54" s="199">
        <v>25137763.800000001</v>
      </c>
      <c r="D54" s="204">
        <v>25604824.699999999</v>
      </c>
      <c r="E54" s="30">
        <v>24354122.41</v>
      </c>
      <c r="F54" s="280">
        <f t="shared" si="15"/>
        <v>0.95115364761704468</v>
      </c>
      <c r="G54" s="30">
        <v>24161154.34</v>
      </c>
      <c r="H54" s="280">
        <f t="shared" si="16"/>
        <v>0.94361725272815478</v>
      </c>
      <c r="I54" s="30">
        <v>19941829.760000002</v>
      </c>
      <c r="J54" s="178">
        <f t="shared" si="17"/>
        <v>0.77883094274806741</v>
      </c>
      <c r="K54" s="572">
        <v>23840922.850000001</v>
      </c>
      <c r="L54" s="280">
        <v>0.94742946829935182</v>
      </c>
      <c r="M54" s="211">
        <f t="shared" si="12"/>
        <v>1.3432008987856792E-2</v>
      </c>
      <c r="N54" s="572">
        <v>19777796.780000001</v>
      </c>
      <c r="O54" s="280">
        <v>0.7859623390127296</v>
      </c>
      <c r="P54" s="211">
        <f t="shared" si="18"/>
        <v>8.2937943909846545E-3</v>
      </c>
    </row>
    <row r="55" spans="1:16" ht="15" customHeight="1" x14ac:dyDescent="0.2">
      <c r="A55" s="35">
        <v>7</v>
      </c>
      <c r="B55" s="23" t="s">
        <v>31</v>
      </c>
      <c r="C55" s="199">
        <v>31142719.069999997</v>
      </c>
      <c r="D55" s="204">
        <v>31672137.34</v>
      </c>
      <c r="E55" s="30">
        <v>30251669.879999999</v>
      </c>
      <c r="F55" s="280">
        <f t="shared" si="15"/>
        <v>0.95515088089094524</v>
      </c>
      <c r="G55" s="30">
        <v>29928222.170000002</v>
      </c>
      <c r="H55" s="280">
        <f t="shared" si="16"/>
        <v>0.94493850695079118</v>
      </c>
      <c r="I55" s="30">
        <v>24620624.41</v>
      </c>
      <c r="J55" s="178">
        <f t="shared" si="17"/>
        <v>0.77735910733456048</v>
      </c>
      <c r="K55" s="572">
        <v>29548787.870000001</v>
      </c>
      <c r="L55" s="280">
        <v>0.93784207768754868</v>
      </c>
      <c r="M55" s="211">
        <f t="shared" si="12"/>
        <v>1.2840942974355674E-2</v>
      </c>
      <c r="N55" s="572">
        <v>24222296.649999999</v>
      </c>
      <c r="O55" s="280">
        <v>0.76878581674965163</v>
      </c>
      <c r="P55" s="211">
        <f t="shared" si="18"/>
        <v>1.6444673507043372E-2</v>
      </c>
    </row>
    <row r="56" spans="1:16" ht="15" customHeight="1" x14ac:dyDescent="0.2">
      <c r="A56" s="35">
        <v>8</v>
      </c>
      <c r="B56" s="23" t="s">
        <v>32</v>
      </c>
      <c r="C56" s="199">
        <v>34307400.759999998</v>
      </c>
      <c r="D56" s="204">
        <v>35621448.539999999</v>
      </c>
      <c r="E56" s="30">
        <v>32922757.82</v>
      </c>
      <c r="F56" s="280">
        <f t="shared" si="15"/>
        <v>0.92423972548534661</v>
      </c>
      <c r="G56" s="30">
        <v>32488885.100000001</v>
      </c>
      <c r="H56" s="280">
        <f t="shared" si="16"/>
        <v>0.91205962788171335</v>
      </c>
      <c r="I56" s="30">
        <v>24954515.600000001</v>
      </c>
      <c r="J56" s="178">
        <f t="shared" si="17"/>
        <v>0.70054746852807248</v>
      </c>
      <c r="K56" s="572">
        <v>31377932.52</v>
      </c>
      <c r="L56" s="280">
        <v>0.92983016915325278</v>
      </c>
      <c r="M56" s="211">
        <f t="shared" si="12"/>
        <v>3.5405537929941389E-2</v>
      </c>
      <c r="N56" s="572">
        <v>25574488.140000001</v>
      </c>
      <c r="O56" s="280">
        <v>0.7578552416755614</v>
      </c>
      <c r="P56" s="211">
        <f t="shared" si="18"/>
        <v>-2.4241835715582694E-2</v>
      </c>
    </row>
    <row r="57" spans="1:16" ht="15" customHeight="1" x14ac:dyDescent="0.2">
      <c r="A57" s="35">
        <v>9</v>
      </c>
      <c r="B57" s="23" t="s">
        <v>33</v>
      </c>
      <c r="C57" s="199">
        <v>28673688.939999998</v>
      </c>
      <c r="D57" s="204">
        <v>29241774.719999999</v>
      </c>
      <c r="E57" s="30">
        <v>27287801.93</v>
      </c>
      <c r="F57" s="280">
        <f t="shared" si="15"/>
        <v>0.93317872089810017</v>
      </c>
      <c r="G57" s="30">
        <v>26896758.460000001</v>
      </c>
      <c r="H57" s="280">
        <f t="shared" si="16"/>
        <v>0.91980595287206979</v>
      </c>
      <c r="I57" s="30">
        <v>20707684.739999998</v>
      </c>
      <c r="J57" s="178">
        <f t="shared" si="17"/>
        <v>0.708154171156955</v>
      </c>
      <c r="K57" s="572">
        <v>26435747.530000001</v>
      </c>
      <c r="L57" s="280">
        <v>0.90504191963563407</v>
      </c>
      <c r="M57" s="211">
        <f t="shared" si="12"/>
        <v>1.7438921652464412E-2</v>
      </c>
      <c r="N57" s="572">
        <v>20815070.140000001</v>
      </c>
      <c r="O57" s="280">
        <v>0.71261503066926768</v>
      </c>
      <c r="P57" s="211">
        <f t="shared" si="18"/>
        <v>-5.1590217701761309E-3</v>
      </c>
    </row>
    <row r="58" spans="1:16" ht="15" customHeight="1" x14ac:dyDescent="0.2">
      <c r="A58" s="36">
        <v>10</v>
      </c>
      <c r="B58" s="24" t="s">
        <v>34</v>
      </c>
      <c r="C58" s="200">
        <v>44042057.960000001</v>
      </c>
      <c r="D58" s="511">
        <v>44527927.829999998</v>
      </c>
      <c r="E58" s="34">
        <v>43109209.340000004</v>
      </c>
      <c r="F58" s="390">
        <f t="shared" si="15"/>
        <v>0.96813868151654359</v>
      </c>
      <c r="G58" s="180">
        <v>42855147.219999999</v>
      </c>
      <c r="H58" s="390">
        <f t="shared" si="16"/>
        <v>0.96243300123045494</v>
      </c>
      <c r="I58" s="180">
        <v>33727725.289999999</v>
      </c>
      <c r="J58" s="392">
        <f t="shared" si="17"/>
        <v>0.75745104103578942</v>
      </c>
      <c r="K58" s="573">
        <v>41622841.420000002</v>
      </c>
      <c r="L58" s="390">
        <v>0.95066625471291766</v>
      </c>
      <c r="M58" s="515">
        <f t="shared" si="12"/>
        <v>2.9606479470377201E-2</v>
      </c>
      <c r="N58" s="573">
        <v>33464651.120000001</v>
      </c>
      <c r="O58" s="390">
        <v>0.76433307915009818</v>
      </c>
      <c r="P58" s="515">
        <f t="shared" si="18"/>
        <v>7.8612554201340501E-3</v>
      </c>
    </row>
    <row r="59" spans="1:16" ht="15" customHeight="1" thickBot="1" x14ac:dyDescent="0.25">
      <c r="A59" s="10">
        <v>6</v>
      </c>
      <c r="B59" s="2" t="s">
        <v>35</v>
      </c>
      <c r="C59" s="522">
        <f>SUM(C49:C58)</f>
        <v>328129038.37999994</v>
      </c>
      <c r="D59" s="551">
        <f>SUM(D49:D58)</f>
        <v>336245828.98999995</v>
      </c>
      <c r="E59" s="203">
        <f>SUM(E49:E58)</f>
        <v>319346408.18999994</v>
      </c>
      <c r="F59" s="90">
        <f t="shared" si="15"/>
        <v>0.94974087604071777</v>
      </c>
      <c r="G59" s="523">
        <f>SUM(G49:G58)</f>
        <v>316325601.02999997</v>
      </c>
      <c r="H59" s="90">
        <f t="shared" si="16"/>
        <v>0.94075695148446759</v>
      </c>
      <c r="I59" s="523">
        <f>SUM(I49:I58)</f>
        <v>249842816.00999999</v>
      </c>
      <c r="J59" s="170">
        <f t="shared" si="17"/>
        <v>0.74303617909690234</v>
      </c>
      <c r="K59" s="612">
        <f>SUM(K49:K58)</f>
        <v>308640970.33000004</v>
      </c>
      <c r="L59" s="90">
        <v>0.93980878230009268</v>
      </c>
      <c r="M59" s="213">
        <f t="shared" si="12"/>
        <v>2.4898284540070925E-2</v>
      </c>
      <c r="N59" s="612">
        <f>SUM(N49:N58)</f>
        <v>247385639.73000002</v>
      </c>
      <c r="O59" s="90">
        <v>0.75328689054015108</v>
      </c>
      <c r="P59" s="213">
        <f t="shared" si="18"/>
        <v>9.9325744318941034E-3</v>
      </c>
    </row>
    <row r="60" spans="1:16" s="6" customFormat="1" ht="23.25" customHeight="1" thickBot="1" x14ac:dyDescent="0.25">
      <c r="A60" s="5"/>
      <c r="B60" s="4" t="s">
        <v>130</v>
      </c>
      <c r="C60" s="202">
        <f>+C48+C59</f>
        <v>2151399911.2599998</v>
      </c>
      <c r="D60" s="208">
        <f>+D48+D59</f>
        <v>2174749599.9499998</v>
      </c>
      <c r="E60" s="209">
        <f>+E48+E59</f>
        <v>1938398641.1799998</v>
      </c>
      <c r="F60" s="181">
        <f t="shared" si="15"/>
        <v>0.89132038061971186</v>
      </c>
      <c r="G60" s="209">
        <f>+G48+G59</f>
        <v>1906325922.9000001</v>
      </c>
      <c r="H60" s="181">
        <f t="shared" si="16"/>
        <v>0.87657260539044535</v>
      </c>
      <c r="I60" s="209">
        <f>+I48+I59</f>
        <v>1501905166.3699999</v>
      </c>
      <c r="J60" s="173">
        <f t="shared" si="17"/>
        <v>0.6906106185303037</v>
      </c>
      <c r="K60" s="613">
        <f>K48+K59</f>
        <v>1832776955.4699998</v>
      </c>
      <c r="L60" s="181">
        <v>0.84681676572578946</v>
      </c>
      <c r="M60" s="600">
        <f t="shared" si="12"/>
        <v>4.0129797142249179E-2</v>
      </c>
      <c r="N60" s="613">
        <f>+N59+N48</f>
        <v>1535255568.3899999</v>
      </c>
      <c r="O60" s="181">
        <v>0.70934990267440035</v>
      </c>
      <c r="P60" s="600">
        <f t="shared" si="18"/>
        <v>-2.1723029511610314E-2</v>
      </c>
    </row>
    <row r="61" spans="1:16" ht="32.450000000000003" customHeight="1" x14ac:dyDescent="0.2">
      <c r="A61" s="711" t="s">
        <v>772</v>
      </c>
      <c r="B61" s="778" t="s">
        <v>773</v>
      </c>
      <c r="C61" s="779"/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</row>
    <row r="65" spans="3:14" x14ac:dyDescent="0.2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">
      <c r="L138" s="679"/>
      <c r="O138" s="679"/>
    </row>
    <row r="139" spans="12:15" x14ac:dyDescent="0.2">
      <c r="L139" s="679"/>
      <c r="N139" s="46"/>
      <c r="O139" s="679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10" zoomScale="110" zoomScaleNormal="110" workbookViewId="0">
      <selection activeCell="E32" sqref="E32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customWidth="1"/>
    <col min="12" max="12" width="6.28515625" style="97" customWidth="1"/>
    <col min="13" max="13" width="8.140625" style="97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82" t="s">
        <v>505</v>
      </c>
      <c r="C18" s="783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"/>
  <sheetViews>
    <sheetView topLeftCell="C1" workbookViewId="0">
      <selection activeCell="O21" sqref="O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2.7109375" style="46" bestFit="1" customWidth="1"/>
    <col min="5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710937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2.7109375" style="46" bestFit="1" customWidth="1"/>
    <col min="15" max="15" width="9.28515625" style="442" bestFit="1" customWidth="1"/>
    <col min="16" max="16" width="9" style="97" bestFit="1" customWidth="1"/>
  </cols>
  <sheetData>
    <row r="1" spans="1:16384" ht="15.75" thickBot="1" x14ac:dyDescent="0.3">
      <c r="A1" s="7" t="s">
        <v>776</v>
      </c>
    </row>
    <row r="2" spans="1:16384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384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6" t="s">
        <v>544</v>
      </c>
      <c r="M3" s="88" t="s">
        <v>545</v>
      </c>
      <c r="N3" s="217" t="s">
        <v>39</v>
      </c>
      <c r="O3" s="636" t="s">
        <v>40</v>
      </c>
      <c r="P3" s="604" t="s">
        <v>362</v>
      </c>
    </row>
    <row r="4" spans="1:16384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4" t="s">
        <v>17</v>
      </c>
      <c r="O4" s="637" t="s">
        <v>18</v>
      </c>
      <c r="P4" s="580" t="s">
        <v>764</v>
      </c>
    </row>
    <row r="5" spans="1:16384" ht="15" customHeight="1" x14ac:dyDescent="0.2">
      <c r="A5" s="21">
        <v>1</v>
      </c>
      <c r="B5" s="21" t="s">
        <v>0</v>
      </c>
      <c r="C5" s="159">
        <v>331387995.62</v>
      </c>
      <c r="D5" s="204">
        <v>329149998.20999998</v>
      </c>
      <c r="E5" s="30">
        <v>264898811.56999999</v>
      </c>
      <c r="F5" s="48">
        <f t="shared" ref="F5:F13" si="0">E5/D5</f>
        <v>0.8047966368238979</v>
      </c>
      <c r="G5" s="30">
        <v>264560385.66</v>
      </c>
      <c r="H5" s="48">
        <f t="shared" ref="H5:H13" si="1">G5/D5</f>
        <v>0.80376845541165287</v>
      </c>
      <c r="I5" s="30">
        <v>264017573.43000001</v>
      </c>
      <c r="J5" s="153">
        <f t="shared" ref="J5:J13" si="2">I5/D5</f>
        <v>0.80211932208960535</v>
      </c>
      <c r="K5" s="30">
        <v>291723487.39999998</v>
      </c>
      <c r="L5" s="48">
        <v>0.77400000000000002</v>
      </c>
      <c r="M5" s="210">
        <f>+G5/K5-1</f>
        <v>-9.3112494924877165E-2</v>
      </c>
      <c r="N5" s="682">
        <v>291417083.48000002</v>
      </c>
      <c r="O5" s="48">
        <v>0.77300000000000002</v>
      </c>
      <c r="P5" s="210">
        <f>+I5/N5-1</f>
        <v>-9.4021632921463372E-2</v>
      </c>
    </row>
    <row r="6" spans="1:16384" ht="15" customHeight="1" x14ac:dyDescent="0.2">
      <c r="A6" s="23">
        <v>2</v>
      </c>
      <c r="B6" s="23" t="s">
        <v>1</v>
      </c>
      <c r="C6" s="160">
        <v>489247858.38999999</v>
      </c>
      <c r="D6" s="205">
        <v>473974250.22000003</v>
      </c>
      <c r="E6" s="32">
        <v>438387579.85000002</v>
      </c>
      <c r="F6" s="48">
        <f t="shared" si="0"/>
        <v>0.92491855759362018</v>
      </c>
      <c r="G6" s="32">
        <v>419905457.31999999</v>
      </c>
      <c r="H6" s="48">
        <f t="shared" si="1"/>
        <v>0.88592461958660529</v>
      </c>
      <c r="I6" s="32">
        <v>271927437.25999999</v>
      </c>
      <c r="J6" s="153">
        <f t="shared" si="2"/>
        <v>0.57371774338749848</v>
      </c>
      <c r="K6" s="32">
        <v>402035935.18000001</v>
      </c>
      <c r="L6" s="280">
        <v>0.89400000000000002</v>
      </c>
      <c r="M6" s="210">
        <f>+G6/K6-1</f>
        <v>4.4447574399038237E-2</v>
      </c>
      <c r="N6" s="32">
        <v>256071922.00999999</v>
      </c>
      <c r="O6" s="280">
        <v>0.56999999999999995</v>
      </c>
      <c r="P6" s="210">
        <f>+I6/N6-1</f>
        <v>6.1918210811807928E-2</v>
      </c>
    </row>
    <row r="7" spans="1:16384" ht="15" customHeight="1" x14ac:dyDescent="0.2">
      <c r="A7" s="23">
        <v>3</v>
      </c>
      <c r="B7" s="23" t="s">
        <v>2</v>
      </c>
      <c r="C7" s="160">
        <v>22100000</v>
      </c>
      <c r="D7" s="205">
        <v>22100000</v>
      </c>
      <c r="E7" s="32">
        <v>17398374.370000001</v>
      </c>
      <c r="F7" s="48">
        <f t="shared" si="0"/>
        <v>0.78725675882352941</v>
      </c>
      <c r="G7" s="32">
        <v>17398374.370000001</v>
      </c>
      <c r="H7" s="48">
        <f t="shared" si="1"/>
        <v>0.78725675882352941</v>
      </c>
      <c r="I7" s="32">
        <v>17398374.370000001</v>
      </c>
      <c r="J7" s="153">
        <f t="shared" si="2"/>
        <v>0.78725675882352941</v>
      </c>
      <c r="K7" s="32">
        <v>18448656.73</v>
      </c>
      <c r="L7" s="280">
        <v>0.74199999999999999</v>
      </c>
      <c r="M7" s="210">
        <f>+G7/K7-1</f>
        <v>-5.6930018015463379E-2</v>
      </c>
      <c r="N7" s="32">
        <v>18448656.73</v>
      </c>
      <c r="O7" s="280">
        <v>0.74199999999999999</v>
      </c>
      <c r="P7" s="210">
        <f>+I7/N7-1</f>
        <v>-5.6930018015463379E-2</v>
      </c>
    </row>
    <row r="8" spans="1:16384" ht="15" customHeight="1" x14ac:dyDescent="0.2">
      <c r="A8" s="24">
        <v>4</v>
      </c>
      <c r="B8" s="24" t="s">
        <v>3</v>
      </c>
      <c r="C8" s="161">
        <v>967337199.97000003</v>
      </c>
      <c r="D8" s="206">
        <v>1006371230.16</v>
      </c>
      <c r="E8" s="34">
        <v>898367467.20000005</v>
      </c>
      <c r="F8" s="390">
        <f t="shared" si="0"/>
        <v>0.8926799974768469</v>
      </c>
      <c r="G8" s="34">
        <v>888136104.51999998</v>
      </c>
      <c r="H8" s="390">
        <f t="shared" si="1"/>
        <v>0.88251340847531767</v>
      </c>
      <c r="I8" s="34">
        <v>698718965.29999995</v>
      </c>
      <c r="J8" s="392">
        <f t="shared" si="2"/>
        <v>0.69429544919414354</v>
      </c>
      <c r="K8" s="34">
        <v>811927905.83000004</v>
      </c>
      <c r="L8" s="390">
        <v>0.83</v>
      </c>
      <c r="M8" s="515">
        <f>+G8/K8-1</f>
        <v>9.3860794958261051E-2</v>
      </c>
      <c r="N8" s="34">
        <v>721932266.44000006</v>
      </c>
      <c r="O8" s="390">
        <v>0.73799999999999999</v>
      </c>
      <c r="P8" s="515">
        <f>+I8/N8-1</f>
        <v>-3.2154403147084398E-2</v>
      </c>
    </row>
    <row r="9" spans="1:16384" ht="15" customHeight="1" x14ac:dyDescent="0.2">
      <c r="A9" s="24">
        <v>5</v>
      </c>
      <c r="B9" s="24" t="s">
        <v>453</v>
      </c>
      <c r="C9" s="161">
        <v>13197818.9</v>
      </c>
      <c r="D9" s="206">
        <v>6908292.3700000001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 t="shared" si="2"/>
        <v>0</v>
      </c>
      <c r="K9" s="34">
        <v>0</v>
      </c>
      <c r="L9" s="390">
        <v>0</v>
      </c>
      <c r="M9" s="515" t="s">
        <v>129</v>
      </c>
      <c r="N9" s="34">
        <v>0</v>
      </c>
      <c r="O9" s="390">
        <v>0</v>
      </c>
      <c r="P9" s="515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5"/>
      <c r="AD9" s="34"/>
      <c r="AE9" s="390"/>
      <c r="AF9" s="515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5"/>
      <c r="AT9" s="34"/>
      <c r="AU9" s="390"/>
      <c r="AV9" s="515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5"/>
      <c r="BJ9" s="34"/>
      <c r="BK9" s="390"/>
      <c r="BL9" s="515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5"/>
      <c r="BZ9" s="34"/>
      <c r="CA9" s="390"/>
      <c r="CB9" s="515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5"/>
      <c r="CP9" s="34"/>
      <c r="CQ9" s="390"/>
      <c r="CR9" s="515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5"/>
      <c r="DF9" s="34"/>
      <c r="DG9" s="390"/>
      <c r="DH9" s="515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5"/>
      <c r="DV9" s="34"/>
      <c r="DW9" s="390"/>
      <c r="DX9" s="515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5"/>
      <c r="EL9" s="34"/>
      <c r="EM9" s="390"/>
      <c r="EN9" s="515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5"/>
      <c r="FB9" s="34"/>
      <c r="FC9" s="390"/>
      <c r="FD9" s="515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5"/>
      <c r="FR9" s="34"/>
      <c r="FS9" s="390"/>
      <c r="FT9" s="515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5"/>
      <c r="GH9" s="34"/>
      <c r="GI9" s="390"/>
      <c r="GJ9" s="515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5"/>
      <c r="GX9" s="34"/>
      <c r="GY9" s="390"/>
      <c r="GZ9" s="515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5"/>
      <c r="HN9" s="34"/>
      <c r="HO9" s="390"/>
      <c r="HP9" s="515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5"/>
      <c r="ID9" s="34"/>
      <c r="IE9" s="390"/>
      <c r="IF9" s="515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5"/>
      <c r="IT9" s="34"/>
      <c r="IU9" s="390"/>
      <c r="IV9" s="515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5"/>
      <c r="JJ9" s="34"/>
      <c r="JK9" s="390"/>
      <c r="JL9" s="515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5"/>
      <c r="JZ9" s="34"/>
      <c r="KA9" s="390"/>
      <c r="KB9" s="515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5"/>
      <c r="KP9" s="34"/>
      <c r="KQ9" s="390"/>
      <c r="KR9" s="515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5"/>
      <c r="LF9" s="34"/>
      <c r="LG9" s="390"/>
      <c r="LH9" s="515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5"/>
      <c r="LV9" s="34"/>
      <c r="LW9" s="390"/>
      <c r="LX9" s="515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5"/>
      <c r="ML9" s="34"/>
      <c r="MM9" s="390"/>
      <c r="MN9" s="515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5"/>
      <c r="NB9" s="34"/>
      <c r="NC9" s="390"/>
      <c r="ND9" s="515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5"/>
      <c r="NR9" s="34"/>
      <c r="NS9" s="390"/>
      <c r="NT9" s="515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5"/>
      <c r="OH9" s="34"/>
      <c r="OI9" s="390"/>
      <c r="OJ9" s="515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5"/>
      <c r="OX9" s="34"/>
      <c r="OY9" s="390"/>
      <c r="OZ9" s="515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5"/>
      <c r="PN9" s="34"/>
      <c r="PO9" s="390"/>
      <c r="PP9" s="515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5"/>
      <c r="QD9" s="34"/>
      <c r="QE9" s="390"/>
      <c r="QF9" s="515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5"/>
      <c r="QT9" s="34"/>
      <c r="QU9" s="390"/>
      <c r="QV9" s="515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5"/>
      <c r="RJ9" s="34"/>
      <c r="RK9" s="390"/>
      <c r="RL9" s="515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5"/>
      <c r="RZ9" s="34"/>
      <c r="SA9" s="390"/>
      <c r="SB9" s="515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5"/>
      <c r="SP9" s="34"/>
      <c r="SQ9" s="390"/>
      <c r="SR9" s="515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5"/>
      <c r="TF9" s="34"/>
      <c r="TG9" s="390"/>
      <c r="TH9" s="515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5"/>
      <c r="TV9" s="34"/>
      <c r="TW9" s="390"/>
      <c r="TX9" s="515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5"/>
      <c r="UL9" s="34"/>
      <c r="UM9" s="390"/>
      <c r="UN9" s="515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5"/>
      <c r="VB9" s="34"/>
      <c r="VC9" s="390"/>
      <c r="VD9" s="515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5"/>
      <c r="VR9" s="34"/>
      <c r="VS9" s="390"/>
      <c r="VT9" s="515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5"/>
      <c r="WH9" s="34"/>
      <c r="WI9" s="390"/>
      <c r="WJ9" s="515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5"/>
      <c r="WX9" s="34"/>
      <c r="WY9" s="390"/>
      <c r="WZ9" s="515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5"/>
      <c r="XN9" s="34"/>
      <c r="XO9" s="390"/>
      <c r="XP9" s="515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5"/>
      <c r="YD9" s="34"/>
      <c r="YE9" s="390"/>
      <c r="YF9" s="515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5"/>
      <c r="YT9" s="34"/>
      <c r="YU9" s="390"/>
      <c r="YV9" s="515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5"/>
      <c r="ZJ9" s="34"/>
      <c r="ZK9" s="390"/>
      <c r="ZL9" s="515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5"/>
      <c r="ZZ9" s="34"/>
      <c r="AAA9" s="390"/>
      <c r="AAB9" s="515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5"/>
      <c r="AAP9" s="34"/>
      <c r="AAQ9" s="390"/>
      <c r="AAR9" s="515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5"/>
      <c r="ABF9" s="34"/>
      <c r="ABG9" s="390"/>
      <c r="ABH9" s="515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5"/>
      <c r="ABV9" s="34"/>
      <c r="ABW9" s="390"/>
      <c r="ABX9" s="515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5"/>
      <c r="ACL9" s="34"/>
      <c r="ACM9" s="390"/>
      <c r="ACN9" s="515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5"/>
      <c r="ADB9" s="34"/>
      <c r="ADC9" s="390"/>
      <c r="ADD9" s="515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5"/>
      <c r="ADR9" s="34"/>
      <c r="ADS9" s="390"/>
      <c r="ADT9" s="515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5"/>
      <c r="AEH9" s="34"/>
      <c r="AEI9" s="390"/>
      <c r="AEJ9" s="515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5"/>
      <c r="AEX9" s="34"/>
      <c r="AEY9" s="390"/>
      <c r="AEZ9" s="515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5"/>
      <c r="AFN9" s="34"/>
      <c r="AFO9" s="390"/>
      <c r="AFP9" s="515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5"/>
      <c r="AGD9" s="34"/>
      <c r="AGE9" s="390"/>
      <c r="AGF9" s="515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5"/>
      <c r="AGT9" s="34"/>
      <c r="AGU9" s="390"/>
      <c r="AGV9" s="515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5"/>
      <c r="AHJ9" s="34"/>
      <c r="AHK9" s="390"/>
      <c r="AHL9" s="515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5"/>
      <c r="AHZ9" s="34"/>
      <c r="AIA9" s="390"/>
      <c r="AIB9" s="515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5"/>
      <c r="AIP9" s="34"/>
      <c r="AIQ9" s="390"/>
      <c r="AIR9" s="515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5"/>
      <c r="AJF9" s="34"/>
      <c r="AJG9" s="390"/>
      <c r="AJH9" s="515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5"/>
      <c r="AJV9" s="34"/>
      <c r="AJW9" s="390"/>
      <c r="AJX9" s="515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5"/>
      <c r="AKL9" s="34"/>
      <c r="AKM9" s="390"/>
      <c r="AKN9" s="515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5"/>
      <c r="ALB9" s="34"/>
      <c r="ALC9" s="390"/>
      <c r="ALD9" s="515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5"/>
      <c r="ALR9" s="34"/>
      <c r="ALS9" s="390"/>
      <c r="ALT9" s="515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5"/>
      <c r="AMH9" s="34"/>
      <c r="AMI9" s="390"/>
      <c r="AMJ9" s="515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5"/>
      <c r="AMX9" s="34"/>
      <c r="AMY9" s="390"/>
      <c r="AMZ9" s="515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5"/>
      <c r="ANN9" s="34"/>
      <c r="ANO9" s="390"/>
      <c r="ANP9" s="515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5"/>
      <c r="AOD9" s="34"/>
      <c r="AOE9" s="390"/>
      <c r="AOF9" s="515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5"/>
      <c r="AOT9" s="34"/>
      <c r="AOU9" s="390"/>
      <c r="AOV9" s="515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5"/>
      <c r="APJ9" s="34"/>
      <c r="APK9" s="390"/>
      <c r="APL9" s="515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5"/>
      <c r="APZ9" s="34"/>
      <c r="AQA9" s="390"/>
      <c r="AQB9" s="515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5"/>
      <c r="AQP9" s="34"/>
      <c r="AQQ9" s="390"/>
      <c r="AQR9" s="515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5"/>
      <c r="ARF9" s="34"/>
      <c r="ARG9" s="390"/>
      <c r="ARH9" s="515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5"/>
      <c r="ARV9" s="34"/>
      <c r="ARW9" s="390"/>
      <c r="ARX9" s="515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5"/>
      <c r="ASL9" s="34"/>
      <c r="ASM9" s="390"/>
      <c r="ASN9" s="515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5"/>
      <c r="ATB9" s="34"/>
      <c r="ATC9" s="390"/>
      <c r="ATD9" s="515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5"/>
      <c r="ATR9" s="34"/>
      <c r="ATS9" s="390"/>
      <c r="ATT9" s="515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5"/>
      <c r="AUH9" s="34"/>
      <c r="AUI9" s="390"/>
      <c r="AUJ9" s="515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5"/>
      <c r="AUX9" s="34"/>
      <c r="AUY9" s="390"/>
      <c r="AUZ9" s="515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5"/>
      <c r="AVN9" s="34"/>
      <c r="AVO9" s="390"/>
      <c r="AVP9" s="515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5"/>
      <c r="AWD9" s="34"/>
      <c r="AWE9" s="390"/>
      <c r="AWF9" s="515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5"/>
      <c r="AWT9" s="34"/>
      <c r="AWU9" s="390"/>
      <c r="AWV9" s="515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5"/>
      <c r="AXJ9" s="34"/>
      <c r="AXK9" s="390"/>
      <c r="AXL9" s="515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5"/>
      <c r="AXZ9" s="34"/>
      <c r="AYA9" s="390"/>
      <c r="AYB9" s="515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5"/>
      <c r="AYP9" s="34"/>
      <c r="AYQ9" s="390"/>
      <c r="AYR9" s="515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5"/>
      <c r="AZF9" s="34"/>
      <c r="AZG9" s="390"/>
      <c r="AZH9" s="515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5"/>
      <c r="AZV9" s="34"/>
      <c r="AZW9" s="390"/>
      <c r="AZX9" s="515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5"/>
      <c r="BAL9" s="34"/>
      <c r="BAM9" s="390"/>
      <c r="BAN9" s="515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5"/>
      <c r="BBB9" s="34"/>
      <c r="BBC9" s="390"/>
      <c r="BBD9" s="515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5"/>
      <c r="BBR9" s="34"/>
      <c r="BBS9" s="390"/>
      <c r="BBT9" s="515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5"/>
      <c r="BCH9" s="34"/>
      <c r="BCI9" s="390"/>
      <c r="BCJ9" s="515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5"/>
      <c r="BCX9" s="34"/>
      <c r="BCY9" s="390"/>
      <c r="BCZ9" s="515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5"/>
      <c r="BDN9" s="34"/>
      <c r="BDO9" s="390"/>
      <c r="BDP9" s="515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5"/>
      <c r="BED9" s="34"/>
      <c r="BEE9" s="390"/>
      <c r="BEF9" s="515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5"/>
      <c r="BET9" s="34"/>
      <c r="BEU9" s="390"/>
      <c r="BEV9" s="515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5"/>
      <c r="BFJ9" s="34"/>
      <c r="BFK9" s="390"/>
      <c r="BFL9" s="515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5"/>
      <c r="BFZ9" s="34"/>
      <c r="BGA9" s="390"/>
      <c r="BGB9" s="515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5"/>
      <c r="BGP9" s="34"/>
      <c r="BGQ9" s="390"/>
      <c r="BGR9" s="515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5"/>
      <c r="BHF9" s="34"/>
      <c r="BHG9" s="390"/>
      <c r="BHH9" s="515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5"/>
      <c r="BHV9" s="34"/>
      <c r="BHW9" s="390"/>
      <c r="BHX9" s="515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5"/>
      <c r="BIL9" s="34"/>
      <c r="BIM9" s="390"/>
      <c r="BIN9" s="515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5"/>
      <c r="BJB9" s="34"/>
      <c r="BJC9" s="390"/>
      <c r="BJD9" s="515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5"/>
      <c r="BJR9" s="34"/>
      <c r="BJS9" s="390"/>
      <c r="BJT9" s="515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5"/>
      <c r="BKH9" s="34"/>
      <c r="BKI9" s="390"/>
      <c r="BKJ9" s="515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5"/>
      <c r="BKX9" s="34"/>
      <c r="BKY9" s="390"/>
      <c r="BKZ9" s="515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5"/>
      <c r="BLN9" s="34"/>
      <c r="BLO9" s="390"/>
      <c r="BLP9" s="515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5"/>
      <c r="BMD9" s="34"/>
      <c r="BME9" s="390"/>
      <c r="BMF9" s="515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5"/>
      <c r="BMT9" s="34"/>
      <c r="BMU9" s="390"/>
      <c r="BMV9" s="515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5"/>
      <c r="BNJ9" s="34"/>
      <c r="BNK9" s="390"/>
      <c r="BNL9" s="515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5"/>
      <c r="BNZ9" s="34"/>
      <c r="BOA9" s="390"/>
      <c r="BOB9" s="515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5"/>
      <c r="BOP9" s="34"/>
      <c r="BOQ9" s="390"/>
      <c r="BOR9" s="515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5"/>
      <c r="BPF9" s="34"/>
      <c r="BPG9" s="390"/>
      <c r="BPH9" s="515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5"/>
      <c r="BPV9" s="34"/>
      <c r="BPW9" s="390"/>
      <c r="BPX9" s="515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5"/>
      <c r="BQL9" s="34"/>
      <c r="BQM9" s="390"/>
      <c r="BQN9" s="515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5"/>
      <c r="BRB9" s="34"/>
      <c r="BRC9" s="390"/>
      <c r="BRD9" s="515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5"/>
      <c r="BRR9" s="34"/>
      <c r="BRS9" s="390"/>
      <c r="BRT9" s="515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5"/>
      <c r="BSH9" s="34"/>
      <c r="BSI9" s="390"/>
      <c r="BSJ9" s="515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5"/>
      <c r="BSX9" s="34"/>
      <c r="BSY9" s="390"/>
      <c r="BSZ9" s="515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5"/>
      <c r="BTN9" s="34"/>
      <c r="BTO9" s="390"/>
      <c r="BTP9" s="515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5"/>
      <c r="BUD9" s="34"/>
      <c r="BUE9" s="390"/>
      <c r="BUF9" s="515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5"/>
      <c r="BUT9" s="34"/>
      <c r="BUU9" s="390"/>
      <c r="BUV9" s="515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5"/>
      <c r="BVJ9" s="34"/>
      <c r="BVK9" s="390"/>
      <c r="BVL9" s="515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5"/>
      <c r="BVZ9" s="34"/>
      <c r="BWA9" s="390"/>
      <c r="BWB9" s="515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5"/>
      <c r="BWP9" s="34"/>
      <c r="BWQ9" s="390"/>
      <c r="BWR9" s="515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5"/>
      <c r="BXF9" s="34"/>
      <c r="BXG9" s="390"/>
      <c r="BXH9" s="515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5"/>
      <c r="BXV9" s="34"/>
      <c r="BXW9" s="390"/>
      <c r="BXX9" s="515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5"/>
      <c r="BYL9" s="34"/>
      <c r="BYM9" s="390"/>
      <c r="BYN9" s="515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5"/>
      <c r="BZB9" s="34"/>
      <c r="BZC9" s="390"/>
      <c r="BZD9" s="515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5"/>
      <c r="BZR9" s="34"/>
      <c r="BZS9" s="390"/>
      <c r="BZT9" s="515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5"/>
      <c r="CAH9" s="34"/>
      <c r="CAI9" s="390"/>
      <c r="CAJ9" s="515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5"/>
      <c r="CAX9" s="34"/>
      <c r="CAY9" s="390"/>
      <c r="CAZ9" s="515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5"/>
      <c r="CBN9" s="34"/>
      <c r="CBO9" s="390"/>
      <c r="CBP9" s="515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5"/>
      <c r="CCD9" s="34"/>
      <c r="CCE9" s="390"/>
      <c r="CCF9" s="515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5"/>
      <c r="CCT9" s="34"/>
      <c r="CCU9" s="390"/>
      <c r="CCV9" s="515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5"/>
      <c r="CDJ9" s="34"/>
      <c r="CDK9" s="390"/>
      <c r="CDL9" s="515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5"/>
      <c r="CDZ9" s="34"/>
      <c r="CEA9" s="390"/>
      <c r="CEB9" s="515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5"/>
      <c r="CEP9" s="34"/>
      <c r="CEQ9" s="390"/>
      <c r="CER9" s="515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5"/>
      <c r="CFF9" s="34"/>
      <c r="CFG9" s="390"/>
      <c r="CFH9" s="515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5"/>
      <c r="CFV9" s="34"/>
      <c r="CFW9" s="390"/>
      <c r="CFX9" s="515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5"/>
      <c r="CGL9" s="34"/>
      <c r="CGM9" s="390"/>
      <c r="CGN9" s="515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5"/>
      <c r="CHB9" s="34"/>
      <c r="CHC9" s="390"/>
      <c r="CHD9" s="515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5"/>
      <c r="CHR9" s="34"/>
      <c r="CHS9" s="390"/>
      <c r="CHT9" s="515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5"/>
      <c r="CIH9" s="34"/>
      <c r="CII9" s="390"/>
      <c r="CIJ9" s="515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5"/>
      <c r="CIX9" s="34"/>
      <c r="CIY9" s="390"/>
      <c r="CIZ9" s="515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5"/>
      <c r="CJN9" s="34"/>
      <c r="CJO9" s="390"/>
      <c r="CJP9" s="515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5"/>
      <c r="CKD9" s="34"/>
      <c r="CKE9" s="390"/>
      <c r="CKF9" s="515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5"/>
      <c r="CKT9" s="34"/>
      <c r="CKU9" s="390"/>
      <c r="CKV9" s="515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5"/>
      <c r="CLJ9" s="34"/>
      <c r="CLK9" s="390"/>
      <c r="CLL9" s="515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5"/>
      <c r="CLZ9" s="34"/>
      <c r="CMA9" s="390"/>
      <c r="CMB9" s="515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5"/>
      <c r="CMP9" s="34"/>
      <c r="CMQ9" s="390"/>
      <c r="CMR9" s="515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5"/>
      <c r="CNF9" s="34"/>
      <c r="CNG9" s="390"/>
      <c r="CNH9" s="515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5"/>
      <c r="CNV9" s="34"/>
      <c r="CNW9" s="390"/>
      <c r="CNX9" s="515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5"/>
      <c r="COL9" s="34"/>
      <c r="COM9" s="390"/>
      <c r="CON9" s="515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5"/>
      <c r="CPB9" s="34"/>
      <c r="CPC9" s="390"/>
      <c r="CPD9" s="515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5"/>
      <c r="CPR9" s="34"/>
      <c r="CPS9" s="390"/>
      <c r="CPT9" s="515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5"/>
      <c r="CQH9" s="34"/>
      <c r="CQI9" s="390"/>
      <c r="CQJ9" s="515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5"/>
      <c r="CQX9" s="34"/>
      <c r="CQY9" s="390"/>
      <c r="CQZ9" s="515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5"/>
      <c r="CRN9" s="34"/>
      <c r="CRO9" s="390"/>
      <c r="CRP9" s="515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5"/>
      <c r="CSD9" s="34"/>
      <c r="CSE9" s="390"/>
      <c r="CSF9" s="515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5"/>
      <c r="CST9" s="34"/>
      <c r="CSU9" s="390"/>
      <c r="CSV9" s="515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5"/>
      <c r="CTJ9" s="34"/>
      <c r="CTK9" s="390"/>
      <c r="CTL9" s="515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5"/>
      <c r="CTZ9" s="34"/>
      <c r="CUA9" s="390"/>
      <c r="CUB9" s="515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5"/>
      <c r="CUP9" s="34"/>
      <c r="CUQ9" s="390"/>
      <c r="CUR9" s="515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5"/>
      <c r="CVF9" s="34"/>
      <c r="CVG9" s="390"/>
      <c r="CVH9" s="515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5"/>
      <c r="CVV9" s="34"/>
      <c r="CVW9" s="390"/>
      <c r="CVX9" s="515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5"/>
      <c r="CWL9" s="34"/>
      <c r="CWM9" s="390"/>
      <c r="CWN9" s="515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5"/>
      <c r="CXB9" s="34"/>
      <c r="CXC9" s="390"/>
      <c r="CXD9" s="515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5"/>
      <c r="CXR9" s="34"/>
      <c r="CXS9" s="390"/>
      <c r="CXT9" s="515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5"/>
      <c r="CYH9" s="34"/>
      <c r="CYI9" s="390"/>
      <c r="CYJ9" s="515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5"/>
      <c r="CYX9" s="34"/>
      <c r="CYY9" s="390"/>
      <c r="CYZ9" s="515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5"/>
      <c r="CZN9" s="34"/>
      <c r="CZO9" s="390"/>
      <c r="CZP9" s="515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5"/>
      <c r="DAD9" s="34"/>
      <c r="DAE9" s="390"/>
      <c r="DAF9" s="515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5"/>
      <c r="DAT9" s="34"/>
      <c r="DAU9" s="390"/>
      <c r="DAV9" s="515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5"/>
      <c r="DBJ9" s="34"/>
      <c r="DBK9" s="390"/>
      <c r="DBL9" s="515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5"/>
      <c r="DBZ9" s="34"/>
      <c r="DCA9" s="390"/>
      <c r="DCB9" s="515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5"/>
      <c r="DCP9" s="34"/>
      <c r="DCQ9" s="390"/>
      <c r="DCR9" s="515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5"/>
      <c r="DDF9" s="34"/>
      <c r="DDG9" s="390"/>
      <c r="DDH9" s="515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5"/>
      <c r="DDV9" s="34"/>
      <c r="DDW9" s="390"/>
      <c r="DDX9" s="515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5"/>
      <c r="DEL9" s="34"/>
      <c r="DEM9" s="390"/>
      <c r="DEN9" s="515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5"/>
      <c r="DFB9" s="34"/>
      <c r="DFC9" s="390"/>
      <c r="DFD9" s="515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5"/>
      <c r="DFR9" s="34"/>
      <c r="DFS9" s="390"/>
      <c r="DFT9" s="515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5"/>
      <c r="DGH9" s="34"/>
      <c r="DGI9" s="390"/>
      <c r="DGJ9" s="515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5"/>
      <c r="DGX9" s="34"/>
      <c r="DGY9" s="390"/>
      <c r="DGZ9" s="515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5"/>
      <c r="DHN9" s="34"/>
      <c r="DHO9" s="390"/>
      <c r="DHP9" s="515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5"/>
      <c r="DID9" s="34"/>
      <c r="DIE9" s="390"/>
      <c r="DIF9" s="515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5"/>
      <c r="DIT9" s="34"/>
      <c r="DIU9" s="390"/>
      <c r="DIV9" s="515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5"/>
      <c r="DJJ9" s="34"/>
      <c r="DJK9" s="390"/>
      <c r="DJL9" s="515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5"/>
      <c r="DJZ9" s="34"/>
      <c r="DKA9" s="390"/>
      <c r="DKB9" s="515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5"/>
      <c r="DKP9" s="34"/>
      <c r="DKQ9" s="390"/>
      <c r="DKR9" s="515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5"/>
      <c r="DLF9" s="34"/>
      <c r="DLG9" s="390"/>
      <c r="DLH9" s="515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5"/>
      <c r="DLV9" s="34"/>
      <c r="DLW9" s="390"/>
      <c r="DLX9" s="515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5"/>
      <c r="DML9" s="34"/>
      <c r="DMM9" s="390"/>
      <c r="DMN9" s="515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5"/>
      <c r="DNB9" s="34"/>
      <c r="DNC9" s="390"/>
      <c r="DND9" s="515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5"/>
      <c r="DNR9" s="34"/>
      <c r="DNS9" s="390"/>
      <c r="DNT9" s="515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5"/>
      <c r="DOH9" s="34"/>
      <c r="DOI9" s="390"/>
      <c r="DOJ9" s="515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5"/>
      <c r="DOX9" s="34"/>
      <c r="DOY9" s="390"/>
      <c r="DOZ9" s="515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5"/>
      <c r="DPN9" s="34"/>
      <c r="DPO9" s="390"/>
      <c r="DPP9" s="515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5"/>
      <c r="DQD9" s="34"/>
      <c r="DQE9" s="390"/>
      <c r="DQF9" s="515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5"/>
      <c r="DQT9" s="34"/>
      <c r="DQU9" s="390"/>
      <c r="DQV9" s="515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5"/>
      <c r="DRJ9" s="34"/>
      <c r="DRK9" s="390"/>
      <c r="DRL9" s="515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5"/>
      <c r="DRZ9" s="34"/>
      <c r="DSA9" s="390"/>
      <c r="DSB9" s="515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5"/>
      <c r="DSP9" s="34"/>
      <c r="DSQ9" s="390"/>
      <c r="DSR9" s="515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5"/>
      <c r="DTF9" s="34"/>
      <c r="DTG9" s="390"/>
      <c r="DTH9" s="515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5"/>
      <c r="DTV9" s="34"/>
      <c r="DTW9" s="390"/>
      <c r="DTX9" s="515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5"/>
      <c r="DUL9" s="34"/>
      <c r="DUM9" s="390"/>
      <c r="DUN9" s="515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5"/>
      <c r="DVB9" s="34"/>
      <c r="DVC9" s="390"/>
      <c r="DVD9" s="515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5"/>
      <c r="DVR9" s="34"/>
      <c r="DVS9" s="390"/>
      <c r="DVT9" s="515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5"/>
      <c r="DWH9" s="34"/>
      <c r="DWI9" s="390"/>
      <c r="DWJ9" s="515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5"/>
      <c r="DWX9" s="34"/>
      <c r="DWY9" s="390"/>
      <c r="DWZ9" s="515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5"/>
      <c r="DXN9" s="34"/>
      <c r="DXO9" s="390"/>
      <c r="DXP9" s="515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5"/>
      <c r="DYD9" s="34"/>
      <c r="DYE9" s="390"/>
      <c r="DYF9" s="515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5"/>
      <c r="DYT9" s="34"/>
      <c r="DYU9" s="390"/>
      <c r="DYV9" s="515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5"/>
      <c r="DZJ9" s="34"/>
      <c r="DZK9" s="390"/>
      <c r="DZL9" s="515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5"/>
      <c r="DZZ9" s="34"/>
      <c r="EAA9" s="390"/>
      <c r="EAB9" s="515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5"/>
      <c r="EAP9" s="34"/>
      <c r="EAQ9" s="390"/>
      <c r="EAR9" s="515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5"/>
      <c r="EBF9" s="34"/>
      <c r="EBG9" s="390"/>
      <c r="EBH9" s="515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5"/>
      <c r="EBV9" s="34"/>
      <c r="EBW9" s="390"/>
      <c r="EBX9" s="515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5"/>
      <c r="ECL9" s="34"/>
      <c r="ECM9" s="390"/>
      <c r="ECN9" s="515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5"/>
      <c r="EDB9" s="34"/>
      <c r="EDC9" s="390"/>
      <c r="EDD9" s="515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5"/>
      <c r="EDR9" s="34"/>
      <c r="EDS9" s="390"/>
      <c r="EDT9" s="515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5"/>
      <c r="EEH9" s="34"/>
      <c r="EEI9" s="390"/>
      <c r="EEJ9" s="515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5"/>
      <c r="EEX9" s="34"/>
      <c r="EEY9" s="390"/>
      <c r="EEZ9" s="515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5"/>
      <c r="EFN9" s="34"/>
      <c r="EFO9" s="390"/>
      <c r="EFP9" s="515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5"/>
      <c r="EGD9" s="34"/>
      <c r="EGE9" s="390"/>
      <c r="EGF9" s="515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5"/>
      <c r="EGT9" s="34"/>
      <c r="EGU9" s="390"/>
      <c r="EGV9" s="515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5"/>
      <c r="EHJ9" s="34"/>
      <c r="EHK9" s="390"/>
      <c r="EHL9" s="515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5"/>
      <c r="EHZ9" s="34"/>
      <c r="EIA9" s="390"/>
      <c r="EIB9" s="515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5"/>
      <c r="EIP9" s="34"/>
      <c r="EIQ9" s="390"/>
      <c r="EIR9" s="515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5"/>
      <c r="EJF9" s="34"/>
      <c r="EJG9" s="390"/>
      <c r="EJH9" s="515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5"/>
      <c r="EJV9" s="34"/>
      <c r="EJW9" s="390"/>
      <c r="EJX9" s="515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5"/>
      <c r="EKL9" s="34"/>
      <c r="EKM9" s="390"/>
      <c r="EKN9" s="515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5"/>
      <c r="ELB9" s="34"/>
      <c r="ELC9" s="390"/>
      <c r="ELD9" s="515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5"/>
      <c r="ELR9" s="34"/>
      <c r="ELS9" s="390"/>
      <c r="ELT9" s="515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5"/>
      <c r="EMH9" s="34"/>
      <c r="EMI9" s="390"/>
      <c r="EMJ9" s="515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5"/>
      <c r="EMX9" s="34"/>
      <c r="EMY9" s="390"/>
      <c r="EMZ9" s="515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5"/>
      <c r="ENN9" s="34"/>
      <c r="ENO9" s="390"/>
      <c r="ENP9" s="515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5"/>
      <c r="EOD9" s="34"/>
      <c r="EOE9" s="390"/>
      <c r="EOF9" s="515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5"/>
      <c r="EOT9" s="34"/>
      <c r="EOU9" s="390"/>
      <c r="EOV9" s="515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5"/>
      <c r="EPJ9" s="34"/>
      <c r="EPK9" s="390"/>
      <c r="EPL9" s="515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5"/>
      <c r="EPZ9" s="34"/>
      <c r="EQA9" s="390"/>
      <c r="EQB9" s="515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5"/>
      <c r="EQP9" s="34"/>
      <c r="EQQ9" s="390"/>
      <c r="EQR9" s="515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5"/>
      <c r="ERF9" s="34"/>
      <c r="ERG9" s="390"/>
      <c r="ERH9" s="515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5"/>
      <c r="ERV9" s="34"/>
      <c r="ERW9" s="390"/>
      <c r="ERX9" s="515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5"/>
      <c r="ESL9" s="34"/>
      <c r="ESM9" s="390"/>
      <c r="ESN9" s="515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5"/>
      <c r="ETB9" s="34"/>
      <c r="ETC9" s="390"/>
      <c r="ETD9" s="515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5"/>
      <c r="ETR9" s="34"/>
      <c r="ETS9" s="390"/>
      <c r="ETT9" s="515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5"/>
      <c r="EUH9" s="34"/>
      <c r="EUI9" s="390"/>
      <c r="EUJ9" s="515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5"/>
      <c r="EUX9" s="34"/>
      <c r="EUY9" s="390"/>
      <c r="EUZ9" s="515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5"/>
      <c r="EVN9" s="34"/>
      <c r="EVO9" s="390"/>
      <c r="EVP9" s="515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5"/>
      <c r="EWD9" s="34"/>
      <c r="EWE9" s="390"/>
      <c r="EWF9" s="515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5"/>
      <c r="EWT9" s="34"/>
      <c r="EWU9" s="390"/>
      <c r="EWV9" s="515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5"/>
      <c r="EXJ9" s="34"/>
      <c r="EXK9" s="390"/>
      <c r="EXL9" s="515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5"/>
      <c r="EXZ9" s="34"/>
      <c r="EYA9" s="390"/>
      <c r="EYB9" s="515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5"/>
      <c r="EYP9" s="34"/>
      <c r="EYQ9" s="390"/>
      <c r="EYR9" s="515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5"/>
      <c r="EZF9" s="34"/>
      <c r="EZG9" s="390"/>
      <c r="EZH9" s="515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5"/>
      <c r="EZV9" s="34"/>
      <c r="EZW9" s="390"/>
      <c r="EZX9" s="515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5"/>
      <c r="FAL9" s="34"/>
      <c r="FAM9" s="390"/>
      <c r="FAN9" s="515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5"/>
      <c r="FBB9" s="34"/>
      <c r="FBC9" s="390"/>
      <c r="FBD9" s="515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5"/>
      <c r="FBR9" s="34"/>
      <c r="FBS9" s="390"/>
      <c r="FBT9" s="515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5"/>
      <c r="FCH9" s="34"/>
      <c r="FCI9" s="390"/>
      <c r="FCJ9" s="515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5"/>
      <c r="FCX9" s="34"/>
      <c r="FCY9" s="390"/>
      <c r="FCZ9" s="515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5"/>
      <c r="FDN9" s="34"/>
      <c r="FDO9" s="390"/>
      <c r="FDP9" s="515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5"/>
      <c r="FED9" s="34"/>
      <c r="FEE9" s="390"/>
      <c r="FEF9" s="515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5"/>
      <c r="FET9" s="34"/>
      <c r="FEU9" s="390"/>
      <c r="FEV9" s="515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5"/>
      <c r="FFJ9" s="34"/>
      <c r="FFK9" s="390"/>
      <c r="FFL9" s="515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5"/>
      <c r="FFZ9" s="34"/>
      <c r="FGA9" s="390"/>
      <c r="FGB9" s="515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5"/>
      <c r="FGP9" s="34"/>
      <c r="FGQ9" s="390"/>
      <c r="FGR9" s="515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5"/>
      <c r="FHF9" s="34"/>
      <c r="FHG9" s="390"/>
      <c r="FHH9" s="515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5"/>
      <c r="FHV9" s="34"/>
      <c r="FHW9" s="390"/>
      <c r="FHX9" s="515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5"/>
      <c r="FIL9" s="34"/>
      <c r="FIM9" s="390"/>
      <c r="FIN9" s="515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5"/>
      <c r="FJB9" s="34"/>
      <c r="FJC9" s="390"/>
      <c r="FJD9" s="515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5"/>
      <c r="FJR9" s="34"/>
      <c r="FJS9" s="390"/>
      <c r="FJT9" s="515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5"/>
      <c r="FKH9" s="34"/>
      <c r="FKI9" s="390"/>
      <c r="FKJ9" s="515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5"/>
      <c r="FKX9" s="34"/>
      <c r="FKY9" s="390"/>
      <c r="FKZ9" s="515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5"/>
      <c r="FLN9" s="34"/>
      <c r="FLO9" s="390"/>
      <c r="FLP9" s="515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5"/>
      <c r="FMD9" s="34"/>
      <c r="FME9" s="390"/>
      <c r="FMF9" s="515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5"/>
      <c r="FMT9" s="34"/>
      <c r="FMU9" s="390"/>
      <c r="FMV9" s="515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5"/>
      <c r="FNJ9" s="34"/>
      <c r="FNK9" s="390"/>
      <c r="FNL9" s="515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5"/>
      <c r="FNZ9" s="34"/>
      <c r="FOA9" s="390"/>
      <c r="FOB9" s="515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5"/>
      <c r="FOP9" s="34"/>
      <c r="FOQ9" s="390"/>
      <c r="FOR9" s="515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5"/>
      <c r="FPF9" s="34"/>
      <c r="FPG9" s="390"/>
      <c r="FPH9" s="515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5"/>
      <c r="FPV9" s="34"/>
      <c r="FPW9" s="390"/>
      <c r="FPX9" s="515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5"/>
      <c r="FQL9" s="34"/>
      <c r="FQM9" s="390"/>
      <c r="FQN9" s="515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5"/>
      <c r="FRB9" s="34"/>
      <c r="FRC9" s="390"/>
      <c r="FRD9" s="515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5"/>
      <c r="FRR9" s="34"/>
      <c r="FRS9" s="390"/>
      <c r="FRT9" s="515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5"/>
      <c r="FSH9" s="34"/>
      <c r="FSI9" s="390"/>
      <c r="FSJ9" s="515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5"/>
      <c r="FSX9" s="34"/>
      <c r="FSY9" s="390"/>
      <c r="FSZ9" s="515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5"/>
      <c r="FTN9" s="34"/>
      <c r="FTO9" s="390"/>
      <c r="FTP9" s="515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5"/>
      <c r="FUD9" s="34"/>
      <c r="FUE9" s="390"/>
      <c r="FUF9" s="515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5"/>
      <c r="FUT9" s="34"/>
      <c r="FUU9" s="390"/>
      <c r="FUV9" s="515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5"/>
      <c r="FVJ9" s="34"/>
      <c r="FVK9" s="390"/>
      <c r="FVL9" s="515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5"/>
      <c r="FVZ9" s="34"/>
      <c r="FWA9" s="390"/>
      <c r="FWB9" s="515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5"/>
      <c r="FWP9" s="34"/>
      <c r="FWQ9" s="390"/>
      <c r="FWR9" s="515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5"/>
      <c r="FXF9" s="34"/>
      <c r="FXG9" s="390"/>
      <c r="FXH9" s="515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5"/>
      <c r="FXV9" s="34"/>
      <c r="FXW9" s="390"/>
      <c r="FXX9" s="515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5"/>
      <c r="FYL9" s="34"/>
      <c r="FYM9" s="390"/>
      <c r="FYN9" s="515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5"/>
      <c r="FZB9" s="34"/>
      <c r="FZC9" s="390"/>
      <c r="FZD9" s="515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5"/>
      <c r="FZR9" s="34"/>
      <c r="FZS9" s="390"/>
      <c r="FZT9" s="515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5"/>
      <c r="GAH9" s="34"/>
      <c r="GAI9" s="390"/>
      <c r="GAJ9" s="515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5"/>
      <c r="GAX9" s="34"/>
      <c r="GAY9" s="390"/>
      <c r="GAZ9" s="515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5"/>
      <c r="GBN9" s="34"/>
      <c r="GBO9" s="390"/>
      <c r="GBP9" s="515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5"/>
      <c r="GCD9" s="34"/>
      <c r="GCE9" s="390"/>
      <c r="GCF9" s="515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5"/>
      <c r="GCT9" s="34"/>
      <c r="GCU9" s="390"/>
      <c r="GCV9" s="515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5"/>
      <c r="GDJ9" s="34"/>
      <c r="GDK9" s="390"/>
      <c r="GDL9" s="515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5"/>
      <c r="GDZ9" s="34"/>
      <c r="GEA9" s="390"/>
      <c r="GEB9" s="515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5"/>
      <c r="GEP9" s="34"/>
      <c r="GEQ9" s="390"/>
      <c r="GER9" s="515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5"/>
      <c r="GFF9" s="34"/>
      <c r="GFG9" s="390"/>
      <c r="GFH9" s="515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5"/>
      <c r="GFV9" s="34"/>
      <c r="GFW9" s="390"/>
      <c r="GFX9" s="515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5"/>
      <c r="GGL9" s="34"/>
      <c r="GGM9" s="390"/>
      <c r="GGN9" s="515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5"/>
      <c r="GHB9" s="34"/>
      <c r="GHC9" s="390"/>
      <c r="GHD9" s="515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5"/>
      <c r="GHR9" s="34"/>
      <c r="GHS9" s="390"/>
      <c r="GHT9" s="515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5"/>
      <c r="GIH9" s="34"/>
      <c r="GII9" s="390"/>
      <c r="GIJ9" s="515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5"/>
      <c r="GIX9" s="34"/>
      <c r="GIY9" s="390"/>
      <c r="GIZ9" s="515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5"/>
      <c r="GJN9" s="34"/>
      <c r="GJO9" s="390"/>
      <c r="GJP9" s="515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5"/>
      <c r="GKD9" s="34"/>
      <c r="GKE9" s="390"/>
      <c r="GKF9" s="515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5"/>
      <c r="GKT9" s="34"/>
      <c r="GKU9" s="390"/>
      <c r="GKV9" s="515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5"/>
      <c r="GLJ9" s="34"/>
      <c r="GLK9" s="390"/>
      <c r="GLL9" s="515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5"/>
      <c r="GLZ9" s="34"/>
      <c r="GMA9" s="390"/>
      <c r="GMB9" s="515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5"/>
      <c r="GMP9" s="34"/>
      <c r="GMQ9" s="390"/>
      <c r="GMR9" s="515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5"/>
      <c r="GNF9" s="34"/>
      <c r="GNG9" s="390"/>
      <c r="GNH9" s="515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5"/>
      <c r="GNV9" s="34"/>
      <c r="GNW9" s="390"/>
      <c r="GNX9" s="515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5"/>
      <c r="GOL9" s="34"/>
      <c r="GOM9" s="390"/>
      <c r="GON9" s="515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5"/>
      <c r="GPB9" s="34"/>
      <c r="GPC9" s="390"/>
      <c r="GPD9" s="515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5"/>
      <c r="GPR9" s="34"/>
      <c r="GPS9" s="390"/>
      <c r="GPT9" s="515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5"/>
      <c r="GQH9" s="34"/>
      <c r="GQI9" s="390"/>
      <c r="GQJ9" s="515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5"/>
      <c r="GQX9" s="34"/>
      <c r="GQY9" s="390"/>
      <c r="GQZ9" s="515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5"/>
      <c r="GRN9" s="34"/>
      <c r="GRO9" s="390"/>
      <c r="GRP9" s="515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5"/>
      <c r="GSD9" s="34"/>
      <c r="GSE9" s="390"/>
      <c r="GSF9" s="515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5"/>
      <c r="GST9" s="34"/>
      <c r="GSU9" s="390"/>
      <c r="GSV9" s="515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5"/>
      <c r="GTJ9" s="34"/>
      <c r="GTK9" s="390"/>
      <c r="GTL9" s="515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5"/>
      <c r="GTZ9" s="34"/>
      <c r="GUA9" s="390"/>
      <c r="GUB9" s="515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5"/>
      <c r="GUP9" s="34"/>
      <c r="GUQ9" s="390"/>
      <c r="GUR9" s="515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5"/>
      <c r="GVF9" s="34"/>
      <c r="GVG9" s="390"/>
      <c r="GVH9" s="515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5"/>
      <c r="GVV9" s="34"/>
      <c r="GVW9" s="390"/>
      <c r="GVX9" s="515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5"/>
      <c r="GWL9" s="34"/>
      <c r="GWM9" s="390"/>
      <c r="GWN9" s="515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5"/>
      <c r="GXB9" s="34"/>
      <c r="GXC9" s="390"/>
      <c r="GXD9" s="515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5"/>
      <c r="GXR9" s="34"/>
      <c r="GXS9" s="390"/>
      <c r="GXT9" s="515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5"/>
      <c r="GYH9" s="34"/>
      <c r="GYI9" s="390"/>
      <c r="GYJ9" s="515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5"/>
      <c r="GYX9" s="34"/>
      <c r="GYY9" s="390"/>
      <c r="GYZ9" s="515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5"/>
      <c r="GZN9" s="34"/>
      <c r="GZO9" s="390"/>
      <c r="GZP9" s="515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5"/>
      <c r="HAD9" s="34"/>
      <c r="HAE9" s="390"/>
      <c r="HAF9" s="515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5"/>
      <c r="HAT9" s="34"/>
      <c r="HAU9" s="390"/>
      <c r="HAV9" s="515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5"/>
      <c r="HBJ9" s="34"/>
      <c r="HBK9" s="390"/>
      <c r="HBL9" s="515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5"/>
      <c r="HBZ9" s="34"/>
      <c r="HCA9" s="390"/>
      <c r="HCB9" s="515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5"/>
      <c r="HCP9" s="34"/>
      <c r="HCQ9" s="390"/>
      <c r="HCR9" s="515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5"/>
      <c r="HDF9" s="34"/>
      <c r="HDG9" s="390"/>
      <c r="HDH9" s="515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5"/>
      <c r="HDV9" s="34"/>
      <c r="HDW9" s="390"/>
      <c r="HDX9" s="515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5"/>
      <c r="HEL9" s="34"/>
      <c r="HEM9" s="390"/>
      <c r="HEN9" s="515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5"/>
      <c r="HFB9" s="34"/>
      <c r="HFC9" s="390"/>
      <c r="HFD9" s="515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5"/>
      <c r="HFR9" s="34"/>
      <c r="HFS9" s="390"/>
      <c r="HFT9" s="515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5"/>
      <c r="HGH9" s="34"/>
      <c r="HGI9" s="390"/>
      <c r="HGJ9" s="515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5"/>
      <c r="HGX9" s="34"/>
      <c r="HGY9" s="390"/>
      <c r="HGZ9" s="515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5"/>
      <c r="HHN9" s="34"/>
      <c r="HHO9" s="390"/>
      <c r="HHP9" s="515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5"/>
      <c r="HID9" s="34"/>
      <c r="HIE9" s="390"/>
      <c r="HIF9" s="515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5"/>
      <c r="HIT9" s="34"/>
      <c r="HIU9" s="390"/>
      <c r="HIV9" s="515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5"/>
      <c r="HJJ9" s="34"/>
      <c r="HJK9" s="390"/>
      <c r="HJL9" s="515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5"/>
      <c r="HJZ9" s="34"/>
      <c r="HKA9" s="390"/>
      <c r="HKB9" s="515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5"/>
      <c r="HKP9" s="34"/>
      <c r="HKQ9" s="390"/>
      <c r="HKR9" s="515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5"/>
      <c r="HLF9" s="34"/>
      <c r="HLG9" s="390"/>
      <c r="HLH9" s="515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5"/>
      <c r="HLV9" s="34"/>
      <c r="HLW9" s="390"/>
      <c r="HLX9" s="515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5"/>
      <c r="HML9" s="34"/>
      <c r="HMM9" s="390"/>
      <c r="HMN9" s="515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5"/>
      <c r="HNB9" s="34"/>
      <c r="HNC9" s="390"/>
      <c r="HND9" s="515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5"/>
      <c r="HNR9" s="34"/>
      <c r="HNS9" s="390"/>
      <c r="HNT9" s="515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5"/>
      <c r="HOH9" s="34"/>
      <c r="HOI9" s="390"/>
      <c r="HOJ9" s="515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5"/>
      <c r="HOX9" s="34"/>
      <c r="HOY9" s="390"/>
      <c r="HOZ9" s="515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5"/>
      <c r="HPN9" s="34"/>
      <c r="HPO9" s="390"/>
      <c r="HPP9" s="515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5"/>
      <c r="HQD9" s="34"/>
      <c r="HQE9" s="390"/>
      <c r="HQF9" s="515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5"/>
      <c r="HQT9" s="34"/>
      <c r="HQU9" s="390"/>
      <c r="HQV9" s="515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5"/>
      <c r="HRJ9" s="34"/>
      <c r="HRK9" s="390"/>
      <c r="HRL9" s="515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5"/>
      <c r="HRZ9" s="34"/>
      <c r="HSA9" s="390"/>
      <c r="HSB9" s="515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5"/>
      <c r="HSP9" s="34"/>
      <c r="HSQ9" s="390"/>
      <c r="HSR9" s="515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5"/>
      <c r="HTF9" s="34"/>
      <c r="HTG9" s="390"/>
      <c r="HTH9" s="515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5"/>
      <c r="HTV9" s="34"/>
      <c r="HTW9" s="390"/>
      <c r="HTX9" s="515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5"/>
      <c r="HUL9" s="34"/>
      <c r="HUM9" s="390"/>
      <c r="HUN9" s="515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5"/>
      <c r="HVB9" s="34"/>
      <c r="HVC9" s="390"/>
      <c r="HVD9" s="515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5"/>
      <c r="HVR9" s="34"/>
      <c r="HVS9" s="390"/>
      <c r="HVT9" s="515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5"/>
      <c r="HWH9" s="34"/>
      <c r="HWI9" s="390"/>
      <c r="HWJ9" s="515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5"/>
      <c r="HWX9" s="34"/>
      <c r="HWY9" s="390"/>
      <c r="HWZ9" s="515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5"/>
      <c r="HXN9" s="34"/>
      <c r="HXO9" s="390"/>
      <c r="HXP9" s="515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5"/>
      <c r="HYD9" s="34"/>
      <c r="HYE9" s="390"/>
      <c r="HYF9" s="515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5"/>
      <c r="HYT9" s="34"/>
      <c r="HYU9" s="390"/>
      <c r="HYV9" s="515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5"/>
      <c r="HZJ9" s="34"/>
      <c r="HZK9" s="390"/>
      <c r="HZL9" s="515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5"/>
      <c r="HZZ9" s="34"/>
      <c r="IAA9" s="390"/>
      <c r="IAB9" s="515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5"/>
      <c r="IAP9" s="34"/>
      <c r="IAQ9" s="390"/>
      <c r="IAR9" s="515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5"/>
      <c r="IBF9" s="34"/>
      <c r="IBG9" s="390"/>
      <c r="IBH9" s="515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5"/>
      <c r="IBV9" s="34"/>
      <c r="IBW9" s="390"/>
      <c r="IBX9" s="515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5"/>
      <c r="ICL9" s="34"/>
      <c r="ICM9" s="390"/>
      <c r="ICN9" s="515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5"/>
      <c r="IDB9" s="34"/>
      <c r="IDC9" s="390"/>
      <c r="IDD9" s="515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5"/>
      <c r="IDR9" s="34"/>
      <c r="IDS9" s="390"/>
      <c r="IDT9" s="515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5"/>
      <c r="IEH9" s="34"/>
      <c r="IEI9" s="390"/>
      <c r="IEJ9" s="515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5"/>
      <c r="IEX9" s="34"/>
      <c r="IEY9" s="390"/>
      <c r="IEZ9" s="515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5"/>
      <c r="IFN9" s="34"/>
      <c r="IFO9" s="390"/>
      <c r="IFP9" s="515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5"/>
      <c r="IGD9" s="34"/>
      <c r="IGE9" s="390"/>
      <c r="IGF9" s="515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5"/>
      <c r="IGT9" s="34"/>
      <c r="IGU9" s="390"/>
      <c r="IGV9" s="515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5"/>
      <c r="IHJ9" s="34"/>
      <c r="IHK9" s="390"/>
      <c r="IHL9" s="515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5"/>
      <c r="IHZ9" s="34"/>
      <c r="IIA9" s="390"/>
      <c r="IIB9" s="515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5"/>
      <c r="IIP9" s="34"/>
      <c r="IIQ9" s="390"/>
      <c r="IIR9" s="515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5"/>
      <c r="IJF9" s="34"/>
      <c r="IJG9" s="390"/>
      <c r="IJH9" s="515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5"/>
      <c r="IJV9" s="34"/>
      <c r="IJW9" s="390"/>
      <c r="IJX9" s="515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5"/>
      <c r="IKL9" s="34"/>
      <c r="IKM9" s="390"/>
      <c r="IKN9" s="515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5"/>
      <c r="ILB9" s="34"/>
      <c r="ILC9" s="390"/>
      <c r="ILD9" s="515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5"/>
      <c r="ILR9" s="34"/>
      <c r="ILS9" s="390"/>
      <c r="ILT9" s="515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5"/>
      <c r="IMH9" s="34"/>
      <c r="IMI9" s="390"/>
      <c r="IMJ9" s="515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5"/>
      <c r="IMX9" s="34"/>
      <c r="IMY9" s="390"/>
      <c r="IMZ9" s="515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5"/>
      <c r="INN9" s="34"/>
      <c r="INO9" s="390"/>
      <c r="INP9" s="515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5"/>
      <c r="IOD9" s="34"/>
      <c r="IOE9" s="390"/>
      <c r="IOF9" s="515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5"/>
      <c r="IOT9" s="34"/>
      <c r="IOU9" s="390"/>
      <c r="IOV9" s="515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5"/>
      <c r="IPJ9" s="34"/>
      <c r="IPK9" s="390"/>
      <c r="IPL9" s="515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5"/>
      <c r="IPZ9" s="34"/>
      <c r="IQA9" s="390"/>
      <c r="IQB9" s="515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5"/>
      <c r="IQP9" s="34"/>
      <c r="IQQ9" s="390"/>
      <c r="IQR9" s="515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5"/>
      <c r="IRF9" s="34"/>
      <c r="IRG9" s="390"/>
      <c r="IRH9" s="515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5"/>
      <c r="IRV9" s="34"/>
      <c r="IRW9" s="390"/>
      <c r="IRX9" s="515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5"/>
      <c r="ISL9" s="34"/>
      <c r="ISM9" s="390"/>
      <c r="ISN9" s="515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5"/>
      <c r="ITB9" s="34"/>
      <c r="ITC9" s="390"/>
      <c r="ITD9" s="515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5"/>
      <c r="ITR9" s="34"/>
      <c r="ITS9" s="390"/>
      <c r="ITT9" s="515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5"/>
      <c r="IUH9" s="34"/>
      <c r="IUI9" s="390"/>
      <c r="IUJ9" s="515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5"/>
      <c r="IUX9" s="34"/>
      <c r="IUY9" s="390"/>
      <c r="IUZ9" s="515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5"/>
      <c r="IVN9" s="34"/>
      <c r="IVO9" s="390"/>
      <c r="IVP9" s="515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5"/>
      <c r="IWD9" s="34"/>
      <c r="IWE9" s="390"/>
      <c r="IWF9" s="515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5"/>
      <c r="IWT9" s="34"/>
      <c r="IWU9" s="390"/>
      <c r="IWV9" s="515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5"/>
      <c r="IXJ9" s="34"/>
      <c r="IXK9" s="390"/>
      <c r="IXL9" s="515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5"/>
      <c r="IXZ9" s="34"/>
      <c r="IYA9" s="390"/>
      <c r="IYB9" s="515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5"/>
      <c r="IYP9" s="34"/>
      <c r="IYQ9" s="390"/>
      <c r="IYR9" s="515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5"/>
      <c r="IZF9" s="34"/>
      <c r="IZG9" s="390"/>
      <c r="IZH9" s="515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5"/>
      <c r="IZV9" s="34"/>
      <c r="IZW9" s="390"/>
      <c r="IZX9" s="515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5"/>
      <c r="JAL9" s="34"/>
      <c r="JAM9" s="390"/>
      <c r="JAN9" s="515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5"/>
      <c r="JBB9" s="34"/>
      <c r="JBC9" s="390"/>
      <c r="JBD9" s="515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5"/>
      <c r="JBR9" s="34"/>
      <c r="JBS9" s="390"/>
      <c r="JBT9" s="515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5"/>
      <c r="JCH9" s="34"/>
      <c r="JCI9" s="390"/>
      <c r="JCJ9" s="515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5"/>
      <c r="JCX9" s="34"/>
      <c r="JCY9" s="390"/>
      <c r="JCZ9" s="515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5"/>
      <c r="JDN9" s="34"/>
      <c r="JDO9" s="390"/>
      <c r="JDP9" s="515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5"/>
      <c r="JED9" s="34"/>
      <c r="JEE9" s="390"/>
      <c r="JEF9" s="515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5"/>
      <c r="JET9" s="34"/>
      <c r="JEU9" s="390"/>
      <c r="JEV9" s="515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5"/>
      <c r="JFJ9" s="34"/>
      <c r="JFK9" s="390"/>
      <c r="JFL9" s="515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5"/>
      <c r="JFZ9" s="34"/>
      <c r="JGA9" s="390"/>
      <c r="JGB9" s="515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5"/>
      <c r="JGP9" s="34"/>
      <c r="JGQ9" s="390"/>
      <c r="JGR9" s="515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5"/>
      <c r="JHF9" s="34"/>
      <c r="JHG9" s="390"/>
      <c r="JHH9" s="515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5"/>
      <c r="JHV9" s="34"/>
      <c r="JHW9" s="390"/>
      <c r="JHX9" s="515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5"/>
      <c r="JIL9" s="34"/>
      <c r="JIM9" s="390"/>
      <c r="JIN9" s="515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5"/>
      <c r="JJB9" s="34"/>
      <c r="JJC9" s="390"/>
      <c r="JJD9" s="515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5"/>
      <c r="JJR9" s="34"/>
      <c r="JJS9" s="390"/>
      <c r="JJT9" s="515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5"/>
      <c r="JKH9" s="34"/>
      <c r="JKI9" s="390"/>
      <c r="JKJ9" s="515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5"/>
      <c r="JKX9" s="34"/>
      <c r="JKY9" s="390"/>
      <c r="JKZ9" s="515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5"/>
      <c r="JLN9" s="34"/>
      <c r="JLO9" s="390"/>
      <c r="JLP9" s="515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5"/>
      <c r="JMD9" s="34"/>
      <c r="JME9" s="390"/>
      <c r="JMF9" s="515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5"/>
      <c r="JMT9" s="34"/>
      <c r="JMU9" s="390"/>
      <c r="JMV9" s="515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5"/>
      <c r="JNJ9" s="34"/>
      <c r="JNK9" s="390"/>
      <c r="JNL9" s="515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5"/>
      <c r="JNZ9" s="34"/>
      <c r="JOA9" s="390"/>
      <c r="JOB9" s="515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5"/>
      <c r="JOP9" s="34"/>
      <c r="JOQ9" s="390"/>
      <c r="JOR9" s="515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5"/>
      <c r="JPF9" s="34"/>
      <c r="JPG9" s="390"/>
      <c r="JPH9" s="515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5"/>
      <c r="JPV9" s="34"/>
      <c r="JPW9" s="390"/>
      <c r="JPX9" s="515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5"/>
      <c r="JQL9" s="34"/>
      <c r="JQM9" s="390"/>
      <c r="JQN9" s="515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5"/>
      <c r="JRB9" s="34"/>
      <c r="JRC9" s="390"/>
      <c r="JRD9" s="515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5"/>
      <c r="JRR9" s="34"/>
      <c r="JRS9" s="390"/>
      <c r="JRT9" s="515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5"/>
      <c r="JSH9" s="34"/>
      <c r="JSI9" s="390"/>
      <c r="JSJ9" s="515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5"/>
      <c r="JSX9" s="34"/>
      <c r="JSY9" s="390"/>
      <c r="JSZ9" s="515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5"/>
      <c r="JTN9" s="34"/>
      <c r="JTO9" s="390"/>
      <c r="JTP9" s="515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5"/>
      <c r="JUD9" s="34"/>
      <c r="JUE9" s="390"/>
      <c r="JUF9" s="515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5"/>
      <c r="JUT9" s="34"/>
      <c r="JUU9" s="390"/>
      <c r="JUV9" s="515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5"/>
      <c r="JVJ9" s="34"/>
      <c r="JVK9" s="390"/>
      <c r="JVL9" s="515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5"/>
      <c r="JVZ9" s="34"/>
      <c r="JWA9" s="390"/>
      <c r="JWB9" s="515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5"/>
      <c r="JWP9" s="34"/>
      <c r="JWQ9" s="390"/>
      <c r="JWR9" s="515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5"/>
      <c r="JXF9" s="34"/>
      <c r="JXG9" s="390"/>
      <c r="JXH9" s="515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5"/>
      <c r="JXV9" s="34"/>
      <c r="JXW9" s="390"/>
      <c r="JXX9" s="515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5"/>
      <c r="JYL9" s="34"/>
      <c r="JYM9" s="390"/>
      <c r="JYN9" s="515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5"/>
      <c r="JZB9" s="34"/>
      <c r="JZC9" s="390"/>
      <c r="JZD9" s="515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5"/>
      <c r="JZR9" s="34"/>
      <c r="JZS9" s="390"/>
      <c r="JZT9" s="515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5"/>
      <c r="KAH9" s="34"/>
      <c r="KAI9" s="390"/>
      <c r="KAJ9" s="515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5"/>
      <c r="KAX9" s="34"/>
      <c r="KAY9" s="390"/>
      <c r="KAZ9" s="515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5"/>
      <c r="KBN9" s="34"/>
      <c r="KBO9" s="390"/>
      <c r="KBP9" s="515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5"/>
      <c r="KCD9" s="34"/>
      <c r="KCE9" s="390"/>
      <c r="KCF9" s="515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5"/>
      <c r="KCT9" s="34"/>
      <c r="KCU9" s="390"/>
      <c r="KCV9" s="515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5"/>
      <c r="KDJ9" s="34"/>
      <c r="KDK9" s="390"/>
      <c r="KDL9" s="515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5"/>
      <c r="KDZ9" s="34"/>
      <c r="KEA9" s="390"/>
      <c r="KEB9" s="515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5"/>
      <c r="KEP9" s="34"/>
      <c r="KEQ9" s="390"/>
      <c r="KER9" s="515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5"/>
      <c r="KFF9" s="34"/>
      <c r="KFG9" s="390"/>
      <c r="KFH9" s="515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5"/>
      <c r="KFV9" s="34"/>
      <c r="KFW9" s="390"/>
      <c r="KFX9" s="515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5"/>
      <c r="KGL9" s="34"/>
      <c r="KGM9" s="390"/>
      <c r="KGN9" s="515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5"/>
      <c r="KHB9" s="34"/>
      <c r="KHC9" s="390"/>
      <c r="KHD9" s="515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5"/>
      <c r="KHR9" s="34"/>
      <c r="KHS9" s="390"/>
      <c r="KHT9" s="515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5"/>
      <c r="KIH9" s="34"/>
      <c r="KII9" s="390"/>
      <c r="KIJ9" s="515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5"/>
      <c r="KIX9" s="34"/>
      <c r="KIY9" s="390"/>
      <c r="KIZ9" s="515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5"/>
      <c r="KJN9" s="34"/>
      <c r="KJO9" s="390"/>
      <c r="KJP9" s="515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5"/>
      <c r="KKD9" s="34"/>
      <c r="KKE9" s="390"/>
      <c r="KKF9" s="515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5"/>
      <c r="KKT9" s="34"/>
      <c r="KKU9" s="390"/>
      <c r="KKV9" s="515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5"/>
      <c r="KLJ9" s="34"/>
      <c r="KLK9" s="390"/>
      <c r="KLL9" s="515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5"/>
      <c r="KLZ9" s="34"/>
      <c r="KMA9" s="390"/>
      <c r="KMB9" s="515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5"/>
      <c r="KMP9" s="34"/>
      <c r="KMQ9" s="390"/>
      <c r="KMR9" s="515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5"/>
      <c r="KNF9" s="34"/>
      <c r="KNG9" s="390"/>
      <c r="KNH9" s="515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5"/>
      <c r="KNV9" s="34"/>
      <c r="KNW9" s="390"/>
      <c r="KNX9" s="515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5"/>
      <c r="KOL9" s="34"/>
      <c r="KOM9" s="390"/>
      <c r="KON9" s="515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5"/>
      <c r="KPB9" s="34"/>
      <c r="KPC9" s="390"/>
      <c r="KPD9" s="515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5"/>
      <c r="KPR9" s="34"/>
      <c r="KPS9" s="390"/>
      <c r="KPT9" s="515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5"/>
      <c r="KQH9" s="34"/>
      <c r="KQI9" s="390"/>
      <c r="KQJ9" s="515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5"/>
      <c r="KQX9" s="34"/>
      <c r="KQY9" s="390"/>
      <c r="KQZ9" s="515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5"/>
      <c r="KRN9" s="34"/>
      <c r="KRO9" s="390"/>
      <c r="KRP9" s="515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5"/>
      <c r="KSD9" s="34"/>
      <c r="KSE9" s="390"/>
      <c r="KSF9" s="515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5"/>
      <c r="KST9" s="34"/>
      <c r="KSU9" s="390"/>
      <c r="KSV9" s="515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5"/>
      <c r="KTJ9" s="34"/>
      <c r="KTK9" s="390"/>
      <c r="KTL9" s="515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5"/>
      <c r="KTZ9" s="34"/>
      <c r="KUA9" s="390"/>
      <c r="KUB9" s="515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5"/>
      <c r="KUP9" s="34"/>
      <c r="KUQ9" s="390"/>
      <c r="KUR9" s="515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5"/>
      <c r="KVF9" s="34"/>
      <c r="KVG9" s="390"/>
      <c r="KVH9" s="515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5"/>
      <c r="KVV9" s="34"/>
      <c r="KVW9" s="390"/>
      <c r="KVX9" s="515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5"/>
      <c r="KWL9" s="34"/>
      <c r="KWM9" s="390"/>
      <c r="KWN9" s="515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5"/>
      <c r="KXB9" s="34"/>
      <c r="KXC9" s="390"/>
      <c r="KXD9" s="515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5"/>
      <c r="KXR9" s="34"/>
      <c r="KXS9" s="390"/>
      <c r="KXT9" s="515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5"/>
      <c r="KYH9" s="34"/>
      <c r="KYI9" s="390"/>
      <c r="KYJ9" s="515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5"/>
      <c r="KYX9" s="34"/>
      <c r="KYY9" s="390"/>
      <c r="KYZ9" s="515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5"/>
      <c r="KZN9" s="34"/>
      <c r="KZO9" s="390"/>
      <c r="KZP9" s="515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5"/>
      <c r="LAD9" s="34"/>
      <c r="LAE9" s="390"/>
      <c r="LAF9" s="515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5"/>
      <c r="LAT9" s="34"/>
      <c r="LAU9" s="390"/>
      <c r="LAV9" s="515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5"/>
      <c r="LBJ9" s="34"/>
      <c r="LBK9" s="390"/>
      <c r="LBL9" s="515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5"/>
      <c r="LBZ9" s="34"/>
      <c r="LCA9" s="390"/>
      <c r="LCB9" s="515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5"/>
      <c r="LCP9" s="34"/>
      <c r="LCQ9" s="390"/>
      <c r="LCR9" s="515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5"/>
      <c r="LDF9" s="34"/>
      <c r="LDG9" s="390"/>
      <c r="LDH9" s="515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5"/>
      <c r="LDV9" s="34"/>
      <c r="LDW9" s="390"/>
      <c r="LDX9" s="515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5"/>
      <c r="LEL9" s="34"/>
      <c r="LEM9" s="390"/>
      <c r="LEN9" s="515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5"/>
      <c r="LFB9" s="34"/>
      <c r="LFC9" s="390"/>
      <c r="LFD9" s="515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5"/>
      <c r="LFR9" s="34"/>
      <c r="LFS9" s="390"/>
      <c r="LFT9" s="515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5"/>
      <c r="LGH9" s="34"/>
      <c r="LGI9" s="390"/>
      <c r="LGJ9" s="515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5"/>
      <c r="LGX9" s="34"/>
      <c r="LGY9" s="390"/>
      <c r="LGZ9" s="515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5"/>
      <c r="LHN9" s="34"/>
      <c r="LHO9" s="390"/>
      <c r="LHP9" s="515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5"/>
      <c r="LID9" s="34"/>
      <c r="LIE9" s="390"/>
      <c r="LIF9" s="515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5"/>
      <c r="LIT9" s="34"/>
      <c r="LIU9" s="390"/>
      <c r="LIV9" s="515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5"/>
      <c r="LJJ9" s="34"/>
      <c r="LJK9" s="390"/>
      <c r="LJL9" s="515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5"/>
      <c r="LJZ9" s="34"/>
      <c r="LKA9" s="390"/>
      <c r="LKB9" s="515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5"/>
      <c r="LKP9" s="34"/>
      <c r="LKQ9" s="390"/>
      <c r="LKR9" s="515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5"/>
      <c r="LLF9" s="34"/>
      <c r="LLG9" s="390"/>
      <c r="LLH9" s="515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5"/>
      <c r="LLV9" s="34"/>
      <c r="LLW9" s="390"/>
      <c r="LLX9" s="515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5"/>
      <c r="LML9" s="34"/>
      <c r="LMM9" s="390"/>
      <c r="LMN9" s="515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5"/>
      <c r="LNB9" s="34"/>
      <c r="LNC9" s="390"/>
      <c r="LND9" s="515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5"/>
      <c r="LNR9" s="34"/>
      <c r="LNS9" s="390"/>
      <c r="LNT9" s="515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5"/>
      <c r="LOH9" s="34"/>
      <c r="LOI9" s="390"/>
      <c r="LOJ9" s="515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5"/>
      <c r="LOX9" s="34"/>
      <c r="LOY9" s="390"/>
      <c r="LOZ9" s="515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5"/>
      <c r="LPN9" s="34"/>
      <c r="LPO9" s="390"/>
      <c r="LPP9" s="515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5"/>
      <c r="LQD9" s="34"/>
      <c r="LQE9" s="390"/>
      <c r="LQF9" s="515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5"/>
      <c r="LQT9" s="34"/>
      <c r="LQU9" s="390"/>
      <c r="LQV9" s="515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5"/>
      <c r="LRJ9" s="34"/>
      <c r="LRK9" s="390"/>
      <c r="LRL9" s="515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5"/>
      <c r="LRZ9" s="34"/>
      <c r="LSA9" s="390"/>
      <c r="LSB9" s="515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5"/>
      <c r="LSP9" s="34"/>
      <c r="LSQ9" s="390"/>
      <c r="LSR9" s="515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5"/>
      <c r="LTF9" s="34"/>
      <c r="LTG9" s="390"/>
      <c r="LTH9" s="515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5"/>
      <c r="LTV9" s="34"/>
      <c r="LTW9" s="390"/>
      <c r="LTX9" s="515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5"/>
      <c r="LUL9" s="34"/>
      <c r="LUM9" s="390"/>
      <c r="LUN9" s="515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5"/>
      <c r="LVB9" s="34"/>
      <c r="LVC9" s="390"/>
      <c r="LVD9" s="515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5"/>
      <c r="LVR9" s="34"/>
      <c r="LVS9" s="390"/>
      <c r="LVT9" s="515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5"/>
      <c r="LWH9" s="34"/>
      <c r="LWI9" s="390"/>
      <c r="LWJ9" s="515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5"/>
      <c r="LWX9" s="34"/>
      <c r="LWY9" s="390"/>
      <c r="LWZ9" s="515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5"/>
      <c r="LXN9" s="34"/>
      <c r="LXO9" s="390"/>
      <c r="LXP9" s="515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5"/>
      <c r="LYD9" s="34"/>
      <c r="LYE9" s="390"/>
      <c r="LYF9" s="515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5"/>
      <c r="LYT9" s="34"/>
      <c r="LYU9" s="390"/>
      <c r="LYV9" s="515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5"/>
      <c r="LZJ9" s="34"/>
      <c r="LZK9" s="390"/>
      <c r="LZL9" s="515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5"/>
      <c r="LZZ9" s="34"/>
      <c r="MAA9" s="390"/>
      <c r="MAB9" s="515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5"/>
      <c r="MAP9" s="34"/>
      <c r="MAQ9" s="390"/>
      <c r="MAR9" s="515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5"/>
      <c r="MBF9" s="34"/>
      <c r="MBG9" s="390"/>
      <c r="MBH9" s="515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5"/>
      <c r="MBV9" s="34"/>
      <c r="MBW9" s="390"/>
      <c r="MBX9" s="515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5"/>
      <c r="MCL9" s="34"/>
      <c r="MCM9" s="390"/>
      <c r="MCN9" s="515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5"/>
      <c r="MDB9" s="34"/>
      <c r="MDC9" s="390"/>
      <c r="MDD9" s="515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5"/>
      <c r="MDR9" s="34"/>
      <c r="MDS9" s="390"/>
      <c r="MDT9" s="515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5"/>
      <c r="MEH9" s="34"/>
      <c r="MEI9" s="390"/>
      <c r="MEJ9" s="515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5"/>
      <c r="MEX9" s="34"/>
      <c r="MEY9" s="390"/>
      <c r="MEZ9" s="515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5"/>
      <c r="MFN9" s="34"/>
      <c r="MFO9" s="390"/>
      <c r="MFP9" s="515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5"/>
      <c r="MGD9" s="34"/>
      <c r="MGE9" s="390"/>
      <c r="MGF9" s="515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5"/>
      <c r="MGT9" s="34"/>
      <c r="MGU9" s="390"/>
      <c r="MGV9" s="515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5"/>
      <c r="MHJ9" s="34"/>
      <c r="MHK9" s="390"/>
      <c r="MHL9" s="515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5"/>
      <c r="MHZ9" s="34"/>
      <c r="MIA9" s="390"/>
      <c r="MIB9" s="515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5"/>
      <c r="MIP9" s="34"/>
      <c r="MIQ9" s="390"/>
      <c r="MIR9" s="515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5"/>
      <c r="MJF9" s="34"/>
      <c r="MJG9" s="390"/>
      <c r="MJH9" s="515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5"/>
      <c r="MJV9" s="34"/>
      <c r="MJW9" s="390"/>
      <c r="MJX9" s="515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5"/>
      <c r="MKL9" s="34"/>
      <c r="MKM9" s="390"/>
      <c r="MKN9" s="515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5"/>
      <c r="MLB9" s="34"/>
      <c r="MLC9" s="390"/>
      <c r="MLD9" s="515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5"/>
      <c r="MLR9" s="34"/>
      <c r="MLS9" s="390"/>
      <c r="MLT9" s="515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5"/>
      <c r="MMH9" s="34"/>
      <c r="MMI9" s="390"/>
      <c r="MMJ9" s="515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5"/>
      <c r="MMX9" s="34"/>
      <c r="MMY9" s="390"/>
      <c r="MMZ9" s="515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5"/>
      <c r="MNN9" s="34"/>
      <c r="MNO9" s="390"/>
      <c r="MNP9" s="515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5"/>
      <c r="MOD9" s="34"/>
      <c r="MOE9" s="390"/>
      <c r="MOF9" s="515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5"/>
      <c r="MOT9" s="34"/>
      <c r="MOU9" s="390"/>
      <c r="MOV9" s="515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5"/>
      <c r="MPJ9" s="34"/>
      <c r="MPK9" s="390"/>
      <c r="MPL9" s="515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5"/>
      <c r="MPZ9" s="34"/>
      <c r="MQA9" s="390"/>
      <c r="MQB9" s="515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5"/>
      <c r="MQP9" s="34"/>
      <c r="MQQ9" s="390"/>
      <c r="MQR9" s="515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5"/>
      <c r="MRF9" s="34"/>
      <c r="MRG9" s="390"/>
      <c r="MRH9" s="515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5"/>
      <c r="MRV9" s="34"/>
      <c r="MRW9" s="390"/>
      <c r="MRX9" s="515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5"/>
      <c r="MSL9" s="34"/>
      <c r="MSM9" s="390"/>
      <c r="MSN9" s="515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5"/>
      <c r="MTB9" s="34"/>
      <c r="MTC9" s="390"/>
      <c r="MTD9" s="515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5"/>
      <c r="MTR9" s="34"/>
      <c r="MTS9" s="390"/>
      <c r="MTT9" s="515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5"/>
      <c r="MUH9" s="34"/>
      <c r="MUI9" s="390"/>
      <c r="MUJ9" s="515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5"/>
      <c r="MUX9" s="34"/>
      <c r="MUY9" s="390"/>
      <c r="MUZ9" s="515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5"/>
      <c r="MVN9" s="34"/>
      <c r="MVO9" s="390"/>
      <c r="MVP9" s="515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5"/>
      <c r="MWD9" s="34"/>
      <c r="MWE9" s="390"/>
      <c r="MWF9" s="515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5"/>
      <c r="MWT9" s="34"/>
      <c r="MWU9" s="390"/>
      <c r="MWV9" s="515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5"/>
      <c r="MXJ9" s="34"/>
      <c r="MXK9" s="390"/>
      <c r="MXL9" s="515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5"/>
      <c r="MXZ9" s="34"/>
      <c r="MYA9" s="390"/>
      <c r="MYB9" s="515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5"/>
      <c r="MYP9" s="34"/>
      <c r="MYQ9" s="390"/>
      <c r="MYR9" s="515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5"/>
      <c r="MZF9" s="34"/>
      <c r="MZG9" s="390"/>
      <c r="MZH9" s="515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5"/>
      <c r="MZV9" s="34"/>
      <c r="MZW9" s="390"/>
      <c r="MZX9" s="515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5"/>
      <c r="NAL9" s="34"/>
      <c r="NAM9" s="390"/>
      <c r="NAN9" s="515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5"/>
      <c r="NBB9" s="34"/>
      <c r="NBC9" s="390"/>
      <c r="NBD9" s="515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5"/>
      <c r="NBR9" s="34"/>
      <c r="NBS9" s="390"/>
      <c r="NBT9" s="515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5"/>
      <c r="NCH9" s="34"/>
      <c r="NCI9" s="390"/>
      <c r="NCJ9" s="515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5"/>
      <c r="NCX9" s="34"/>
      <c r="NCY9" s="390"/>
      <c r="NCZ9" s="515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5"/>
      <c r="NDN9" s="34"/>
      <c r="NDO9" s="390"/>
      <c r="NDP9" s="515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5"/>
      <c r="NED9" s="34"/>
      <c r="NEE9" s="390"/>
      <c r="NEF9" s="515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5"/>
      <c r="NET9" s="34"/>
      <c r="NEU9" s="390"/>
      <c r="NEV9" s="515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5"/>
      <c r="NFJ9" s="34"/>
      <c r="NFK9" s="390"/>
      <c r="NFL9" s="515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5"/>
      <c r="NFZ9" s="34"/>
      <c r="NGA9" s="390"/>
      <c r="NGB9" s="515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5"/>
      <c r="NGP9" s="34"/>
      <c r="NGQ9" s="390"/>
      <c r="NGR9" s="515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5"/>
      <c r="NHF9" s="34"/>
      <c r="NHG9" s="390"/>
      <c r="NHH9" s="515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5"/>
      <c r="NHV9" s="34"/>
      <c r="NHW9" s="390"/>
      <c r="NHX9" s="515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5"/>
      <c r="NIL9" s="34"/>
      <c r="NIM9" s="390"/>
      <c r="NIN9" s="515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5"/>
      <c r="NJB9" s="34"/>
      <c r="NJC9" s="390"/>
      <c r="NJD9" s="515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5"/>
      <c r="NJR9" s="34"/>
      <c r="NJS9" s="390"/>
      <c r="NJT9" s="515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5"/>
      <c r="NKH9" s="34"/>
      <c r="NKI9" s="390"/>
      <c r="NKJ9" s="515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5"/>
      <c r="NKX9" s="34"/>
      <c r="NKY9" s="390"/>
      <c r="NKZ9" s="515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5"/>
      <c r="NLN9" s="34"/>
      <c r="NLO9" s="390"/>
      <c r="NLP9" s="515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5"/>
      <c r="NMD9" s="34"/>
      <c r="NME9" s="390"/>
      <c r="NMF9" s="515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5"/>
      <c r="NMT9" s="34"/>
      <c r="NMU9" s="390"/>
      <c r="NMV9" s="515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5"/>
      <c r="NNJ9" s="34"/>
      <c r="NNK9" s="390"/>
      <c r="NNL9" s="515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5"/>
      <c r="NNZ9" s="34"/>
      <c r="NOA9" s="390"/>
      <c r="NOB9" s="515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5"/>
      <c r="NOP9" s="34"/>
      <c r="NOQ9" s="390"/>
      <c r="NOR9" s="515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5"/>
      <c r="NPF9" s="34"/>
      <c r="NPG9" s="390"/>
      <c r="NPH9" s="515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5"/>
      <c r="NPV9" s="34"/>
      <c r="NPW9" s="390"/>
      <c r="NPX9" s="515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5"/>
      <c r="NQL9" s="34"/>
      <c r="NQM9" s="390"/>
      <c r="NQN9" s="515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5"/>
      <c r="NRB9" s="34"/>
      <c r="NRC9" s="390"/>
      <c r="NRD9" s="515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5"/>
      <c r="NRR9" s="34"/>
      <c r="NRS9" s="390"/>
      <c r="NRT9" s="515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5"/>
      <c r="NSH9" s="34"/>
      <c r="NSI9" s="390"/>
      <c r="NSJ9" s="515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5"/>
      <c r="NSX9" s="34"/>
      <c r="NSY9" s="390"/>
      <c r="NSZ9" s="515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5"/>
      <c r="NTN9" s="34"/>
      <c r="NTO9" s="390"/>
      <c r="NTP9" s="515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5"/>
      <c r="NUD9" s="34"/>
      <c r="NUE9" s="390"/>
      <c r="NUF9" s="515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5"/>
      <c r="NUT9" s="34"/>
      <c r="NUU9" s="390"/>
      <c r="NUV9" s="515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5"/>
      <c r="NVJ9" s="34"/>
      <c r="NVK9" s="390"/>
      <c r="NVL9" s="515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5"/>
      <c r="NVZ9" s="34"/>
      <c r="NWA9" s="390"/>
      <c r="NWB9" s="515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5"/>
      <c r="NWP9" s="34"/>
      <c r="NWQ9" s="390"/>
      <c r="NWR9" s="515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5"/>
      <c r="NXF9" s="34"/>
      <c r="NXG9" s="390"/>
      <c r="NXH9" s="515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5"/>
      <c r="NXV9" s="34"/>
      <c r="NXW9" s="390"/>
      <c r="NXX9" s="515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5"/>
      <c r="NYL9" s="34"/>
      <c r="NYM9" s="390"/>
      <c r="NYN9" s="515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5"/>
      <c r="NZB9" s="34"/>
      <c r="NZC9" s="390"/>
      <c r="NZD9" s="515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5"/>
      <c r="NZR9" s="34"/>
      <c r="NZS9" s="390"/>
      <c r="NZT9" s="515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5"/>
      <c r="OAH9" s="34"/>
      <c r="OAI9" s="390"/>
      <c r="OAJ9" s="515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5"/>
      <c r="OAX9" s="34"/>
      <c r="OAY9" s="390"/>
      <c r="OAZ9" s="515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5"/>
      <c r="OBN9" s="34"/>
      <c r="OBO9" s="390"/>
      <c r="OBP9" s="515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5"/>
      <c r="OCD9" s="34"/>
      <c r="OCE9" s="390"/>
      <c r="OCF9" s="515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5"/>
      <c r="OCT9" s="34"/>
      <c r="OCU9" s="390"/>
      <c r="OCV9" s="515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5"/>
      <c r="ODJ9" s="34"/>
      <c r="ODK9" s="390"/>
      <c r="ODL9" s="515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5"/>
      <c r="ODZ9" s="34"/>
      <c r="OEA9" s="390"/>
      <c r="OEB9" s="515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5"/>
      <c r="OEP9" s="34"/>
      <c r="OEQ9" s="390"/>
      <c r="OER9" s="515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5"/>
      <c r="OFF9" s="34"/>
      <c r="OFG9" s="390"/>
      <c r="OFH9" s="515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5"/>
      <c r="OFV9" s="34"/>
      <c r="OFW9" s="390"/>
      <c r="OFX9" s="515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5"/>
      <c r="OGL9" s="34"/>
      <c r="OGM9" s="390"/>
      <c r="OGN9" s="515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5"/>
      <c r="OHB9" s="34"/>
      <c r="OHC9" s="390"/>
      <c r="OHD9" s="515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5"/>
      <c r="OHR9" s="34"/>
      <c r="OHS9" s="390"/>
      <c r="OHT9" s="515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5"/>
      <c r="OIH9" s="34"/>
      <c r="OII9" s="390"/>
      <c r="OIJ9" s="515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5"/>
      <c r="OIX9" s="34"/>
      <c r="OIY9" s="390"/>
      <c r="OIZ9" s="515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5"/>
      <c r="OJN9" s="34"/>
      <c r="OJO9" s="390"/>
      <c r="OJP9" s="515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5"/>
      <c r="OKD9" s="34"/>
      <c r="OKE9" s="390"/>
      <c r="OKF9" s="515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5"/>
      <c r="OKT9" s="34"/>
      <c r="OKU9" s="390"/>
      <c r="OKV9" s="515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5"/>
      <c r="OLJ9" s="34"/>
      <c r="OLK9" s="390"/>
      <c r="OLL9" s="515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5"/>
      <c r="OLZ9" s="34"/>
      <c r="OMA9" s="390"/>
      <c r="OMB9" s="515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5"/>
      <c r="OMP9" s="34"/>
      <c r="OMQ9" s="390"/>
      <c r="OMR9" s="515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5"/>
      <c r="ONF9" s="34"/>
      <c r="ONG9" s="390"/>
      <c r="ONH9" s="515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5"/>
      <c r="ONV9" s="34"/>
      <c r="ONW9" s="390"/>
      <c r="ONX9" s="515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5"/>
      <c r="OOL9" s="34"/>
      <c r="OOM9" s="390"/>
      <c r="OON9" s="515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5"/>
      <c r="OPB9" s="34"/>
      <c r="OPC9" s="390"/>
      <c r="OPD9" s="515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5"/>
      <c r="OPR9" s="34"/>
      <c r="OPS9" s="390"/>
      <c r="OPT9" s="515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5"/>
      <c r="OQH9" s="34"/>
      <c r="OQI9" s="390"/>
      <c r="OQJ9" s="515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5"/>
      <c r="OQX9" s="34"/>
      <c r="OQY9" s="390"/>
      <c r="OQZ9" s="515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5"/>
      <c r="ORN9" s="34"/>
      <c r="ORO9" s="390"/>
      <c r="ORP9" s="515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5"/>
      <c r="OSD9" s="34"/>
      <c r="OSE9" s="390"/>
      <c r="OSF9" s="515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5"/>
      <c r="OST9" s="34"/>
      <c r="OSU9" s="390"/>
      <c r="OSV9" s="515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5"/>
      <c r="OTJ9" s="34"/>
      <c r="OTK9" s="390"/>
      <c r="OTL9" s="515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5"/>
      <c r="OTZ9" s="34"/>
      <c r="OUA9" s="390"/>
      <c r="OUB9" s="515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5"/>
      <c r="OUP9" s="34"/>
      <c r="OUQ9" s="390"/>
      <c r="OUR9" s="515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5"/>
      <c r="OVF9" s="34"/>
      <c r="OVG9" s="390"/>
      <c r="OVH9" s="515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5"/>
      <c r="OVV9" s="34"/>
      <c r="OVW9" s="390"/>
      <c r="OVX9" s="515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5"/>
      <c r="OWL9" s="34"/>
      <c r="OWM9" s="390"/>
      <c r="OWN9" s="515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5"/>
      <c r="OXB9" s="34"/>
      <c r="OXC9" s="390"/>
      <c r="OXD9" s="515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5"/>
      <c r="OXR9" s="34"/>
      <c r="OXS9" s="390"/>
      <c r="OXT9" s="515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5"/>
      <c r="OYH9" s="34"/>
      <c r="OYI9" s="390"/>
      <c r="OYJ9" s="515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5"/>
      <c r="OYX9" s="34"/>
      <c r="OYY9" s="390"/>
      <c r="OYZ9" s="515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5"/>
      <c r="OZN9" s="34"/>
      <c r="OZO9" s="390"/>
      <c r="OZP9" s="515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5"/>
      <c r="PAD9" s="34"/>
      <c r="PAE9" s="390"/>
      <c r="PAF9" s="515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5"/>
      <c r="PAT9" s="34"/>
      <c r="PAU9" s="390"/>
      <c r="PAV9" s="515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5"/>
      <c r="PBJ9" s="34"/>
      <c r="PBK9" s="390"/>
      <c r="PBL9" s="515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5"/>
      <c r="PBZ9" s="34"/>
      <c r="PCA9" s="390"/>
      <c r="PCB9" s="515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5"/>
      <c r="PCP9" s="34"/>
      <c r="PCQ9" s="390"/>
      <c r="PCR9" s="515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5"/>
      <c r="PDF9" s="34"/>
      <c r="PDG9" s="390"/>
      <c r="PDH9" s="515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5"/>
      <c r="PDV9" s="34"/>
      <c r="PDW9" s="390"/>
      <c r="PDX9" s="515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5"/>
      <c r="PEL9" s="34"/>
      <c r="PEM9" s="390"/>
      <c r="PEN9" s="515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5"/>
      <c r="PFB9" s="34"/>
      <c r="PFC9" s="390"/>
      <c r="PFD9" s="515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5"/>
      <c r="PFR9" s="34"/>
      <c r="PFS9" s="390"/>
      <c r="PFT9" s="515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5"/>
      <c r="PGH9" s="34"/>
      <c r="PGI9" s="390"/>
      <c r="PGJ9" s="515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5"/>
      <c r="PGX9" s="34"/>
      <c r="PGY9" s="390"/>
      <c r="PGZ9" s="515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5"/>
      <c r="PHN9" s="34"/>
      <c r="PHO9" s="390"/>
      <c r="PHP9" s="515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5"/>
      <c r="PID9" s="34"/>
      <c r="PIE9" s="390"/>
      <c r="PIF9" s="515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5"/>
      <c r="PIT9" s="34"/>
      <c r="PIU9" s="390"/>
      <c r="PIV9" s="515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5"/>
      <c r="PJJ9" s="34"/>
      <c r="PJK9" s="390"/>
      <c r="PJL9" s="515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5"/>
      <c r="PJZ9" s="34"/>
      <c r="PKA9" s="390"/>
      <c r="PKB9" s="515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5"/>
      <c r="PKP9" s="34"/>
      <c r="PKQ9" s="390"/>
      <c r="PKR9" s="515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5"/>
      <c r="PLF9" s="34"/>
      <c r="PLG9" s="390"/>
      <c r="PLH9" s="515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5"/>
      <c r="PLV9" s="34"/>
      <c r="PLW9" s="390"/>
      <c r="PLX9" s="515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5"/>
      <c r="PML9" s="34"/>
      <c r="PMM9" s="390"/>
      <c r="PMN9" s="515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5"/>
      <c r="PNB9" s="34"/>
      <c r="PNC9" s="390"/>
      <c r="PND9" s="515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5"/>
      <c r="PNR9" s="34"/>
      <c r="PNS9" s="390"/>
      <c r="PNT9" s="515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5"/>
      <c r="POH9" s="34"/>
      <c r="POI9" s="390"/>
      <c r="POJ9" s="515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5"/>
      <c r="POX9" s="34"/>
      <c r="POY9" s="390"/>
      <c r="POZ9" s="515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5"/>
      <c r="PPN9" s="34"/>
      <c r="PPO9" s="390"/>
      <c r="PPP9" s="515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5"/>
      <c r="PQD9" s="34"/>
      <c r="PQE9" s="390"/>
      <c r="PQF9" s="515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5"/>
      <c r="PQT9" s="34"/>
      <c r="PQU9" s="390"/>
      <c r="PQV9" s="515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5"/>
      <c r="PRJ9" s="34"/>
      <c r="PRK9" s="390"/>
      <c r="PRL9" s="515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5"/>
      <c r="PRZ9" s="34"/>
      <c r="PSA9" s="390"/>
      <c r="PSB9" s="515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5"/>
      <c r="PSP9" s="34"/>
      <c r="PSQ9" s="390"/>
      <c r="PSR9" s="515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5"/>
      <c r="PTF9" s="34"/>
      <c r="PTG9" s="390"/>
      <c r="PTH9" s="515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5"/>
      <c r="PTV9" s="34"/>
      <c r="PTW9" s="390"/>
      <c r="PTX9" s="515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5"/>
      <c r="PUL9" s="34"/>
      <c r="PUM9" s="390"/>
      <c r="PUN9" s="515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5"/>
      <c r="PVB9" s="34"/>
      <c r="PVC9" s="390"/>
      <c r="PVD9" s="515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5"/>
      <c r="PVR9" s="34"/>
      <c r="PVS9" s="390"/>
      <c r="PVT9" s="515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5"/>
      <c r="PWH9" s="34"/>
      <c r="PWI9" s="390"/>
      <c r="PWJ9" s="515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5"/>
      <c r="PWX9" s="34"/>
      <c r="PWY9" s="390"/>
      <c r="PWZ9" s="515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5"/>
      <c r="PXN9" s="34"/>
      <c r="PXO9" s="390"/>
      <c r="PXP9" s="515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5"/>
      <c r="PYD9" s="34"/>
      <c r="PYE9" s="390"/>
      <c r="PYF9" s="515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5"/>
      <c r="PYT9" s="34"/>
      <c r="PYU9" s="390"/>
      <c r="PYV9" s="515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5"/>
      <c r="PZJ9" s="34"/>
      <c r="PZK9" s="390"/>
      <c r="PZL9" s="515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5"/>
      <c r="PZZ9" s="34"/>
      <c r="QAA9" s="390"/>
      <c r="QAB9" s="515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5"/>
      <c r="QAP9" s="34"/>
      <c r="QAQ9" s="390"/>
      <c r="QAR9" s="515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5"/>
      <c r="QBF9" s="34"/>
      <c r="QBG9" s="390"/>
      <c r="QBH9" s="515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5"/>
      <c r="QBV9" s="34"/>
      <c r="QBW9" s="390"/>
      <c r="QBX9" s="515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5"/>
      <c r="QCL9" s="34"/>
      <c r="QCM9" s="390"/>
      <c r="QCN9" s="515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5"/>
      <c r="QDB9" s="34"/>
      <c r="QDC9" s="390"/>
      <c r="QDD9" s="515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5"/>
      <c r="QDR9" s="34"/>
      <c r="QDS9" s="390"/>
      <c r="QDT9" s="515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5"/>
      <c r="QEH9" s="34"/>
      <c r="QEI9" s="390"/>
      <c r="QEJ9" s="515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5"/>
      <c r="QEX9" s="34"/>
      <c r="QEY9" s="390"/>
      <c r="QEZ9" s="515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5"/>
      <c r="QFN9" s="34"/>
      <c r="QFO9" s="390"/>
      <c r="QFP9" s="515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5"/>
      <c r="QGD9" s="34"/>
      <c r="QGE9" s="390"/>
      <c r="QGF9" s="515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5"/>
      <c r="QGT9" s="34"/>
      <c r="QGU9" s="390"/>
      <c r="QGV9" s="515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5"/>
      <c r="QHJ9" s="34"/>
      <c r="QHK9" s="390"/>
      <c r="QHL9" s="515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5"/>
      <c r="QHZ9" s="34"/>
      <c r="QIA9" s="390"/>
      <c r="QIB9" s="515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5"/>
      <c r="QIP9" s="34"/>
      <c r="QIQ9" s="390"/>
      <c r="QIR9" s="515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5"/>
      <c r="QJF9" s="34"/>
      <c r="QJG9" s="390"/>
      <c r="QJH9" s="515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5"/>
      <c r="QJV9" s="34"/>
      <c r="QJW9" s="390"/>
      <c r="QJX9" s="515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5"/>
      <c r="QKL9" s="34"/>
      <c r="QKM9" s="390"/>
      <c r="QKN9" s="515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5"/>
      <c r="QLB9" s="34"/>
      <c r="QLC9" s="390"/>
      <c r="QLD9" s="515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5"/>
      <c r="QLR9" s="34"/>
      <c r="QLS9" s="390"/>
      <c r="QLT9" s="515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5"/>
      <c r="QMH9" s="34"/>
      <c r="QMI9" s="390"/>
      <c r="QMJ9" s="515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5"/>
      <c r="QMX9" s="34"/>
      <c r="QMY9" s="390"/>
      <c r="QMZ9" s="515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5"/>
      <c r="QNN9" s="34"/>
      <c r="QNO9" s="390"/>
      <c r="QNP9" s="515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5"/>
      <c r="QOD9" s="34"/>
      <c r="QOE9" s="390"/>
      <c r="QOF9" s="515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5"/>
      <c r="QOT9" s="34"/>
      <c r="QOU9" s="390"/>
      <c r="QOV9" s="515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5"/>
      <c r="QPJ9" s="34"/>
      <c r="QPK9" s="390"/>
      <c r="QPL9" s="515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5"/>
      <c r="QPZ9" s="34"/>
      <c r="QQA9" s="390"/>
      <c r="QQB9" s="515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5"/>
      <c r="QQP9" s="34"/>
      <c r="QQQ9" s="390"/>
      <c r="QQR9" s="515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5"/>
      <c r="QRF9" s="34"/>
      <c r="QRG9" s="390"/>
      <c r="QRH9" s="515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5"/>
      <c r="QRV9" s="34"/>
      <c r="QRW9" s="390"/>
      <c r="QRX9" s="515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5"/>
      <c r="QSL9" s="34"/>
      <c r="QSM9" s="390"/>
      <c r="QSN9" s="515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5"/>
      <c r="QTB9" s="34"/>
      <c r="QTC9" s="390"/>
      <c r="QTD9" s="515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5"/>
      <c r="QTR9" s="34"/>
      <c r="QTS9" s="390"/>
      <c r="QTT9" s="515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5"/>
      <c r="QUH9" s="34"/>
      <c r="QUI9" s="390"/>
      <c r="QUJ9" s="515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5"/>
      <c r="QUX9" s="34"/>
      <c r="QUY9" s="390"/>
      <c r="QUZ9" s="515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5"/>
      <c r="QVN9" s="34"/>
      <c r="QVO9" s="390"/>
      <c r="QVP9" s="515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5"/>
      <c r="QWD9" s="34"/>
      <c r="QWE9" s="390"/>
      <c r="QWF9" s="515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5"/>
      <c r="QWT9" s="34"/>
      <c r="QWU9" s="390"/>
      <c r="QWV9" s="515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5"/>
      <c r="QXJ9" s="34"/>
      <c r="QXK9" s="390"/>
      <c r="QXL9" s="515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5"/>
      <c r="QXZ9" s="34"/>
      <c r="QYA9" s="390"/>
      <c r="QYB9" s="515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5"/>
      <c r="QYP9" s="34"/>
      <c r="QYQ9" s="390"/>
      <c r="QYR9" s="515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5"/>
      <c r="QZF9" s="34"/>
      <c r="QZG9" s="390"/>
      <c r="QZH9" s="515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5"/>
      <c r="QZV9" s="34"/>
      <c r="QZW9" s="390"/>
      <c r="QZX9" s="515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5"/>
      <c r="RAL9" s="34"/>
      <c r="RAM9" s="390"/>
      <c r="RAN9" s="515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5"/>
      <c r="RBB9" s="34"/>
      <c r="RBC9" s="390"/>
      <c r="RBD9" s="515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5"/>
      <c r="RBR9" s="34"/>
      <c r="RBS9" s="390"/>
      <c r="RBT9" s="515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5"/>
      <c r="RCH9" s="34"/>
      <c r="RCI9" s="390"/>
      <c r="RCJ9" s="515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5"/>
      <c r="RCX9" s="34"/>
      <c r="RCY9" s="390"/>
      <c r="RCZ9" s="515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5"/>
      <c r="RDN9" s="34"/>
      <c r="RDO9" s="390"/>
      <c r="RDP9" s="515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5"/>
      <c r="RED9" s="34"/>
      <c r="REE9" s="390"/>
      <c r="REF9" s="515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5"/>
      <c r="RET9" s="34"/>
      <c r="REU9" s="390"/>
      <c r="REV9" s="515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5"/>
      <c r="RFJ9" s="34"/>
      <c r="RFK9" s="390"/>
      <c r="RFL9" s="515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5"/>
      <c r="RFZ9" s="34"/>
      <c r="RGA9" s="390"/>
      <c r="RGB9" s="515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5"/>
      <c r="RGP9" s="34"/>
      <c r="RGQ9" s="390"/>
      <c r="RGR9" s="515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5"/>
      <c r="RHF9" s="34"/>
      <c r="RHG9" s="390"/>
      <c r="RHH9" s="515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5"/>
      <c r="RHV9" s="34"/>
      <c r="RHW9" s="390"/>
      <c r="RHX9" s="515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5"/>
      <c r="RIL9" s="34"/>
      <c r="RIM9" s="390"/>
      <c r="RIN9" s="515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5"/>
      <c r="RJB9" s="34"/>
      <c r="RJC9" s="390"/>
      <c r="RJD9" s="515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5"/>
      <c r="RJR9" s="34"/>
      <c r="RJS9" s="390"/>
      <c r="RJT9" s="515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5"/>
      <c r="RKH9" s="34"/>
      <c r="RKI9" s="390"/>
      <c r="RKJ9" s="515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5"/>
      <c r="RKX9" s="34"/>
      <c r="RKY9" s="390"/>
      <c r="RKZ9" s="515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5"/>
      <c r="RLN9" s="34"/>
      <c r="RLO9" s="390"/>
      <c r="RLP9" s="515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5"/>
      <c r="RMD9" s="34"/>
      <c r="RME9" s="390"/>
      <c r="RMF9" s="515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5"/>
      <c r="RMT9" s="34"/>
      <c r="RMU9" s="390"/>
      <c r="RMV9" s="515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5"/>
      <c r="RNJ9" s="34"/>
      <c r="RNK9" s="390"/>
      <c r="RNL9" s="515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5"/>
      <c r="RNZ9" s="34"/>
      <c r="ROA9" s="390"/>
      <c r="ROB9" s="515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5"/>
      <c r="ROP9" s="34"/>
      <c r="ROQ9" s="390"/>
      <c r="ROR9" s="515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5"/>
      <c r="RPF9" s="34"/>
      <c r="RPG9" s="390"/>
      <c r="RPH9" s="515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5"/>
      <c r="RPV9" s="34"/>
      <c r="RPW9" s="390"/>
      <c r="RPX9" s="515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5"/>
      <c r="RQL9" s="34"/>
      <c r="RQM9" s="390"/>
      <c r="RQN9" s="515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5"/>
      <c r="RRB9" s="34"/>
      <c r="RRC9" s="390"/>
      <c r="RRD9" s="515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5"/>
      <c r="RRR9" s="34"/>
      <c r="RRS9" s="390"/>
      <c r="RRT9" s="515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5"/>
      <c r="RSH9" s="34"/>
      <c r="RSI9" s="390"/>
      <c r="RSJ9" s="515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5"/>
      <c r="RSX9" s="34"/>
      <c r="RSY9" s="390"/>
      <c r="RSZ9" s="515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5"/>
      <c r="RTN9" s="34"/>
      <c r="RTO9" s="390"/>
      <c r="RTP9" s="515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5"/>
      <c r="RUD9" s="34"/>
      <c r="RUE9" s="390"/>
      <c r="RUF9" s="515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5"/>
      <c r="RUT9" s="34"/>
      <c r="RUU9" s="390"/>
      <c r="RUV9" s="515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5"/>
      <c r="RVJ9" s="34"/>
      <c r="RVK9" s="390"/>
      <c r="RVL9" s="515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5"/>
      <c r="RVZ9" s="34"/>
      <c r="RWA9" s="390"/>
      <c r="RWB9" s="515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5"/>
      <c r="RWP9" s="34"/>
      <c r="RWQ9" s="390"/>
      <c r="RWR9" s="515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5"/>
      <c r="RXF9" s="34"/>
      <c r="RXG9" s="390"/>
      <c r="RXH9" s="515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5"/>
      <c r="RXV9" s="34"/>
      <c r="RXW9" s="390"/>
      <c r="RXX9" s="515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5"/>
      <c r="RYL9" s="34"/>
      <c r="RYM9" s="390"/>
      <c r="RYN9" s="515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5"/>
      <c r="RZB9" s="34"/>
      <c r="RZC9" s="390"/>
      <c r="RZD9" s="515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5"/>
      <c r="RZR9" s="34"/>
      <c r="RZS9" s="390"/>
      <c r="RZT9" s="515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5"/>
      <c r="SAH9" s="34"/>
      <c r="SAI9" s="390"/>
      <c r="SAJ9" s="515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5"/>
      <c r="SAX9" s="34"/>
      <c r="SAY9" s="390"/>
      <c r="SAZ9" s="515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5"/>
      <c r="SBN9" s="34"/>
      <c r="SBO9" s="390"/>
      <c r="SBP9" s="515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5"/>
      <c r="SCD9" s="34"/>
      <c r="SCE9" s="390"/>
      <c r="SCF9" s="515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5"/>
      <c r="SCT9" s="34"/>
      <c r="SCU9" s="390"/>
      <c r="SCV9" s="515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5"/>
      <c r="SDJ9" s="34"/>
      <c r="SDK9" s="390"/>
      <c r="SDL9" s="515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5"/>
      <c r="SDZ9" s="34"/>
      <c r="SEA9" s="390"/>
      <c r="SEB9" s="515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5"/>
      <c r="SEP9" s="34"/>
      <c r="SEQ9" s="390"/>
      <c r="SER9" s="515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5"/>
      <c r="SFF9" s="34"/>
      <c r="SFG9" s="390"/>
      <c r="SFH9" s="515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5"/>
      <c r="SFV9" s="34"/>
      <c r="SFW9" s="390"/>
      <c r="SFX9" s="515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5"/>
      <c r="SGL9" s="34"/>
      <c r="SGM9" s="390"/>
      <c r="SGN9" s="515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5"/>
      <c r="SHB9" s="34"/>
      <c r="SHC9" s="390"/>
      <c r="SHD9" s="515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5"/>
      <c r="SHR9" s="34"/>
      <c r="SHS9" s="390"/>
      <c r="SHT9" s="515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5"/>
      <c r="SIH9" s="34"/>
      <c r="SII9" s="390"/>
      <c r="SIJ9" s="515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5"/>
      <c r="SIX9" s="34"/>
      <c r="SIY9" s="390"/>
      <c r="SIZ9" s="515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5"/>
      <c r="SJN9" s="34"/>
      <c r="SJO9" s="390"/>
      <c r="SJP9" s="515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5"/>
      <c r="SKD9" s="34"/>
      <c r="SKE9" s="390"/>
      <c r="SKF9" s="515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5"/>
      <c r="SKT9" s="34"/>
      <c r="SKU9" s="390"/>
      <c r="SKV9" s="515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5"/>
      <c r="SLJ9" s="34"/>
      <c r="SLK9" s="390"/>
      <c r="SLL9" s="515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5"/>
      <c r="SLZ9" s="34"/>
      <c r="SMA9" s="390"/>
      <c r="SMB9" s="515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5"/>
      <c r="SMP9" s="34"/>
      <c r="SMQ9" s="390"/>
      <c r="SMR9" s="515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5"/>
      <c r="SNF9" s="34"/>
      <c r="SNG9" s="390"/>
      <c r="SNH9" s="515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5"/>
      <c r="SNV9" s="34"/>
      <c r="SNW9" s="390"/>
      <c r="SNX9" s="515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5"/>
      <c r="SOL9" s="34"/>
      <c r="SOM9" s="390"/>
      <c r="SON9" s="515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5"/>
      <c r="SPB9" s="34"/>
      <c r="SPC9" s="390"/>
      <c r="SPD9" s="515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5"/>
      <c r="SPR9" s="34"/>
      <c r="SPS9" s="390"/>
      <c r="SPT9" s="515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5"/>
      <c r="SQH9" s="34"/>
      <c r="SQI9" s="390"/>
      <c r="SQJ9" s="515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5"/>
      <c r="SQX9" s="34"/>
      <c r="SQY9" s="390"/>
      <c r="SQZ9" s="515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5"/>
      <c r="SRN9" s="34"/>
      <c r="SRO9" s="390"/>
      <c r="SRP9" s="515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5"/>
      <c r="SSD9" s="34"/>
      <c r="SSE9" s="390"/>
      <c r="SSF9" s="515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5"/>
      <c r="SST9" s="34"/>
      <c r="SSU9" s="390"/>
      <c r="SSV9" s="515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5"/>
      <c r="STJ9" s="34"/>
      <c r="STK9" s="390"/>
      <c r="STL9" s="515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5"/>
      <c r="STZ9" s="34"/>
      <c r="SUA9" s="390"/>
      <c r="SUB9" s="515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5"/>
      <c r="SUP9" s="34"/>
      <c r="SUQ9" s="390"/>
      <c r="SUR9" s="515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5"/>
      <c r="SVF9" s="34"/>
      <c r="SVG9" s="390"/>
      <c r="SVH9" s="515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5"/>
      <c r="SVV9" s="34"/>
      <c r="SVW9" s="390"/>
      <c r="SVX9" s="515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5"/>
      <c r="SWL9" s="34"/>
      <c r="SWM9" s="390"/>
      <c r="SWN9" s="515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5"/>
      <c r="SXB9" s="34"/>
      <c r="SXC9" s="390"/>
      <c r="SXD9" s="515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5"/>
      <c r="SXR9" s="34"/>
      <c r="SXS9" s="390"/>
      <c r="SXT9" s="515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5"/>
      <c r="SYH9" s="34"/>
      <c r="SYI9" s="390"/>
      <c r="SYJ9" s="515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5"/>
      <c r="SYX9" s="34"/>
      <c r="SYY9" s="390"/>
      <c r="SYZ9" s="515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5"/>
      <c r="SZN9" s="34"/>
      <c r="SZO9" s="390"/>
      <c r="SZP9" s="515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5"/>
      <c r="TAD9" s="34"/>
      <c r="TAE9" s="390"/>
      <c r="TAF9" s="515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5"/>
      <c r="TAT9" s="34"/>
      <c r="TAU9" s="390"/>
      <c r="TAV9" s="515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5"/>
      <c r="TBJ9" s="34"/>
      <c r="TBK9" s="390"/>
      <c r="TBL9" s="515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5"/>
      <c r="TBZ9" s="34"/>
      <c r="TCA9" s="390"/>
      <c r="TCB9" s="515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5"/>
      <c r="TCP9" s="34"/>
      <c r="TCQ9" s="390"/>
      <c r="TCR9" s="515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5"/>
      <c r="TDF9" s="34"/>
      <c r="TDG9" s="390"/>
      <c r="TDH9" s="515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5"/>
      <c r="TDV9" s="34"/>
      <c r="TDW9" s="390"/>
      <c r="TDX9" s="515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5"/>
      <c r="TEL9" s="34"/>
      <c r="TEM9" s="390"/>
      <c r="TEN9" s="515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5"/>
      <c r="TFB9" s="34"/>
      <c r="TFC9" s="390"/>
      <c r="TFD9" s="515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5"/>
      <c r="TFR9" s="34"/>
      <c r="TFS9" s="390"/>
      <c r="TFT9" s="515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5"/>
      <c r="TGH9" s="34"/>
      <c r="TGI9" s="390"/>
      <c r="TGJ9" s="515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5"/>
      <c r="TGX9" s="34"/>
      <c r="TGY9" s="390"/>
      <c r="TGZ9" s="515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5"/>
      <c r="THN9" s="34"/>
      <c r="THO9" s="390"/>
      <c r="THP9" s="515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5"/>
      <c r="TID9" s="34"/>
      <c r="TIE9" s="390"/>
      <c r="TIF9" s="515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5"/>
      <c r="TIT9" s="34"/>
      <c r="TIU9" s="390"/>
      <c r="TIV9" s="515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5"/>
      <c r="TJJ9" s="34"/>
      <c r="TJK9" s="390"/>
      <c r="TJL9" s="515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5"/>
      <c r="TJZ9" s="34"/>
      <c r="TKA9" s="390"/>
      <c r="TKB9" s="515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5"/>
      <c r="TKP9" s="34"/>
      <c r="TKQ9" s="390"/>
      <c r="TKR9" s="515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5"/>
      <c r="TLF9" s="34"/>
      <c r="TLG9" s="390"/>
      <c r="TLH9" s="515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5"/>
      <c r="TLV9" s="34"/>
      <c r="TLW9" s="390"/>
      <c r="TLX9" s="515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5"/>
      <c r="TML9" s="34"/>
      <c r="TMM9" s="390"/>
      <c r="TMN9" s="515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5"/>
      <c r="TNB9" s="34"/>
      <c r="TNC9" s="390"/>
      <c r="TND9" s="515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5"/>
      <c r="TNR9" s="34"/>
      <c r="TNS9" s="390"/>
      <c r="TNT9" s="515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5"/>
      <c r="TOH9" s="34"/>
      <c r="TOI9" s="390"/>
      <c r="TOJ9" s="515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5"/>
      <c r="TOX9" s="34"/>
      <c r="TOY9" s="390"/>
      <c r="TOZ9" s="515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5"/>
      <c r="TPN9" s="34"/>
      <c r="TPO9" s="390"/>
      <c r="TPP9" s="515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5"/>
      <c r="TQD9" s="34"/>
      <c r="TQE9" s="390"/>
      <c r="TQF9" s="515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5"/>
      <c r="TQT9" s="34"/>
      <c r="TQU9" s="390"/>
      <c r="TQV9" s="515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5"/>
      <c r="TRJ9" s="34"/>
      <c r="TRK9" s="390"/>
      <c r="TRL9" s="515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5"/>
      <c r="TRZ9" s="34"/>
      <c r="TSA9" s="390"/>
      <c r="TSB9" s="515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5"/>
      <c r="TSP9" s="34"/>
      <c r="TSQ9" s="390"/>
      <c r="TSR9" s="515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5"/>
      <c r="TTF9" s="34"/>
      <c r="TTG9" s="390"/>
      <c r="TTH9" s="515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5"/>
      <c r="TTV9" s="34"/>
      <c r="TTW9" s="390"/>
      <c r="TTX9" s="515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5"/>
      <c r="TUL9" s="34"/>
      <c r="TUM9" s="390"/>
      <c r="TUN9" s="515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5"/>
      <c r="TVB9" s="34"/>
      <c r="TVC9" s="390"/>
      <c r="TVD9" s="515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5"/>
      <c r="TVR9" s="34"/>
      <c r="TVS9" s="390"/>
      <c r="TVT9" s="515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5"/>
      <c r="TWH9" s="34"/>
      <c r="TWI9" s="390"/>
      <c r="TWJ9" s="515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5"/>
      <c r="TWX9" s="34"/>
      <c r="TWY9" s="390"/>
      <c r="TWZ9" s="515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5"/>
      <c r="TXN9" s="34"/>
      <c r="TXO9" s="390"/>
      <c r="TXP9" s="515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5"/>
      <c r="TYD9" s="34"/>
      <c r="TYE9" s="390"/>
      <c r="TYF9" s="515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5"/>
      <c r="TYT9" s="34"/>
      <c r="TYU9" s="390"/>
      <c r="TYV9" s="515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5"/>
      <c r="TZJ9" s="34"/>
      <c r="TZK9" s="390"/>
      <c r="TZL9" s="515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5"/>
      <c r="TZZ9" s="34"/>
      <c r="UAA9" s="390"/>
      <c r="UAB9" s="515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5"/>
      <c r="UAP9" s="34"/>
      <c r="UAQ9" s="390"/>
      <c r="UAR9" s="515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5"/>
      <c r="UBF9" s="34"/>
      <c r="UBG9" s="390"/>
      <c r="UBH9" s="515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5"/>
      <c r="UBV9" s="34"/>
      <c r="UBW9" s="390"/>
      <c r="UBX9" s="515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5"/>
      <c r="UCL9" s="34"/>
      <c r="UCM9" s="390"/>
      <c r="UCN9" s="515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5"/>
      <c r="UDB9" s="34"/>
      <c r="UDC9" s="390"/>
      <c r="UDD9" s="515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5"/>
      <c r="UDR9" s="34"/>
      <c r="UDS9" s="390"/>
      <c r="UDT9" s="515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5"/>
      <c r="UEH9" s="34"/>
      <c r="UEI9" s="390"/>
      <c r="UEJ9" s="515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5"/>
      <c r="UEX9" s="34"/>
      <c r="UEY9" s="390"/>
      <c r="UEZ9" s="515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5"/>
      <c r="UFN9" s="34"/>
      <c r="UFO9" s="390"/>
      <c r="UFP9" s="515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5"/>
      <c r="UGD9" s="34"/>
      <c r="UGE9" s="390"/>
      <c r="UGF9" s="515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5"/>
      <c r="UGT9" s="34"/>
      <c r="UGU9" s="390"/>
      <c r="UGV9" s="515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5"/>
      <c r="UHJ9" s="34"/>
      <c r="UHK9" s="390"/>
      <c r="UHL9" s="515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5"/>
      <c r="UHZ9" s="34"/>
      <c r="UIA9" s="390"/>
      <c r="UIB9" s="515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5"/>
      <c r="UIP9" s="34"/>
      <c r="UIQ9" s="390"/>
      <c r="UIR9" s="515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5"/>
      <c r="UJF9" s="34"/>
      <c r="UJG9" s="390"/>
      <c r="UJH9" s="515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5"/>
      <c r="UJV9" s="34"/>
      <c r="UJW9" s="390"/>
      <c r="UJX9" s="515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5"/>
      <c r="UKL9" s="34"/>
      <c r="UKM9" s="390"/>
      <c r="UKN9" s="515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5"/>
      <c r="ULB9" s="34"/>
      <c r="ULC9" s="390"/>
      <c r="ULD9" s="515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5"/>
      <c r="ULR9" s="34"/>
      <c r="ULS9" s="390"/>
      <c r="ULT9" s="515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5"/>
      <c r="UMH9" s="34"/>
      <c r="UMI9" s="390"/>
      <c r="UMJ9" s="515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5"/>
      <c r="UMX9" s="34"/>
      <c r="UMY9" s="390"/>
      <c r="UMZ9" s="515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5"/>
      <c r="UNN9" s="34"/>
      <c r="UNO9" s="390"/>
      <c r="UNP9" s="515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5"/>
      <c r="UOD9" s="34"/>
      <c r="UOE9" s="390"/>
      <c r="UOF9" s="515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5"/>
      <c r="UOT9" s="34"/>
      <c r="UOU9" s="390"/>
      <c r="UOV9" s="515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5"/>
      <c r="UPJ9" s="34"/>
      <c r="UPK9" s="390"/>
      <c r="UPL9" s="515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5"/>
      <c r="UPZ9" s="34"/>
      <c r="UQA9" s="390"/>
      <c r="UQB9" s="515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5"/>
      <c r="UQP9" s="34"/>
      <c r="UQQ9" s="390"/>
      <c r="UQR9" s="515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5"/>
      <c r="URF9" s="34"/>
      <c r="URG9" s="390"/>
      <c r="URH9" s="515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5"/>
      <c r="URV9" s="34"/>
      <c r="URW9" s="390"/>
      <c r="URX9" s="515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5"/>
      <c r="USL9" s="34"/>
      <c r="USM9" s="390"/>
      <c r="USN9" s="515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5"/>
      <c r="UTB9" s="34"/>
      <c r="UTC9" s="390"/>
      <c r="UTD9" s="515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5"/>
      <c r="UTR9" s="34"/>
      <c r="UTS9" s="390"/>
      <c r="UTT9" s="515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5"/>
      <c r="UUH9" s="34"/>
      <c r="UUI9" s="390"/>
      <c r="UUJ9" s="515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5"/>
      <c r="UUX9" s="34"/>
      <c r="UUY9" s="390"/>
      <c r="UUZ9" s="515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5"/>
      <c r="UVN9" s="34"/>
      <c r="UVO9" s="390"/>
      <c r="UVP9" s="515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5"/>
      <c r="UWD9" s="34"/>
      <c r="UWE9" s="390"/>
      <c r="UWF9" s="515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5"/>
      <c r="UWT9" s="34"/>
      <c r="UWU9" s="390"/>
      <c r="UWV9" s="515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5"/>
      <c r="UXJ9" s="34"/>
      <c r="UXK9" s="390"/>
      <c r="UXL9" s="515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5"/>
      <c r="UXZ9" s="34"/>
      <c r="UYA9" s="390"/>
      <c r="UYB9" s="515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5"/>
      <c r="UYP9" s="34"/>
      <c r="UYQ9" s="390"/>
      <c r="UYR9" s="515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5"/>
      <c r="UZF9" s="34"/>
      <c r="UZG9" s="390"/>
      <c r="UZH9" s="515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5"/>
      <c r="UZV9" s="34"/>
      <c r="UZW9" s="390"/>
      <c r="UZX9" s="515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5"/>
      <c r="VAL9" s="34"/>
      <c r="VAM9" s="390"/>
      <c r="VAN9" s="515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5"/>
      <c r="VBB9" s="34"/>
      <c r="VBC9" s="390"/>
      <c r="VBD9" s="515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5"/>
      <c r="VBR9" s="34"/>
      <c r="VBS9" s="390"/>
      <c r="VBT9" s="515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5"/>
      <c r="VCH9" s="34"/>
      <c r="VCI9" s="390"/>
      <c r="VCJ9" s="515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5"/>
      <c r="VCX9" s="34"/>
      <c r="VCY9" s="390"/>
      <c r="VCZ9" s="515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5"/>
      <c r="VDN9" s="34"/>
      <c r="VDO9" s="390"/>
      <c r="VDP9" s="515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5"/>
      <c r="VED9" s="34"/>
      <c r="VEE9" s="390"/>
      <c r="VEF9" s="515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5"/>
      <c r="VET9" s="34"/>
      <c r="VEU9" s="390"/>
      <c r="VEV9" s="515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5"/>
      <c r="VFJ9" s="34"/>
      <c r="VFK9" s="390"/>
      <c r="VFL9" s="515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5"/>
      <c r="VFZ9" s="34"/>
      <c r="VGA9" s="390"/>
      <c r="VGB9" s="515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5"/>
      <c r="VGP9" s="34"/>
      <c r="VGQ9" s="390"/>
      <c r="VGR9" s="515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5"/>
      <c r="VHF9" s="34"/>
      <c r="VHG9" s="390"/>
      <c r="VHH9" s="515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5"/>
      <c r="VHV9" s="34"/>
      <c r="VHW9" s="390"/>
      <c r="VHX9" s="515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5"/>
      <c r="VIL9" s="34"/>
      <c r="VIM9" s="390"/>
      <c r="VIN9" s="515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5"/>
      <c r="VJB9" s="34"/>
      <c r="VJC9" s="390"/>
      <c r="VJD9" s="515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5"/>
      <c r="VJR9" s="34"/>
      <c r="VJS9" s="390"/>
      <c r="VJT9" s="515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5"/>
      <c r="VKH9" s="34"/>
      <c r="VKI9" s="390"/>
      <c r="VKJ9" s="515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5"/>
      <c r="VKX9" s="34"/>
      <c r="VKY9" s="390"/>
      <c r="VKZ9" s="515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5"/>
      <c r="VLN9" s="34"/>
      <c r="VLO9" s="390"/>
      <c r="VLP9" s="515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5"/>
      <c r="VMD9" s="34"/>
      <c r="VME9" s="390"/>
      <c r="VMF9" s="515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5"/>
      <c r="VMT9" s="34"/>
      <c r="VMU9" s="390"/>
      <c r="VMV9" s="515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5"/>
      <c r="VNJ9" s="34"/>
      <c r="VNK9" s="390"/>
      <c r="VNL9" s="515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5"/>
      <c r="VNZ9" s="34"/>
      <c r="VOA9" s="390"/>
      <c r="VOB9" s="515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5"/>
      <c r="VOP9" s="34"/>
      <c r="VOQ9" s="390"/>
      <c r="VOR9" s="515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5"/>
      <c r="VPF9" s="34"/>
      <c r="VPG9" s="390"/>
      <c r="VPH9" s="515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5"/>
      <c r="VPV9" s="34"/>
      <c r="VPW9" s="390"/>
      <c r="VPX9" s="515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5"/>
      <c r="VQL9" s="34"/>
      <c r="VQM9" s="390"/>
      <c r="VQN9" s="515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5"/>
      <c r="VRB9" s="34"/>
      <c r="VRC9" s="390"/>
      <c r="VRD9" s="515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5"/>
      <c r="VRR9" s="34"/>
      <c r="VRS9" s="390"/>
      <c r="VRT9" s="515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5"/>
      <c r="VSH9" s="34"/>
      <c r="VSI9" s="390"/>
      <c r="VSJ9" s="515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5"/>
      <c r="VSX9" s="34"/>
      <c r="VSY9" s="390"/>
      <c r="VSZ9" s="515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5"/>
      <c r="VTN9" s="34"/>
      <c r="VTO9" s="390"/>
      <c r="VTP9" s="515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5"/>
      <c r="VUD9" s="34"/>
      <c r="VUE9" s="390"/>
      <c r="VUF9" s="515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5"/>
      <c r="VUT9" s="34"/>
      <c r="VUU9" s="390"/>
      <c r="VUV9" s="515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5"/>
      <c r="VVJ9" s="34"/>
      <c r="VVK9" s="390"/>
      <c r="VVL9" s="515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5"/>
      <c r="VVZ9" s="34"/>
      <c r="VWA9" s="390"/>
      <c r="VWB9" s="515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5"/>
      <c r="VWP9" s="34"/>
      <c r="VWQ9" s="390"/>
      <c r="VWR9" s="515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5"/>
      <c r="VXF9" s="34"/>
      <c r="VXG9" s="390"/>
      <c r="VXH9" s="515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5"/>
      <c r="VXV9" s="34"/>
      <c r="VXW9" s="390"/>
      <c r="VXX9" s="515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5"/>
      <c r="VYL9" s="34"/>
      <c r="VYM9" s="390"/>
      <c r="VYN9" s="515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5"/>
      <c r="VZB9" s="34"/>
      <c r="VZC9" s="390"/>
      <c r="VZD9" s="515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5"/>
      <c r="VZR9" s="34"/>
      <c r="VZS9" s="390"/>
      <c r="VZT9" s="515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5"/>
      <c r="WAH9" s="34"/>
      <c r="WAI9" s="390"/>
      <c r="WAJ9" s="515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5"/>
      <c r="WAX9" s="34"/>
      <c r="WAY9" s="390"/>
      <c r="WAZ9" s="515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5"/>
      <c r="WBN9" s="34"/>
      <c r="WBO9" s="390"/>
      <c r="WBP9" s="515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5"/>
      <c r="WCD9" s="34"/>
      <c r="WCE9" s="390"/>
      <c r="WCF9" s="515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5"/>
      <c r="WCT9" s="34"/>
      <c r="WCU9" s="390"/>
      <c r="WCV9" s="515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5"/>
      <c r="WDJ9" s="34"/>
      <c r="WDK9" s="390"/>
      <c r="WDL9" s="515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5"/>
      <c r="WDZ9" s="34"/>
      <c r="WEA9" s="390"/>
      <c r="WEB9" s="515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5"/>
      <c r="WEP9" s="34"/>
      <c r="WEQ9" s="390"/>
      <c r="WER9" s="515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5"/>
      <c r="WFF9" s="34"/>
      <c r="WFG9" s="390"/>
      <c r="WFH9" s="515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5"/>
      <c r="WFV9" s="34"/>
      <c r="WFW9" s="390"/>
      <c r="WFX9" s="515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5"/>
      <c r="WGL9" s="34"/>
      <c r="WGM9" s="390"/>
      <c r="WGN9" s="515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5"/>
      <c r="WHB9" s="34"/>
      <c r="WHC9" s="390"/>
      <c r="WHD9" s="515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5"/>
      <c r="WHR9" s="34"/>
      <c r="WHS9" s="390"/>
      <c r="WHT9" s="515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5"/>
      <c r="WIH9" s="34"/>
      <c r="WII9" s="390"/>
      <c r="WIJ9" s="515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5"/>
      <c r="WIX9" s="34"/>
      <c r="WIY9" s="390"/>
      <c r="WIZ9" s="515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5"/>
      <c r="WJN9" s="34"/>
      <c r="WJO9" s="390"/>
      <c r="WJP9" s="515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5"/>
      <c r="WKD9" s="34"/>
      <c r="WKE9" s="390"/>
      <c r="WKF9" s="515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5"/>
      <c r="WKT9" s="34"/>
      <c r="WKU9" s="390"/>
      <c r="WKV9" s="515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5"/>
      <c r="WLJ9" s="34"/>
      <c r="WLK9" s="390"/>
      <c r="WLL9" s="515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5"/>
      <c r="WLZ9" s="34"/>
      <c r="WMA9" s="390"/>
      <c r="WMB9" s="515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5"/>
      <c r="WMP9" s="34"/>
      <c r="WMQ9" s="390"/>
      <c r="WMR9" s="515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5"/>
      <c r="WNF9" s="34"/>
      <c r="WNG9" s="390"/>
      <c r="WNH9" s="515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5"/>
      <c r="WNV9" s="34"/>
      <c r="WNW9" s="390"/>
      <c r="WNX9" s="515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5"/>
      <c r="WOL9" s="34"/>
      <c r="WOM9" s="390"/>
      <c r="WON9" s="515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5"/>
      <c r="WPB9" s="34"/>
      <c r="WPC9" s="390"/>
      <c r="WPD9" s="515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5"/>
      <c r="WPR9" s="34"/>
      <c r="WPS9" s="390"/>
      <c r="WPT9" s="515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5"/>
      <c r="WQH9" s="34"/>
      <c r="WQI9" s="390"/>
      <c r="WQJ9" s="515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5"/>
      <c r="WQX9" s="34"/>
      <c r="WQY9" s="390"/>
      <c r="WQZ9" s="515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5"/>
      <c r="WRN9" s="34"/>
      <c r="WRO9" s="390"/>
      <c r="WRP9" s="515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5"/>
      <c r="WSD9" s="34"/>
      <c r="WSE9" s="390"/>
      <c r="WSF9" s="515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5"/>
      <c r="WST9" s="34"/>
      <c r="WSU9" s="390"/>
      <c r="WSV9" s="515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5"/>
      <c r="WTJ9" s="34"/>
      <c r="WTK9" s="390"/>
      <c r="WTL9" s="515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5"/>
      <c r="WTZ9" s="34"/>
      <c r="WUA9" s="390"/>
      <c r="WUB9" s="515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5"/>
      <c r="WUP9" s="34"/>
      <c r="WUQ9" s="390"/>
      <c r="WUR9" s="515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5"/>
      <c r="WVF9" s="34"/>
      <c r="WVG9" s="390"/>
      <c r="WVH9" s="515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5"/>
      <c r="WVV9" s="34"/>
      <c r="WVW9" s="390"/>
      <c r="WVX9" s="515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5"/>
      <c r="WWL9" s="34"/>
      <c r="WWM9" s="390"/>
      <c r="WWN9" s="515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5"/>
      <c r="WXB9" s="34"/>
      <c r="WXC9" s="390"/>
      <c r="WXD9" s="515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5"/>
      <c r="WXR9" s="34"/>
      <c r="WXS9" s="390"/>
      <c r="WXT9" s="515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5"/>
      <c r="WYH9" s="34"/>
      <c r="WYI9" s="390"/>
      <c r="WYJ9" s="515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5"/>
      <c r="WYX9" s="34"/>
      <c r="WYY9" s="390"/>
      <c r="WYZ9" s="515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5"/>
      <c r="WZN9" s="34"/>
      <c r="WZO9" s="390"/>
      <c r="WZP9" s="515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5"/>
      <c r="XAD9" s="34"/>
      <c r="XAE9" s="390"/>
      <c r="XAF9" s="515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5"/>
      <c r="XAT9" s="34"/>
      <c r="XAU9" s="390"/>
      <c r="XAV9" s="515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5"/>
      <c r="XBJ9" s="34"/>
      <c r="XBK9" s="390"/>
      <c r="XBL9" s="515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5"/>
      <c r="XBZ9" s="34"/>
      <c r="XCA9" s="390"/>
      <c r="XCB9" s="515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5"/>
      <c r="XCP9" s="34"/>
      <c r="XCQ9" s="390"/>
      <c r="XCR9" s="515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5"/>
      <c r="XDF9" s="34"/>
      <c r="XDG9" s="390"/>
      <c r="XDH9" s="515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5"/>
      <c r="XDV9" s="34"/>
      <c r="XDW9" s="390"/>
      <c r="XDX9" s="515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5"/>
      <c r="XEL9" s="34"/>
      <c r="XEM9" s="390"/>
      <c r="XEN9" s="515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5"/>
      <c r="XFB9" s="34"/>
      <c r="XFC9" s="390"/>
      <c r="XFD9" s="515"/>
    </row>
    <row r="10" spans="1:16384" ht="15" customHeight="1" x14ac:dyDescent="0.2">
      <c r="A10" s="9"/>
      <c r="B10" s="513" t="s">
        <v>4</v>
      </c>
      <c r="C10" s="510">
        <f>SUM(C5:C9)</f>
        <v>1823270872.8800001</v>
      </c>
      <c r="D10" s="152">
        <f>SUM(D5:D9)</f>
        <v>1838503770.96</v>
      </c>
      <c r="E10" s="84">
        <f>SUM(E5:E9)</f>
        <v>1619052232.9900002</v>
      </c>
      <c r="F10" s="90">
        <f t="shared" si="0"/>
        <v>0.88063579665359615</v>
      </c>
      <c r="G10" s="84">
        <f>SUM(G5:G9)</f>
        <v>1590000321.8699999</v>
      </c>
      <c r="H10" s="90">
        <f t="shared" si="1"/>
        <v>0.86483386489860681</v>
      </c>
      <c r="I10" s="84">
        <f>SUM(I5:I9)</f>
        <v>1252062350.3599999</v>
      </c>
      <c r="J10" s="170">
        <f t="shared" si="2"/>
        <v>0.68102245431143082</v>
      </c>
      <c r="K10" s="152">
        <f>SUM(K5:K9)</f>
        <v>1524135985.1399999</v>
      </c>
      <c r="L10" s="90">
        <v>0.83</v>
      </c>
      <c r="M10" s="213">
        <f t="shared" ref="M10" si="3">+G10/K10-1</f>
        <v>4.3214212755399384E-2</v>
      </c>
      <c r="N10" s="693">
        <f>SUM(N5:N9)</f>
        <v>1287869928.6600001</v>
      </c>
      <c r="O10" s="90">
        <v>0.70099999999999996</v>
      </c>
      <c r="P10" s="213">
        <f>+I10/N10-1</f>
        <v>-2.7803722645544759E-2</v>
      </c>
    </row>
    <row r="11" spans="1:16384" ht="15" customHeight="1" x14ac:dyDescent="0.2">
      <c r="A11" s="21">
        <v>6</v>
      </c>
      <c r="B11" s="21" t="s">
        <v>5</v>
      </c>
      <c r="C11" s="159">
        <v>404680722.88999999</v>
      </c>
      <c r="D11" s="511">
        <v>373776969.44</v>
      </c>
      <c r="E11" s="180">
        <v>243540194.59999999</v>
      </c>
      <c r="F11" s="48">
        <f t="shared" si="0"/>
        <v>0.65156554446058224</v>
      </c>
      <c r="G11" s="56">
        <v>241856982.63999999</v>
      </c>
      <c r="H11" s="48">
        <f t="shared" si="1"/>
        <v>0.64706229226042167</v>
      </c>
      <c r="I11" s="30">
        <v>163372245.59</v>
      </c>
      <c r="J11" s="153">
        <f t="shared" si="2"/>
        <v>0.43708483653973523</v>
      </c>
      <c r="K11" s="150">
        <v>278047856.67000002</v>
      </c>
      <c r="L11" s="48">
        <v>0.81299999999999994</v>
      </c>
      <c r="M11" s="210">
        <f>+G11/K11-1</f>
        <v>-0.1301605934440021</v>
      </c>
      <c r="N11" s="682">
        <v>225323359.68000001</v>
      </c>
      <c r="O11" s="48">
        <v>0.65900000000000003</v>
      </c>
      <c r="P11" s="210">
        <f>+I11/N11-1</f>
        <v>-0.27494314916119578</v>
      </c>
    </row>
    <row r="12" spans="1:16384" ht="15" customHeight="1" x14ac:dyDescent="0.2">
      <c r="A12" s="24">
        <v>7</v>
      </c>
      <c r="B12" s="24" t="s">
        <v>6</v>
      </c>
      <c r="C12" s="161">
        <v>17224944.199999999</v>
      </c>
      <c r="D12" s="206">
        <v>37447060.780000001</v>
      </c>
      <c r="E12" s="34">
        <v>28953909.16</v>
      </c>
      <c r="F12" s="48">
        <f t="shared" si="0"/>
        <v>0.77319577443215293</v>
      </c>
      <c r="G12" s="137">
        <v>28674020.059999999</v>
      </c>
      <c r="H12" s="48">
        <f t="shared" si="1"/>
        <v>0.76572151359111285</v>
      </c>
      <c r="I12" s="137">
        <v>20139008.010000002</v>
      </c>
      <c r="J12" s="153">
        <f t="shared" si="2"/>
        <v>0.53779943179828926</v>
      </c>
      <c r="K12" s="137">
        <v>27183268.120000001</v>
      </c>
      <c r="L12" s="390">
        <v>0.60099999999999998</v>
      </c>
      <c r="M12" s="210">
        <f>+G12/K12-1</f>
        <v>5.4840791527313915E-2</v>
      </c>
      <c r="N12" s="137">
        <v>18719220.699999999</v>
      </c>
      <c r="O12" s="390">
        <v>0.41399999999999998</v>
      </c>
      <c r="P12" s="210">
        <f>+I12/N12-1</f>
        <v>7.584649664395493E-2</v>
      </c>
    </row>
    <row r="13" spans="1:16384" ht="15" customHeight="1" x14ac:dyDescent="0.2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411224030.22000003</v>
      </c>
      <c r="E13" s="84">
        <f t="shared" si="4"/>
        <v>272494103.75999999</v>
      </c>
      <c r="F13" s="90">
        <f t="shared" si="0"/>
        <v>0.66264148915183496</v>
      </c>
      <c r="G13" s="84">
        <f t="shared" si="4"/>
        <v>270531002.69999999</v>
      </c>
      <c r="H13" s="90">
        <f t="shared" si="1"/>
        <v>0.65786768967579323</v>
      </c>
      <c r="I13" s="84">
        <f t="shared" si="4"/>
        <v>183511253.59999999</v>
      </c>
      <c r="J13" s="170">
        <f t="shared" si="2"/>
        <v>0.4462561526422073</v>
      </c>
      <c r="K13" s="84">
        <f t="shared" ref="K13" si="5">SUM(K11:K12)</f>
        <v>305231124.79000002</v>
      </c>
      <c r="L13" s="90">
        <v>0.78800000000000003</v>
      </c>
      <c r="M13" s="213">
        <f t="shared" ref="M13:M16" si="6">+G13/K13-1</f>
        <v>-0.11368474336905787</v>
      </c>
      <c r="N13" s="84">
        <f t="shared" ref="N13" si="7">SUM(N11:N12)</f>
        <v>244042580.38</v>
      </c>
      <c r="O13" s="90">
        <v>0.63</v>
      </c>
      <c r="P13" s="213">
        <f>+I13/N13-1</f>
        <v>-0.24803592342674929</v>
      </c>
    </row>
    <row r="14" spans="1:16384" ht="15" customHeight="1" x14ac:dyDescent="0.2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13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16646895.91</v>
      </c>
      <c r="J14" s="153">
        <f t="shared" ref="J14:J15" si="10">I14/D14</f>
        <v>0.59548739016159347</v>
      </c>
      <c r="K14" s="30">
        <v>19326730.16</v>
      </c>
      <c r="L14" s="262">
        <v>0.72799999999999998</v>
      </c>
      <c r="M14" s="210">
        <f t="shared" si="6"/>
        <v>0.18773723852726465</v>
      </c>
      <c r="N14" s="30">
        <v>14429279.35</v>
      </c>
      <c r="O14" s="262">
        <v>0.54400000000000004</v>
      </c>
      <c r="P14" s="210">
        <f t="shared" ref="P14:P15" si="11">+I14/N14-1</f>
        <v>0.1536886566687754</v>
      </c>
    </row>
    <row r="15" spans="1:16384" ht="15" customHeight="1" x14ac:dyDescent="0.2">
      <c r="A15" s="24">
        <v>9</v>
      </c>
      <c r="B15" s="24" t="s">
        <v>9</v>
      </c>
      <c r="C15" s="161">
        <v>127725000</v>
      </c>
      <c r="D15" s="206">
        <v>127725000</v>
      </c>
      <c r="E15" s="34">
        <v>127565454.72</v>
      </c>
      <c r="F15" s="714">
        <f t="shared" si="8"/>
        <v>0.99875086881972985</v>
      </c>
      <c r="G15" s="34">
        <v>127565454.72</v>
      </c>
      <c r="H15" s="48">
        <f t="shared" si="9"/>
        <v>0.99875086881972985</v>
      </c>
      <c r="I15" s="34">
        <v>127565454.72</v>
      </c>
      <c r="J15" s="153">
        <f t="shared" si="10"/>
        <v>0.99875086881972985</v>
      </c>
      <c r="K15" s="34">
        <v>157071192.94</v>
      </c>
      <c r="L15" s="264">
        <v>0.996</v>
      </c>
      <c r="M15" s="210">
        <f t="shared" si="6"/>
        <v>-0.18784945646443885</v>
      </c>
      <c r="N15" s="34">
        <v>157071192.94</v>
      </c>
      <c r="O15" s="264">
        <v>0.996</v>
      </c>
      <c r="P15" s="210">
        <f t="shared" si="11"/>
        <v>-0.18784945646443885</v>
      </c>
    </row>
    <row r="16" spans="1:16384" ht="15" customHeight="1" thickBot="1" x14ac:dyDescent="0.25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150520531.82999998</v>
      </c>
      <c r="F16" s="715">
        <f t="shared" si="8"/>
        <v>0.96685802463757509</v>
      </c>
      <c r="G16" s="84">
        <f t="shared" si="12"/>
        <v>150520531.82999998</v>
      </c>
      <c r="H16" s="90">
        <f>G16/D16</f>
        <v>0.96685802463757509</v>
      </c>
      <c r="I16" s="84">
        <f t="shared" si="12"/>
        <v>144212350.63</v>
      </c>
      <c r="J16" s="170">
        <f>I16/D16</f>
        <v>0.9263378674209084</v>
      </c>
      <c r="K16" s="84">
        <f t="shared" ref="K16" si="13">SUM(K14:K15)</f>
        <v>176397923.09999999</v>
      </c>
      <c r="L16" s="263">
        <v>0.95699999999999996</v>
      </c>
      <c r="M16" s="213">
        <f t="shared" si="6"/>
        <v>-0.14669895662734145</v>
      </c>
      <c r="N16" s="84">
        <f t="shared" ref="N16" si="14">SUM(N14:N15)</f>
        <v>171500472.28999999</v>
      </c>
      <c r="O16" s="263">
        <v>0.93100000000000005</v>
      </c>
      <c r="P16" s="213">
        <f>+I16/N16-1</f>
        <v>-0.15911397383126125</v>
      </c>
    </row>
    <row r="17" spans="1:16" s="6" customFormat="1" ht="13.5" thickBot="1" x14ac:dyDescent="0.25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2405407878.2900004</v>
      </c>
      <c r="E17" s="155">
        <f t="shared" si="15"/>
        <v>2042066868.5800002</v>
      </c>
      <c r="F17" s="181">
        <f>E17/D17</f>
        <v>0.8489482748479652</v>
      </c>
      <c r="G17" s="155">
        <f t="shared" si="15"/>
        <v>2011051856.3999999</v>
      </c>
      <c r="H17" s="181">
        <f>G17/D17</f>
        <v>0.83605440663545694</v>
      </c>
      <c r="I17" s="155">
        <f t="shared" si="15"/>
        <v>1579785954.5899997</v>
      </c>
      <c r="J17" s="173">
        <f>I17/D17</f>
        <v>0.65676427222524369</v>
      </c>
      <c r="K17" s="155">
        <f t="shared" ref="K17" si="16">+K10+K13+K16</f>
        <v>2005765033.0299997</v>
      </c>
      <c r="L17" s="181">
        <v>0.83299999999999996</v>
      </c>
      <c r="M17" s="600">
        <f>+G17/K17-1</f>
        <v>2.6358139078801468E-3</v>
      </c>
      <c r="N17" s="155">
        <f t="shared" ref="N17" si="17">+N10+N13+N16</f>
        <v>1703412981.3299999</v>
      </c>
      <c r="O17" s="181">
        <v>0.70799999999999996</v>
      </c>
      <c r="P17" s="600">
        <f>+I17/N17-1</f>
        <v>-7.2576074090661247E-2</v>
      </c>
    </row>
    <row r="20" spans="1:16" x14ac:dyDescent="0.2">
      <c r="C20" t="s">
        <v>777</v>
      </c>
    </row>
    <row r="21" spans="1:16" x14ac:dyDescent="0.2">
      <c r="D21" s="46">
        <f>D17-D5</f>
        <v>2076257880.0800004</v>
      </c>
      <c r="E21" s="722">
        <f t="shared" ref="E21:I21" si="18">E17-E5</f>
        <v>1777168057.0100002</v>
      </c>
      <c r="F21" s="46">
        <f t="shared" si="18"/>
        <v>4.4151638024067297E-2</v>
      </c>
      <c r="G21" s="722">
        <f t="shared" si="18"/>
        <v>1746491470.7399998</v>
      </c>
      <c r="H21" s="46">
        <f t="shared" si="18"/>
        <v>3.2285951223804066E-2</v>
      </c>
      <c r="I21" s="46">
        <f t="shared" si="18"/>
        <v>1315768381.1599996</v>
      </c>
      <c r="J21" s="719">
        <f t="shared" ref="J21:J22" si="19">I21/D21</f>
        <v>0.63372107760973395</v>
      </c>
      <c r="N21" s="46">
        <f>N17-N5</f>
        <v>1411995897.8499999</v>
      </c>
      <c r="O21" s="442">
        <f>N21/(2401659905-392905585)</f>
        <v>0.70292115058152049</v>
      </c>
      <c r="P21" s="442">
        <f>I21/N21-1</f>
        <v>-6.8149997345263391E-2</v>
      </c>
    </row>
    <row r="22" spans="1:16" x14ac:dyDescent="0.2">
      <c r="D22" s="46">
        <f>D10-D5</f>
        <v>1509353772.75</v>
      </c>
      <c r="E22" s="722">
        <f t="shared" ref="E22:H22" si="20">E10-E5</f>
        <v>1354153421.4200003</v>
      </c>
      <c r="F22" s="46">
        <f t="shared" si="20"/>
        <v>7.5839159829698244E-2</v>
      </c>
      <c r="G22" s="722">
        <f t="shared" si="20"/>
        <v>1325439936.2099998</v>
      </c>
      <c r="H22" s="46">
        <f t="shared" si="20"/>
        <v>6.1065409486953937E-2</v>
      </c>
      <c r="I22" s="46">
        <f>I10-I5</f>
        <v>988044776.92999983</v>
      </c>
      <c r="J22" s="719">
        <f t="shared" si="19"/>
        <v>0.65461444147041159</v>
      </c>
      <c r="N22" s="46">
        <f>N10-N5</f>
        <v>996452845.18000007</v>
      </c>
      <c r="O22" s="442">
        <f>N22/(1836615437-392905585)</f>
        <v>0.69020298212940367</v>
      </c>
      <c r="P22" s="442">
        <f>I22/N22-1</f>
        <v>-8.4379991393184195E-3</v>
      </c>
    </row>
    <row r="137" spans="12:12" x14ac:dyDescent="0.2">
      <c r="L137" s="679"/>
    </row>
    <row r="138" spans="12:12" x14ac:dyDescent="0.2">
      <c r="L138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Header>&amp;LAjuntament de Barcelona&amp;CPressupost 2017
Execució Pressupostària a Octubre&amp;RDirecció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1" sqref="E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2" bestFit="1" customWidth="1"/>
    <col min="13" max="13" width="9" style="97" bestFit="1" customWidth="1"/>
  </cols>
  <sheetData>
    <row r="1" spans="1:13" ht="15" x14ac:dyDescent="0.25">
      <c r="A1" s="7" t="s">
        <v>776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Octubre&amp;RDirecció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topLeftCell="C13" zoomScaleNormal="100" workbookViewId="0">
      <selection activeCell="O41" sqref="O41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7109375" style="46" customWidth="1"/>
    <col min="15" max="15" width="6.28515625" style="97" customWidth="1"/>
    <col min="16" max="16" width="8" style="97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62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42508052.450000003</v>
      </c>
      <c r="D5" s="204">
        <v>45303533.520000003</v>
      </c>
      <c r="E5" s="30">
        <v>36471042.530000001</v>
      </c>
      <c r="F5" s="48">
        <f>+E5/D5</f>
        <v>0.80503748154433141</v>
      </c>
      <c r="G5" s="30">
        <v>36295602.210000001</v>
      </c>
      <c r="H5" s="48">
        <f>G5/D5</f>
        <v>0.80116492886756174</v>
      </c>
      <c r="I5" s="30">
        <v>36208377.93</v>
      </c>
      <c r="J5" s="153">
        <f>I5/D5</f>
        <v>0.7992395982537478</v>
      </c>
      <c r="K5" s="571">
        <v>37919778.409999996</v>
      </c>
      <c r="L5" s="48">
        <v>0.81833557013389269</v>
      </c>
      <c r="M5" s="210">
        <f>+G5/K5-1</f>
        <v>-4.2831901137156292E-2</v>
      </c>
      <c r="N5" s="571">
        <v>37816605.399999999</v>
      </c>
      <c r="O5" s="48">
        <v>0.81610902379050709</v>
      </c>
      <c r="P5" s="210">
        <f>+I5/N5-1</f>
        <v>-4.2527018302917274E-2</v>
      </c>
    </row>
    <row r="6" spans="1:16" ht="15" customHeight="1" x14ac:dyDescent="0.2">
      <c r="A6" s="23">
        <v>2</v>
      </c>
      <c r="B6" s="23" t="s">
        <v>1</v>
      </c>
      <c r="C6" s="160">
        <v>48845879.590000004</v>
      </c>
      <c r="D6" s="205">
        <v>41697196.689999998</v>
      </c>
      <c r="E6" s="32">
        <v>34139475.799999997</v>
      </c>
      <c r="F6" s="48">
        <f>+E6/D6</f>
        <v>0.8187475060688546</v>
      </c>
      <c r="G6" s="32">
        <v>29877157.699999999</v>
      </c>
      <c r="H6" s="48">
        <f>G6/D6</f>
        <v>0.71652677090316885</v>
      </c>
      <c r="I6" s="32">
        <v>19432806.960000001</v>
      </c>
      <c r="J6" s="153">
        <f>I6/D6</f>
        <v>0.46604588563768989</v>
      </c>
      <c r="K6" s="572">
        <v>42344101.789999999</v>
      </c>
      <c r="L6" s="48">
        <v>0.75070545520257648</v>
      </c>
      <c r="M6" s="211">
        <f>+G6/K6-1</f>
        <v>-0.29441984982532321</v>
      </c>
      <c r="N6" s="572">
        <v>26535489.039999999</v>
      </c>
      <c r="O6" s="48">
        <v>0.47043945996513198</v>
      </c>
      <c r="P6" s="211">
        <f>+I6/N6-1</f>
        <v>-0.26766727642717669</v>
      </c>
    </row>
    <row r="7" spans="1:16" ht="15" customHeight="1" x14ac:dyDescent="0.2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2"/>
      <c r="L7" s="48" t="s">
        <v>129</v>
      </c>
      <c r="M7" s="212" t="s">
        <v>129</v>
      </c>
      <c r="N7" s="572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56033357.700000003</v>
      </c>
      <c r="D8" s="206">
        <v>64339812</v>
      </c>
      <c r="E8" s="34">
        <v>61595544.170000002</v>
      </c>
      <c r="F8" s="78">
        <f t="shared" ref="F8" si="0">+E8/D8</f>
        <v>0.95734728242600398</v>
      </c>
      <c r="G8" s="34">
        <v>61574198.670000002</v>
      </c>
      <c r="H8" s="78">
        <f>G8/D8</f>
        <v>0.95701552049918959</v>
      </c>
      <c r="I8" s="34">
        <v>52344558.939999998</v>
      </c>
      <c r="J8" s="172">
        <f>I8/D8</f>
        <v>0.8135640641909242</v>
      </c>
      <c r="K8" s="573">
        <v>49296353.109999999</v>
      </c>
      <c r="L8" s="78">
        <v>0.98435962188102399</v>
      </c>
      <c r="M8" s="515">
        <f>+G8/K8-1</f>
        <v>0.24906194445262897</v>
      </c>
      <c r="N8" s="573">
        <v>41139820.32</v>
      </c>
      <c r="O8" s="78">
        <v>0.82148831342725803</v>
      </c>
      <c r="P8" s="515">
        <f>+I8/N8-1</f>
        <v>0.2723575001749059</v>
      </c>
    </row>
    <row r="9" spans="1:16" ht="15" customHeight="1" x14ac:dyDescent="0.2">
      <c r="A9" s="9"/>
      <c r="B9" s="2" t="s">
        <v>4</v>
      </c>
      <c r="C9" s="162">
        <f>SUM(C5:C8)</f>
        <v>147387289.74000001</v>
      </c>
      <c r="D9" s="152">
        <f>SUM(D5:D8)</f>
        <v>151340542.21000001</v>
      </c>
      <c r="E9" s="84">
        <f>SUM(E5:E8)</f>
        <v>132206062.5</v>
      </c>
      <c r="F9" s="90">
        <f>+E9/D9</f>
        <v>0.87356672950564018</v>
      </c>
      <c r="G9" s="84">
        <f t="shared" ref="G9" si="1">SUM(G5:G8)</f>
        <v>127746958.58</v>
      </c>
      <c r="H9" s="90">
        <f>G9/D9</f>
        <v>0.84410268864200599</v>
      </c>
      <c r="I9" s="84">
        <f>SUM(I5:I8)</f>
        <v>107985743.83</v>
      </c>
      <c r="J9" s="170">
        <f>I9/D9</f>
        <v>0.71352819444877547</v>
      </c>
      <c r="K9" s="561">
        <f t="shared" ref="K9" si="2">SUM(K5:K8)</f>
        <v>129560233.30999999</v>
      </c>
      <c r="L9" s="90">
        <v>0.84777938616710957</v>
      </c>
      <c r="M9" s="213">
        <f t="shared" ref="M9" si="3">+G9/K9-1</f>
        <v>-1.3995611799041408E-2</v>
      </c>
      <c r="N9" s="561">
        <f>SUM(N5:N8)</f>
        <v>105491914.75999999</v>
      </c>
      <c r="O9" s="90">
        <v>0.69028797228881622</v>
      </c>
      <c r="P9" s="213">
        <f>+I9/N9-1</f>
        <v>2.3640001943974642E-2</v>
      </c>
    </row>
    <row r="10" spans="1:16" ht="15" customHeight="1" x14ac:dyDescent="0.2">
      <c r="A10" s="81">
        <v>6</v>
      </c>
      <c r="B10" s="81" t="s">
        <v>5</v>
      </c>
      <c r="C10" s="159">
        <v>3134951.33</v>
      </c>
      <c r="D10" s="204">
        <v>4542076.42</v>
      </c>
      <c r="E10" s="30">
        <v>3225698.79</v>
      </c>
      <c r="F10" s="242">
        <f>+E10/D10</f>
        <v>0.71018153190826327</v>
      </c>
      <c r="G10" s="82">
        <v>2960722.08</v>
      </c>
      <c r="H10" s="353">
        <f t="shared" ref="H10:H11" si="4">G10/D10</f>
        <v>0.6518432994572998</v>
      </c>
      <c r="I10" s="82">
        <v>1107426.48</v>
      </c>
      <c r="J10" s="431">
        <f t="shared" ref="J10:J11" si="5">I10/D10</f>
        <v>0.24381502590394549</v>
      </c>
      <c r="K10" s="571">
        <v>2814184.66</v>
      </c>
      <c r="L10" s="48">
        <v>0.37910216368788729</v>
      </c>
      <c r="M10" s="48">
        <f>+G10/K10-1</f>
        <v>5.2071003755666867E-2</v>
      </c>
      <c r="N10" s="571">
        <v>1020100.5</v>
      </c>
      <c r="O10" s="48">
        <v>0.13741895200618984</v>
      </c>
      <c r="P10" s="245">
        <f>+I10/N10-1</f>
        <v>8.5605271245333237E-2</v>
      </c>
    </row>
    <row r="11" spans="1:16" ht="15" customHeight="1" x14ac:dyDescent="0.2">
      <c r="A11" s="55">
        <v>7</v>
      </c>
      <c r="B11" s="55" t="s">
        <v>6</v>
      </c>
      <c r="C11" s="161">
        <v>0</v>
      </c>
      <c r="D11" s="206">
        <v>69575</v>
      </c>
      <c r="E11" s="34">
        <v>69575</v>
      </c>
      <c r="F11" s="242">
        <f>+E11/D11</f>
        <v>1</v>
      </c>
      <c r="G11" s="56">
        <v>69575</v>
      </c>
      <c r="H11" s="353">
        <f t="shared" si="4"/>
        <v>1</v>
      </c>
      <c r="I11" s="56">
        <v>69575</v>
      </c>
      <c r="J11" s="431">
        <f t="shared" si="5"/>
        <v>1</v>
      </c>
      <c r="K11" s="573"/>
      <c r="L11" s="390" t="s">
        <v>129</v>
      </c>
      <c r="M11" s="48" t="s">
        <v>129</v>
      </c>
      <c r="N11" s="573"/>
      <c r="O11" s="390" t="s">
        <v>129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3134951.33</v>
      </c>
      <c r="D12" s="152">
        <f t="shared" ref="D12:I12" si="6">SUM(D10:D11)</f>
        <v>4611651.42</v>
      </c>
      <c r="E12" s="84">
        <f t="shared" si="6"/>
        <v>3295273.79</v>
      </c>
      <c r="F12" s="90">
        <f>+E12/D12</f>
        <v>0.71455396123586468</v>
      </c>
      <c r="G12" s="84">
        <f t="shared" si="6"/>
        <v>3030297.08</v>
      </c>
      <c r="H12" s="90">
        <f>G12/D12</f>
        <v>0.65709586523779373</v>
      </c>
      <c r="I12" s="84">
        <f t="shared" si="6"/>
        <v>1177001.48</v>
      </c>
      <c r="J12" s="170">
        <f>I12/D12</f>
        <v>0.25522342709935347</v>
      </c>
      <c r="K12" s="561">
        <f t="shared" ref="K12" si="7">SUM(K10:K11)</f>
        <v>2814184.66</v>
      </c>
      <c r="L12" s="90">
        <v>0.37910216368788729</v>
      </c>
      <c r="M12" s="716">
        <f>+G12/K12-1</f>
        <v>7.6793972716772574E-2</v>
      </c>
      <c r="N12" s="561">
        <f t="shared" ref="N12" si="8">SUM(N10:N11)</f>
        <v>1020100.5</v>
      </c>
      <c r="O12" s="90">
        <v>0.13741895200618984</v>
      </c>
      <c r="P12" s="213">
        <f>+I12/N12-1</f>
        <v>0.15380933545273234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25"/>
      <c r="L13" s="27" t="s">
        <v>129</v>
      </c>
      <c r="M13" s="214" t="s">
        <v>129</v>
      </c>
      <c r="N13" s="625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26"/>
      <c r="L14" s="28" t="s">
        <v>129</v>
      </c>
      <c r="M14" s="215" t="s">
        <v>129</v>
      </c>
      <c r="N14" s="626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9">SUM(D13:D14)</f>
        <v>0</v>
      </c>
      <c r="E15" s="84">
        <f t="shared" si="9"/>
        <v>0</v>
      </c>
      <c r="F15" s="58" t="s">
        <v>129</v>
      </c>
      <c r="G15" s="84">
        <f t="shared" si="9"/>
        <v>0</v>
      </c>
      <c r="H15" s="58" t="s">
        <v>129</v>
      </c>
      <c r="I15" s="84">
        <f t="shared" si="9"/>
        <v>0</v>
      </c>
      <c r="J15" s="223" t="s">
        <v>129</v>
      </c>
      <c r="K15" s="561">
        <f t="shared" ref="K15" si="10">SUM(K13:K14)</f>
        <v>0</v>
      </c>
      <c r="L15" s="58" t="s">
        <v>129</v>
      </c>
      <c r="M15" s="216" t="s">
        <v>129</v>
      </c>
      <c r="N15" s="561">
        <f t="shared" ref="N15" si="11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150522241.07000002</v>
      </c>
      <c r="D16" s="154">
        <f>+D9+D12+D15</f>
        <v>155952193.63</v>
      </c>
      <c r="E16" s="155">
        <f t="shared" ref="E16:I16" si="12">+E9+E12+E15</f>
        <v>135501336.28999999</v>
      </c>
      <c r="F16" s="181">
        <f>+E16/D16</f>
        <v>0.86886457404683826</v>
      </c>
      <c r="G16" s="155">
        <f t="shared" si="12"/>
        <v>130777255.66</v>
      </c>
      <c r="H16" s="181">
        <f>G16/D16</f>
        <v>0.83857272293502905</v>
      </c>
      <c r="I16" s="155">
        <f t="shared" si="12"/>
        <v>109162745.31</v>
      </c>
      <c r="J16" s="173">
        <f>I16/D16</f>
        <v>0.69997569619950983</v>
      </c>
      <c r="K16" s="569">
        <f t="shared" ref="K16" si="13">+K9+K12+K15</f>
        <v>132374417.96999998</v>
      </c>
      <c r="L16" s="181">
        <v>0.8260682747765179</v>
      </c>
      <c r="M16" s="600">
        <f>+G16/K16-1</f>
        <v>-1.2065490708045634E-2</v>
      </c>
      <c r="N16" s="569">
        <f t="shared" ref="N16" si="14">+N9+N12+N15</f>
        <v>106512015.25999999</v>
      </c>
      <c r="O16" s="181">
        <v>0.66467674070331817</v>
      </c>
      <c r="P16" s="600">
        <f>+I16/N16-1</f>
        <v>2.4886676339091585E-2</v>
      </c>
    </row>
    <row r="17" spans="4:13" x14ac:dyDescent="0.2">
      <c r="F17" s="441"/>
      <c r="H17" s="441"/>
      <c r="J17" s="441"/>
      <c r="K17" s="441"/>
      <c r="L17" s="441"/>
      <c r="M17" s="441"/>
    </row>
    <row r="18" spans="4:13" x14ac:dyDescent="0.2">
      <c r="F18" s="441"/>
      <c r="H18" s="441"/>
    </row>
    <row r="22" spans="4:13" x14ac:dyDescent="0.2">
      <c r="D22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7"/>
  <sheetViews>
    <sheetView zoomScaleNormal="100" workbookViewId="0">
      <selection activeCell="H9" sqref="H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2.28515625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97" customWidth="1"/>
    <col min="12" max="12" width="10.85546875" customWidth="1"/>
    <col min="13" max="13" width="7.140625" style="97" bestFit="1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3" t="s">
        <v>765</v>
      </c>
      <c r="D2" s="256"/>
      <c r="E2" s="744" t="s">
        <v>784</v>
      </c>
      <c r="F2" s="745"/>
      <c r="G2" s="746"/>
      <c r="H2" s="746"/>
      <c r="I2" s="746"/>
      <c r="J2" s="746"/>
      <c r="K2" s="747"/>
      <c r="L2" s="742" t="s">
        <v>785</v>
      </c>
      <c r="M2" s="743"/>
      <c r="N2" s="138"/>
    </row>
    <row r="3" spans="1:14" x14ac:dyDescent="0.2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764</v>
      </c>
    </row>
    <row r="5" spans="1:14" ht="15" customHeight="1" x14ac:dyDescent="0.2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0.37690173323120291</v>
      </c>
      <c r="G5" s="30">
        <v>855814310.30999994</v>
      </c>
      <c r="H5" s="262">
        <f>G5/$G$18</f>
        <v>0.41234729557137739</v>
      </c>
      <c r="I5" s="134">
        <f>G5/E5</f>
        <v>0.82305583318358544</v>
      </c>
      <c r="J5" s="30">
        <v>781954080.04999995</v>
      </c>
      <c r="K5" s="153">
        <f>J5/G5</f>
        <v>0.9136959625818295</v>
      </c>
      <c r="L5" s="30">
        <v>837782239.29999995</v>
      </c>
      <c r="M5" s="48">
        <v>0.88769998870060463</v>
      </c>
      <c r="N5" s="141">
        <f>+G5/L5-1</f>
        <v>2.1523577564817487E-2</v>
      </c>
    </row>
    <row r="6" spans="1:14" ht="15" customHeight="1" x14ac:dyDescent="0.2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2.2085423733627544E-2</v>
      </c>
      <c r="G6" s="30">
        <v>60266523.439999998</v>
      </c>
      <c r="H6" s="262">
        <f t="shared" ref="H6:H9" si="2">G6/$G$18</f>
        <v>2.9037534958922796E-2</v>
      </c>
      <c r="I6" s="134">
        <f t="shared" ref="I6:I9" si="3">G6/E6</f>
        <v>0.98911842272739192</v>
      </c>
      <c r="J6" s="30">
        <v>55427637.149999999</v>
      </c>
      <c r="K6" s="153">
        <f t="shared" ref="K6:K9" si="4">J6/G6</f>
        <v>0.91970855437152454</v>
      </c>
      <c r="L6" s="30">
        <v>55750504.479999997</v>
      </c>
      <c r="M6" s="48">
        <v>1.0000128158330281</v>
      </c>
      <c r="N6" s="142">
        <f t="shared" ref="N6:N18" si="5">+G6/L6-1</f>
        <v>8.1004091391138511E-2</v>
      </c>
    </row>
    <row r="7" spans="1:14" ht="15" customHeight="1" x14ac:dyDescent="0.2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0.10153523239159003</v>
      </c>
      <c r="G7" s="30">
        <v>192150640.61000001</v>
      </c>
      <c r="H7" s="262">
        <f t="shared" si="2"/>
        <v>9.2581762238984816E-2</v>
      </c>
      <c r="I7" s="134">
        <f t="shared" si="3"/>
        <v>0.68596657938271144</v>
      </c>
      <c r="J7" s="30">
        <v>129408851.17</v>
      </c>
      <c r="K7" s="153">
        <f t="shared" si="4"/>
        <v>0.6734760329665288</v>
      </c>
      <c r="L7" s="30">
        <v>203682055.41</v>
      </c>
      <c r="M7" s="48">
        <v>0.78299612365957771</v>
      </c>
      <c r="N7" s="142">
        <f t="shared" si="5"/>
        <v>-5.6614780211187155E-2</v>
      </c>
    </row>
    <row r="8" spans="1:14" ht="15" customHeight="1" x14ac:dyDescent="0.2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1090563505.23</v>
      </c>
      <c r="F8" s="262">
        <f t="shared" si="1"/>
        <v>0.39530185102152265</v>
      </c>
      <c r="G8" s="30">
        <v>915748287.86000001</v>
      </c>
      <c r="H8" s="262">
        <f t="shared" si="2"/>
        <v>0.44122460371854572</v>
      </c>
      <c r="I8" s="134">
        <f t="shared" si="3"/>
        <v>0.83970193708881591</v>
      </c>
      <c r="J8" s="30">
        <v>815928874.53999996</v>
      </c>
      <c r="K8" s="153">
        <f t="shared" si="4"/>
        <v>0.89099688785302922</v>
      </c>
      <c r="L8" s="30">
        <v>859326348.19000006</v>
      </c>
      <c r="M8" s="414">
        <v>0.80912158440590187</v>
      </c>
      <c r="N8" s="142">
        <f>+G8/L8-1</f>
        <v>6.5658337823391033E-2</v>
      </c>
    </row>
    <row r="9" spans="1:14" ht="15" customHeight="1" x14ac:dyDescent="0.2">
      <c r="A9" s="24">
        <v>5</v>
      </c>
      <c r="B9" s="24" t="s">
        <v>42</v>
      </c>
      <c r="C9" s="524">
        <v>42097110</v>
      </c>
      <c r="D9" s="257">
        <f t="shared" si="0"/>
        <v>1.5385337874130016E-2</v>
      </c>
      <c r="E9" s="206">
        <v>42097110</v>
      </c>
      <c r="F9" s="264">
        <f t="shared" si="1"/>
        <v>1.5259143943338769E-2</v>
      </c>
      <c r="G9" s="34">
        <v>37895418.039999999</v>
      </c>
      <c r="H9" s="264">
        <f t="shared" si="2"/>
        <v>1.8258719157991859E-2</v>
      </c>
      <c r="I9" s="135">
        <f t="shared" si="3"/>
        <v>0.90019048908583033</v>
      </c>
      <c r="J9" s="34">
        <v>32687459.420000002</v>
      </c>
      <c r="K9" s="392">
        <f t="shared" si="4"/>
        <v>0.86257022908408598</v>
      </c>
      <c r="L9" s="34">
        <v>29515749.219999999</v>
      </c>
      <c r="M9" s="78">
        <v>0.70049385568683453</v>
      </c>
      <c r="N9" s="143">
        <f t="shared" si="5"/>
        <v>0.28390500127714535</v>
      </c>
    </row>
    <row r="10" spans="1:14" ht="15" customHeight="1" x14ac:dyDescent="0.2">
      <c r="A10" s="9"/>
      <c r="B10" s="2" t="s">
        <v>4</v>
      </c>
      <c r="C10" s="162">
        <f>SUM(C5:C9)</f>
        <v>2506271621.5099998</v>
      </c>
      <c r="D10" s="541">
        <f t="shared" si="0"/>
        <v>0.91597346471705654</v>
      </c>
      <c r="E10" s="152">
        <f>SUM(E5:E9)</f>
        <v>2513507808.2599998</v>
      </c>
      <c r="F10" s="263">
        <f>E10/E18</f>
        <v>0.91108338432128189</v>
      </c>
      <c r="G10" s="84">
        <f>SUM(G5:G9)</f>
        <v>2061875180.2600002</v>
      </c>
      <c r="H10" s="263">
        <f>G10/G18</f>
        <v>0.99344991564582275</v>
      </c>
      <c r="I10" s="85">
        <f t="shared" ref="I10:I18" si="6">+G10/E10</f>
        <v>0.82031779391501214</v>
      </c>
      <c r="J10" s="84">
        <f>SUM(J5:J9)</f>
        <v>1815406902.3299999</v>
      </c>
      <c r="K10" s="170">
        <f t="shared" ref="K10:K18" si="7">+J10/G10</f>
        <v>0.88046401630436189</v>
      </c>
      <c r="L10" s="84">
        <f>SUM(L5:L9)</f>
        <v>1986056896.6000001</v>
      </c>
      <c r="M10" s="43">
        <v>0.84018499905123689</v>
      </c>
      <c r="N10" s="144">
        <f t="shared" si="5"/>
        <v>3.8175282787616061E-2</v>
      </c>
    </row>
    <row r="11" spans="1:14" ht="15" customHeight="1" x14ac:dyDescent="0.2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1.4576611036390334E-3</v>
      </c>
      <c r="G11" s="30">
        <v>1483396.75</v>
      </c>
      <c r="H11" s="262">
        <f>G11/G18</f>
        <v>7.1472821937308445E-4</v>
      </c>
      <c r="I11" s="134">
        <f>+G11/E11</f>
        <v>0.36887451002918625</v>
      </c>
      <c r="J11" s="30">
        <v>756530.71</v>
      </c>
      <c r="K11" s="153">
        <f>+J11/G11</f>
        <v>0.50999889948525234</v>
      </c>
      <c r="L11" s="136">
        <v>2011978.96</v>
      </c>
      <c r="M11" s="52">
        <v>20.103706634692244</v>
      </c>
      <c r="N11" s="141">
        <f t="shared" si="5"/>
        <v>-0.26271756340831709</v>
      </c>
    </row>
    <row r="12" spans="1:14" ht="15" customHeight="1" x14ac:dyDescent="0.2">
      <c r="A12" s="24">
        <v>7</v>
      </c>
      <c r="B12" s="24" t="s">
        <v>6</v>
      </c>
      <c r="C12" s="524">
        <v>15057423.99</v>
      </c>
      <c r="D12" s="257">
        <f t="shared" si="0"/>
        <v>5.5030750471987489E-3</v>
      </c>
      <c r="E12" s="511">
        <v>16041795.24</v>
      </c>
      <c r="F12" s="264">
        <f>E12/E18</f>
        <v>5.8147474417300071E-3</v>
      </c>
      <c r="G12" s="180">
        <v>9385159.8100000005</v>
      </c>
      <c r="H12" s="264">
        <f>G12/G18</f>
        <v>4.5219450288893626E-3</v>
      </c>
      <c r="I12" s="135">
        <f t="shared" si="6"/>
        <v>0.58504423411403672</v>
      </c>
      <c r="J12" s="180">
        <v>3525059.51</v>
      </c>
      <c r="K12" s="153">
        <f>+J12/G12</f>
        <v>0.37559930585774431</v>
      </c>
      <c r="L12" s="137">
        <v>19864098.780000001</v>
      </c>
      <c r="M12" s="329">
        <v>1.0450202303789093</v>
      </c>
      <c r="N12" s="141">
        <f t="shared" si="5"/>
        <v>-0.52753155761340809</v>
      </c>
    </row>
    <row r="13" spans="1:14" ht="15" customHeight="1" x14ac:dyDescent="0.2">
      <c r="A13" s="9"/>
      <c r="B13" s="2" t="s">
        <v>7</v>
      </c>
      <c r="C13" s="162">
        <f>SUM(C11:C12)</f>
        <v>19078836.990000002</v>
      </c>
      <c r="D13" s="541">
        <f t="shared" si="0"/>
        <v>6.9727910855780775E-3</v>
      </c>
      <c r="E13" s="152">
        <f>SUM(E11:E12)</f>
        <v>20063208.240000002</v>
      </c>
      <c r="F13" s="263">
        <f>E13/E18</f>
        <v>7.2724085453690409E-3</v>
      </c>
      <c r="G13" s="84">
        <f>SUM(G11:G12)</f>
        <v>10868556.560000001</v>
      </c>
      <c r="H13" s="263">
        <f>G13/G18</f>
        <v>5.2366732482624469E-3</v>
      </c>
      <c r="I13" s="85">
        <f t="shared" si="6"/>
        <v>0.54171578293901013</v>
      </c>
      <c r="J13" s="84">
        <f>SUM(J11:J12)</f>
        <v>4281590.22</v>
      </c>
      <c r="K13" s="170">
        <f t="shared" si="7"/>
        <v>0.39394285675042756</v>
      </c>
      <c r="L13" s="84">
        <f>SUM(L11:L12)</f>
        <v>21876077.740000002</v>
      </c>
      <c r="M13" s="43">
        <v>1.1448397569101241</v>
      </c>
      <c r="N13" s="144">
        <f t="shared" si="5"/>
        <v>-0.50317617768714329</v>
      </c>
    </row>
    <row r="14" spans="1:14" ht="15" customHeight="1" x14ac:dyDescent="0.2">
      <c r="A14" s="21">
        <v>8</v>
      </c>
      <c r="B14" s="21" t="s">
        <v>445</v>
      </c>
      <c r="C14" s="198">
        <v>5000000</v>
      </c>
      <c r="D14" s="542">
        <f t="shared" si="0"/>
        <v>1.8273627185013432E-3</v>
      </c>
      <c r="E14" s="204">
        <f>19407826.13-E17</f>
        <v>5791461.129999999</v>
      </c>
      <c r="F14" s="262">
        <f>E14/$E$18</f>
        <v>2.0992590471156187E-3</v>
      </c>
      <c r="G14" s="30">
        <v>84712.98</v>
      </c>
      <c r="H14" s="266">
        <f>G14/G18</f>
        <v>4.0816293653864155E-5</v>
      </c>
      <c r="I14" s="134">
        <f t="shared" si="6"/>
        <v>1.4627220678592383E-2</v>
      </c>
      <c r="J14" s="30">
        <v>84712.98</v>
      </c>
      <c r="K14" s="392">
        <f t="shared" si="7"/>
        <v>1</v>
      </c>
      <c r="L14" s="136">
        <v>49492.98</v>
      </c>
      <c r="M14" s="57">
        <v>9.8985960000000008E-3</v>
      </c>
      <c r="N14" s="145">
        <f t="shared" si="5"/>
        <v>0.71161607161258011</v>
      </c>
    </row>
    <row r="15" spans="1:14" ht="15" customHeight="1" x14ac:dyDescent="0.2">
      <c r="A15" s="24">
        <v>9</v>
      </c>
      <c r="B15" s="24" t="s">
        <v>9</v>
      </c>
      <c r="C15" s="524">
        <v>205833195.34</v>
      </c>
      <c r="D15" s="257">
        <f t="shared" si="0"/>
        <v>7.5226381478864082E-2</v>
      </c>
      <c r="E15" s="511">
        <v>205833195.34</v>
      </c>
      <c r="F15" s="264">
        <f>E15/$E$18</f>
        <v>7.4609358124831535E-2</v>
      </c>
      <c r="G15" s="180">
        <v>2641231.9500000002</v>
      </c>
      <c r="H15" s="264">
        <f>G15/G18</f>
        <v>1.2725948122609813E-3</v>
      </c>
      <c r="I15" s="135">
        <f t="shared" si="6"/>
        <v>1.2831904716035489E-2</v>
      </c>
      <c r="J15" s="34">
        <v>2641231.9500000002</v>
      </c>
      <c r="K15" s="392">
        <f t="shared" si="7"/>
        <v>1</v>
      </c>
      <c r="L15" s="137">
        <v>2577655.7400000002</v>
      </c>
      <c r="M15" s="264">
        <v>9.20529582907746E-3</v>
      </c>
      <c r="N15" s="143">
        <f t="shared" si="5"/>
        <v>2.4664352579526261E-2</v>
      </c>
    </row>
    <row r="16" spans="1:14" ht="15" customHeight="1" x14ac:dyDescent="0.2">
      <c r="A16" s="9"/>
      <c r="B16" s="2" t="s">
        <v>10</v>
      </c>
      <c r="C16" s="162">
        <f>SUM(C14:C15)</f>
        <v>210833195.34</v>
      </c>
      <c r="D16" s="541">
        <f t="shared" si="0"/>
        <v>7.7053744197365423E-2</v>
      </c>
      <c r="E16" s="152">
        <f>SUM(E14:E15)</f>
        <v>211624656.47</v>
      </c>
      <c r="F16" s="263">
        <f>E16/E18</f>
        <v>7.6708617171947144E-2</v>
      </c>
      <c r="G16" s="84">
        <f>SUM(G14:G15)</f>
        <v>2725944.93</v>
      </c>
      <c r="H16" s="263">
        <f>G16/G18</f>
        <v>1.3134111059148455E-3</v>
      </c>
      <c r="I16" s="85">
        <f t="shared" si="6"/>
        <v>1.2881036526981587E-2</v>
      </c>
      <c r="J16" s="84">
        <f>SUM(J14:J15)</f>
        <v>2725944.93</v>
      </c>
      <c r="K16" s="170">
        <f t="shared" si="7"/>
        <v>1</v>
      </c>
      <c r="L16" s="84">
        <f>SUM(L14:L15)</f>
        <v>2627148.7200000002</v>
      </c>
      <c r="M16" s="43">
        <v>9.217458188385156E-3</v>
      </c>
      <c r="N16" s="144">
        <f t="shared" si="5"/>
        <v>3.7605868768632256E-2</v>
      </c>
    </row>
    <row r="17" spans="1:14" ht="15" customHeight="1" thickBot="1" x14ac:dyDescent="0.25">
      <c r="A17" s="9"/>
      <c r="B17" s="2" t="s">
        <v>430</v>
      </c>
      <c r="C17" s="162">
        <v>0</v>
      </c>
      <c r="D17" s="346" t="s">
        <v>129</v>
      </c>
      <c r="E17" s="152">
        <v>13616365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25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2758812037.9699993</v>
      </c>
      <c r="F18" s="265" t="s">
        <v>129</v>
      </c>
      <c r="G18" s="155">
        <f t="shared" ref="G18" si="8">+G10+G13+G16+G17</f>
        <v>2075469681.7500002</v>
      </c>
      <c r="H18" s="265" t="s">
        <v>129</v>
      </c>
      <c r="I18" s="156">
        <f t="shared" si="6"/>
        <v>0.7523055768877901</v>
      </c>
      <c r="J18" s="155">
        <f>+J10+J13+J16+J17</f>
        <v>1822414437.48</v>
      </c>
      <c r="K18" s="173">
        <f t="shared" si="7"/>
        <v>0.8780732638519545</v>
      </c>
      <c r="L18" s="147">
        <f>+L10+L13+L16+L17</f>
        <v>2010560123.0600002</v>
      </c>
      <c r="M18" s="183">
        <v>0.71098585195144914</v>
      </c>
      <c r="N18" s="146">
        <f t="shared" si="5"/>
        <v>3.2284316169172822E-2</v>
      </c>
    </row>
    <row r="19" spans="1:14" x14ac:dyDescent="0.2">
      <c r="A19" s="247" t="s">
        <v>466</v>
      </c>
      <c r="B19" s="247"/>
    </row>
    <row r="21" spans="1:14" s="451" customFormat="1" x14ac:dyDescent="0.2">
      <c r="A21" s="449"/>
      <c r="B21" s="448"/>
      <c r="C21" s="457"/>
      <c r="D21" s="450"/>
      <c r="K21" s="452"/>
      <c r="M21" s="452"/>
    </row>
    <row r="22" spans="1:14" s="451" customFormat="1" x14ac:dyDescent="0.2">
      <c r="A22" s="449"/>
      <c r="B22" s="448"/>
      <c r="C22" s="457"/>
      <c r="D22" s="450"/>
      <c r="E22" s="451" t="s">
        <v>530</v>
      </c>
      <c r="G22" s="55"/>
      <c r="H22" s="78"/>
      <c r="K22" s="452"/>
      <c r="M22" s="452"/>
    </row>
    <row r="23" spans="1:14" s="451" customFormat="1" x14ac:dyDescent="0.2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">
      <c r="G28" s="55"/>
      <c r="H28" s="78"/>
    </row>
    <row r="136" spans="12:15" x14ac:dyDescent="0.2">
      <c r="L136" s="681"/>
      <c r="O136" s="681"/>
    </row>
    <row r="137" spans="12:15" x14ac:dyDescent="0.2">
      <c r="L137" s="681"/>
      <c r="N137" s="100"/>
      <c r="O137" s="681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46" customWidth="1"/>
    <col min="12" max="12" width="6.28515625" style="97" customWidth="1"/>
    <col min="13" max="13" width="8" style="97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1"/>
      <c r="H17" s="441"/>
      <c r="J17" s="441"/>
    </row>
    <row r="18" spans="4:10" x14ac:dyDescent="0.2">
      <c r="F18" s="441"/>
      <c r="H18" s="441"/>
    </row>
    <row r="22" spans="4:10" x14ac:dyDescent="0.2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521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15000854.75</v>
      </c>
      <c r="D5" s="204">
        <v>13594553.039999999</v>
      </c>
      <c r="E5" s="30">
        <v>11014882.529999999</v>
      </c>
      <c r="F5" s="48">
        <f>E5/D5</f>
        <v>0.81024234467954237</v>
      </c>
      <c r="G5" s="30">
        <v>11014882.529999999</v>
      </c>
      <c r="H5" s="48">
        <f>G5/D5</f>
        <v>0.81024234467954237</v>
      </c>
      <c r="I5" s="30">
        <v>11014882.529999999</v>
      </c>
      <c r="J5" s="153">
        <f>I5/D5</f>
        <v>0.81024234467954237</v>
      </c>
      <c r="K5" s="571">
        <v>11485782.470000001</v>
      </c>
      <c r="L5" s="48">
        <v>0.83511119399496658</v>
      </c>
      <c r="M5" s="210">
        <f>+G5/K5-1</f>
        <v>-4.0998507609730228E-2</v>
      </c>
      <c r="N5" s="571">
        <v>11485782.470000001</v>
      </c>
      <c r="O5" s="48">
        <v>0.83511119399496658</v>
      </c>
      <c r="P5" s="210">
        <f>+I5/N5-1</f>
        <v>-4.0998507609730228E-2</v>
      </c>
    </row>
    <row r="6" spans="1:16" ht="15" customHeight="1" x14ac:dyDescent="0.2">
      <c r="A6" s="23">
        <v>2</v>
      </c>
      <c r="B6" s="23" t="s">
        <v>1</v>
      </c>
      <c r="C6" s="160">
        <v>81944181.75</v>
      </c>
      <c r="D6" s="205">
        <v>81783604.480000004</v>
      </c>
      <c r="E6" s="32">
        <v>74708278.909999996</v>
      </c>
      <c r="F6" s="48">
        <f>E6/D6</f>
        <v>0.91348723726489378</v>
      </c>
      <c r="G6" s="32">
        <v>69078306.230000004</v>
      </c>
      <c r="H6" s="48">
        <f>G6/D6</f>
        <v>0.84464736751597869</v>
      </c>
      <c r="I6" s="32">
        <v>44692618.170000002</v>
      </c>
      <c r="J6" s="153">
        <f>I6/D6</f>
        <v>0.54647405741244237</v>
      </c>
      <c r="K6" s="571">
        <v>66376153.219999999</v>
      </c>
      <c r="L6" s="48">
        <v>0.89132525827592046</v>
      </c>
      <c r="M6" s="210">
        <f t="shared" ref="M6:M17" si="0">+G6/K6-1</f>
        <v>4.0709695860859485E-2</v>
      </c>
      <c r="N6" s="571">
        <v>45860413.119999997</v>
      </c>
      <c r="O6" s="48">
        <v>0.61583177972579128</v>
      </c>
      <c r="P6" s="210">
        <f>+I6/N6-1</f>
        <v>-2.5464117537369324E-2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25"/>
      <c r="L7" s="48" t="s">
        <v>129</v>
      </c>
      <c r="M7" s="212" t="s">
        <v>129</v>
      </c>
      <c r="N7" s="625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447" t="s">
        <v>3</v>
      </c>
      <c r="C8" s="160">
        <v>250143469.58000001</v>
      </c>
      <c r="D8" s="397">
        <v>251746249.68000001</v>
      </c>
      <c r="E8" s="398">
        <v>245354556.65000001</v>
      </c>
      <c r="F8" s="48">
        <f t="shared" ref="F8" si="1">E8/D8</f>
        <v>0.97461057299513054</v>
      </c>
      <c r="G8" s="398">
        <v>244244166.41</v>
      </c>
      <c r="H8" s="412">
        <f>G8/D8</f>
        <v>0.97019982113125391</v>
      </c>
      <c r="I8" s="398">
        <v>189305162.13</v>
      </c>
      <c r="J8" s="153">
        <f t="shared" ref="J8" si="2">I8/D8</f>
        <v>0.75196815194120981</v>
      </c>
      <c r="K8" s="628">
        <v>232820540.71000001</v>
      </c>
      <c r="L8" s="412">
        <v>0.92374385474836695</v>
      </c>
      <c r="M8" s="443">
        <f t="shared" si="0"/>
        <v>4.9066227855854017E-2</v>
      </c>
      <c r="N8" s="628">
        <v>212727042.15000001</v>
      </c>
      <c r="O8" s="412">
        <v>0.84402045165604733</v>
      </c>
      <c r="P8" s="443">
        <f>+I8/N8-1</f>
        <v>-0.11010297413661474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16" t="s">
        <v>129</v>
      </c>
      <c r="G9" s="180">
        <v>0</v>
      </c>
      <c r="H9" s="508" t="s">
        <v>129</v>
      </c>
      <c r="I9" s="180"/>
      <c r="J9" s="512" t="s">
        <v>129</v>
      </c>
      <c r="K9" s="560">
        <v>0</v>
      </c>
      <c r="L9" s="268">
        <v>0</v>
      </c>
      <c r="M9" s="630" t="s">
        <v>129</v>
      </c>
      <c r="N9" s="560">
        <v>0</v>
      </c>
      <c r="O9" s="268">
        <v>0</v>
      </c>
      <c r="P9" s="630" t="s">
        <v>129</v>
      </c>
    </row>
    <row r="10" spans="1:16" ht="15" customHeight="1" x14ac:dyDescent="0.2">
      <c r="A10" s="9"/>
      <c r="B10" s="2" t="s">
        <v>4</v>
      </c>
      <c r="C10" s="162">
        <f>SUM(C5:C9)</f>
        <v>347088506.08000004</v>
      </c>
      <c r="D10" s="152">
        <f>SUM(D5:D9)</f>
        <v>347124407.20000005</v>
      </c>
      <c r="E10" s="84">
        <f>SUM(E5:E9)</f>
        <v>331077718.09000003</v>
      </c>
      <c r="F10" s="90">
        <f>E10/D10</f>
        <v>0.95377251274424357</v>
      </c>
      <c r="G10" s="84">
        <f>SUM(G5:G9)</f>
        <v>324337355.17000002</v>
      </c>
      <c r="H10" s="90">
        <f>G10/D10</f>
        <v>0.93435479742318728</v>
      </c>
      <c r="I10" s="84">
        <f>SUM(I5:I9)</f>
        <v>245012662.82999998</v>
      </c>
      <c r="J10" s="170">
        <f>I10/D10</f>
        <v>0.70583530788381843</v>
      </c>
      <c r="K10" s="561">
        <f>SUM(K5:K9)</f>
        <v>310682476.39999998</v>
      </c>
      <c r="L10" s="629">
        <v>0.91272379260372716</v>
      </c>
      <c r="M10" s="213">
        <f t="shared" si="0"/>
        <v>4.3951235770438357E-2</v>
      </c>
      <c r="N10" s="561">
        <f>SUM(N5:N9)</f>
        <v>270073237.74000001</v>
      </c>
      <c r="O10" s="90">
        <v>0.79342186494436251</v>
      </c>
      <c r="P10" s="213">
        <f>+I10/N10-1</f>
        <v>-9.2791774259861626E-2</v>
      </c>
    </row>
    <row r="11" spans="1:16" ht="15" customHeight="1" x14ac:dyDescent="0.2">
      <c r="A11" s="21">
        <v>6</v>
      </c>
      <c r="B11" s="21" t="s">
        <v>5</v>
      </c>
      <c r="C11" s="159">
        <v>2029383.63</v>
      </c>
      <c r="D11" s="688">
        <v>5924137.3499999996</v>
      </c>
      <c r="E11" s="472">
        <v>4121623.1</v>
      </c>
      <c r="F11" s="48">
        <f>E11/D11</f>
        <v>0.69573388604840503</v>
      </c>
      <c r="G11" s="30">
        <v>3757360.43</v>
      </c>
      <c r="H11" s="48">
        <f>G11/D11</f>
        <v>0.63424600207826043</v>
      </c>
      <c r="I11" s="30">
        <v>1148410.68</v>
      </c>
      <c r="J11" s="153">
        <f t="shared" ref="J11:J12" si="3">I11/D11</f>
        <v>0.19385281132956853</v>
      </c>
      <c r="K11" s="558">
        <v>1133954.32</v>
      </c>
      <c r="L11" s="412">
        <v>8.8827099780194985</v>
      </c>
      <c r="M11" s="210">
        <f t="shared" si="0"/>
        <v>2.3135024610162427</v>
      </c>
      <c r="N11" s="558">
        <v>597969.80000000005</v>
      </c>
      <c r="O11" s="414">
        <v>0.29752562902258922</v>
      </c>
      <c r="P11" s="210">
        <f>+I11/N11-1</f>
        <v>0.92051618660340351</v>
      </c>
    </row>
    <row r="12" spans="1:16" ht="15" customHeight="1" x14ac:dyDescent="0.2">
      <c r="A12" s="24">
        <v>7</v>
      </c>
      <c r="B12" s="24" t="s">
        <v>6</v>
      </c>
      <c r="C12" s="161">
        <v>100000</v>
      </c>
      <c r="D12" s="556">
        <v>1268000</v>
      </c>
      <c r="E12" s="398">
        <v>1268000</v>
      </c>
      <c r="F12" s="48">
        <f>E12/D12</f>
        <v>1</v>
      </c>
      <c r="G12" s="137">
        <v>1168000</v>
      </c>
      <c r="H12" s="48">
        <f>G12/D12</f>
        <v>0.92113564668769721</v>
      </c>
      <c r="I12" s="137">
        <v>0</v>
      </c>
      <c r="J12" s="153">
        <f t="shared" si="3"/>
        <v>0</v>
      </c>
      <c r="K12" s="562">
        <v>115000</v>
      </c>
      <c r="L12" s="390">
        <v>3.3784730109557166E-4</v>
      </c>
      <c r="M12" s="496" t="s">
        <v>129</v>
      </c>
      <c r="N12" s="562">
        <v>115000</v>
      </c>
      <c r="O12" s="390">
        <v>0.53488372093023251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2129383.63</v>
      </c>
      <c r="D13" s="152">
        <f>SUM(D11:D12)</f>
        <v>7192137.3499999996</v>
      </c>
      <c r="E13" s="84">
        <f>SUM(E11:E12)</f>
        <v>5389623.0999999996</v>
      </c>
      <c r="F13" s="90">
        <f>E13/D13</f>
        <v>0.74937710971273375</v>
      </c>
      <c r="G13" s="84">
        <f>SUM(G11:G12)</f>
        <v>4925360.43</v>
      </c>
      <c r="H13" s="90">
        <f>G13/D13</f>
        <v>0.68482569093316881</v>
      </c>
      <c r="I13" s="84">
        <f>SUM(I11:I12)</f>
        <v>1148410.68</v>
      </c>
      <c r="J13" s="170">
        <f>I13/D13</f>
        <v>0.15967585491119687</v>
      </c>
      <c r="K13" s="561">
        <f t="shared" ref="K13" si="4">SUM(K11:K12)</f>
        <v>1248954.32</v>
      </c>
      <c r="L13" s="90">
        <v>0.56137587841345771</v>
      </c>
      <c r="M13" s="225">
        <f t="shared" si="0"/>
        <v>2.9435873283179799</v>
      </c>
      <c r="N13" s="561">
        <f t="shared" ref="N13" si="5">SUM(N11:N12)</f>
        <v>712969.8</v>
      </c>
      <c r="O13" s="90">
        <v>0.32046331987327387</v>
      </c>
      <c r="P13" s="225">
        <f>+I13/N13-1</f>
        <v>0.61074239049115375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5"/>
      <c r="L14" s="86" t="s">
        <v>129</v>
      </c>
      <c r="M14" s="214" t="s">
        <v>129</v>
      </c>
      <c r="N14" s="625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6"/>
      <c r="L15" s="49" t="s">
        <v>129</v>
      </c>
      <c r="M15" s="215" t="s">
        <v>129</v>
      </c>
      <c r="N15" s="626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1">
        <f t="shared" ref="K16" si="7">SUM(K14:K15)</f>
        <v>0</v>
      </c>
      <c r="L16" s="58" t="s">
        <v>129</v>
      </c>
      <c r="M16" s="216" t="s">
        <v>129</v>
      </c>
      <c r="N16" s="561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349217889.71000004</v>
      </c>
      <c r="D17" s="154">
        <f t="shared" ref="D17:I17" si="9">+D10+D13+D16</f>
        <v>354316544.55000007</v>
      </c>
      <c r="E17" s="155">
        <f>+E10+E13+E16</f>
        <v>336467341.19000006</v>
      </c>
      <c r="F17" s="181">
        <f>E17/D17</f>
        <v>0.9496235678673447</v>
      </c>
      <c r="G17" s="155">
        <f t="shared" si="9"/>
        <v>329262715.60000002</v>
      </c>
      <c r="H17" s="181">
        <f>G17/D17</f>
        <v>0.92928970059295513</v>
      </c>
      <c r="I17" s="155">
        <f t="shared" si="9"/>
        <v>246161073.50999999</v>
      </c>
      <c r="J17" s="173">
        <f>I17/D17</f>
        <v>0.69474902399106708</v>
      </c>
      <c r="K17" s="569">
        <f t="shared" ref="K17" si="10">+K10+K13+K16</f>
        <v>311931430.71999997</v>
      </c>
      <c r="L17" s="181">
        <v>0.91044227688321255</v>
      </c>
      <c r="M17" s="600">
        <f t="shared" si="0"/>
        <v>5.556120087031946E-2</v>
      </c>
      <c r="N17" s="569">
        <f t="shared" ref="N17" si="11">+N10+N13+N16</f>
        <v>270786207.54000002</v>
      </c>
      <c r="O17" s="181">
        <v>0.79035065742568911</v>
      </c>
      <c r="P17" s="600">
        <f>+I17/N17-1</f>
        <v>-9.0939395524280764E-2</v>
      </c>
    </row>
    <row r="22" spans="1:16" x14ac:dyDescent="0.2">
      <c r="E22" s="180"/>
    </row>
    <row r="26" spans="1:16" x14ac:dyDescent="0.2">
      <c r="J26" s="517"/>
      <c r="K26" s="517"/>
      <c r="L26" s="517"/>
      <c r="M26" s="517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521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769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1367121.04</v>
      </c>
      <c r="D5" s="204">
        <v>1897560.36</v>
      </c>
      <c r="E5" s="30">
        <v>1533870.16</v>
      </c>
      <c r="F5" s="48">
        <f>E5/D5</f>
        <v>0.80833800722945115</v>
      </c>
      <c r="G5" s="30">
        <v>1533870.16</v>
      </c>
      <c r="H5" s="48">
        <f>G5/D5</f>
        <v>0.80833800722945115</v>
      </c>
      <c r="I5" s="30">
        <v>1533870.16</v>
      </c>
      <c r="J5" s="153">
        <f>I5/D5</f>
        <v>0.80833800722945115</v>
      </c>
      <c r="K5" s="571"/>
      <c r="L5" s="48" t="s">
        <v>129</v>
      </c>
      <c r="M5" s="210" t="s">
        <v>129</v>
      </c>
      <c r="N5" s="571"/>
      <c r="O5" s="48" t="s">
        <v>129</v>
      </c>
      <c r="P5" s="210" t="s">
        <v>129</v>
      </c>
    </row>
    <row r="6" spans="1:16" ht="15" customHeight="1" x14ac:dyDescent="0.2">
      <c r="A6" s="23">
        <v>2</v>
      </c>
      <c r="B6" s="23" t="s">
        <v>1</v>
      </c>
      <c r="C6" s="160">
        <v>29400526.609999999</v>
      </c>
      <c r="D6" s="205">
        <v>18601177.149999999</v>
      </c>
      <c r="E6" s="32">
        <v>15622281.619999999</v>
      </c>
      <c r="F6" s="48">
        <f>E6/D6</f>
        <v>0.839854461576374</v>
      </c>
      <c r="G6" s="32">
        <v>15447598.49</v>
      </c>
      <c r="H6" s="48">
        <f>G6/D6</f>
        <v>0.83046348977973161</v>
      </c>
      <c r="I6" s="32">
        <v>12099933.1</v>
      </c>
      <c r="J6" s="153">
        <f>I6/D6</f>
        <v>0.65049286947949958</v>
      </c>
      <c r="K6" s="571"/>
      <c r="L6" s="48" t="s">
        <v>129</v>
      </c>
      <c r="M6" s="210" t="s">
        <v>129</v>
      </c>
      <c r="N6" s="571"/>
      <c r="O6" s="48" t="s">
        <v>129</v>
      </c>
      <c r="P6" s="210" t="s">
        <v>129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25"/>
      <c r="L7" s="48" t="s">
        <v>129</v>
      </c>
      <c r="M7" s="212" t="s">
        <v>129</v>
      </c>
      <c r="N7" s="625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3" t="s">
        <v>3</v>
      </c>
      <c r="C8" s="160">
        <v>189398591.78</v>
      </c>
      <c r="D8" s="397">
        <v>205646823.27000001</v>
      </c>
      <c r="E8" s="398">
        <v>140709588.81999999</v>
      </c>
      <c r="F8" s="48">
        <f t="shared" ref="F8" si="0">E8/D8</f>
        <v>0.6842293334882108</v>
      </c>
      <c r="G8" s="398">
        <v>139794638.81</v>
      </c>
      <c r="H8" s="412">
        <f>G8/D8</f>
        <v>0.67978020076905998</v>
      </c>
      <c r="I8" s="398">
        <v>107341913.38</v>
      </c>
      <c r="J8" s="153">
        <f t="shared" ref="J8" si="1">I8/D8</f>
        <v>0.5219721446368637</v>
      </c>
      <c r="K8" s="628"/>
      <c r="L8" s="412" t="s">
        <v>129</v>
      </c>
      <c r="M8" s="443" t="s">
        <v>129</v>
      </c>
      <c r="N8" s="628"/>
      <c r="O8" s="412" t="s">
        <v>129</v>
      </c>
      <c r="P8" s="443" t="s">
        <v>129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16" t="s">
        <v>129</v>
      </c>
      <c r="G9" s="180"/>
      <c r="H9" s="508" t="s">
        <v>129</v>
      </c>
      <c r="I9" s="180"/>
      <c r="J9" s="512" t="s">
        <v>129</v>
      </c>
      <c r="K9" s="560"/>
      <c r="L9" s="268" t="s">
        <v>129</v>
      </c>
      <c r="M9" s="630" t="s">
        <v>129</v>
      </c>
      <c r="N9" s="560"/>
      <c r="O9" s="268" t="s">
        <v>129</v>
      </c>
      <c r="P9" s="630" t="s">
        <v>129</v>
      </c>
    </row>
    <row r="10" spans="1:16" ht="15" customHeight="1" x14ac:dyDescent="0.2">
      <c r="A10" s="9"/>
      <c r="B10" s="2" t="s">
        <v>4</v>
      </c>
      <c r="C10" s="162">
        <f>SUM(C5:C9)</f>
        <v>220166239.43000001</v>
      </c>
      <c r="D10" s="152">
        <f>SUM(D5:D9)</f>
        <v>226145560.78</v>
      </c>
      <c r="E10" s="84">
        <f>SUM(E5:E9)</f>
        <v>157865740.59999999</v>
      </c>
      <c r="F10" s="90">
        <f>E10/D10</f>
        <v>0.69807136631603262</v>
      </c>
      <c r="G10" s="84">
        <f>SUM(G5:G9)</f>
        <v>156776107.46000001</v>
      </c>
      <c r="H10" s="90">
        <f>G10/D10</f>
        <v>0.69325308407232311</v>
      </c>
      <c r="I10" s="84">
        <f>SUM(I5:I9)</f>
        <v>120975716.64</v>
      </c>
      <c r="J10" s="170">
        <f>I10/D10</f>
        <v>0.53494623649804107</v>
      </c>
      <c r="K10" s="561">
        <f>SUM(K5:K9)</f>
        <v>0</v>
      </c>
      <c r="L10" s="629" t="s">
        <v>129</v>
      </c>
      <c r="M10" s="213" t="s">
        <v>129</v>
      </c>
      <c r="N10" s="561">
        <f>SUM(N5:N9)</f>
        <v>0</v>
      </c>
      <c r="O10" s="90" t="s">
        <v>129</v>
      </c>
      <c r="P10" s="213" t="s">
        <v>129</v>
      </c>
    </row>
    <row r="11" spans="1:16" ht="15" customHeight="1" x14ac:dyDescent="0.2">
      <c r="A11" s="21">
        <v>6</v>
      </c>
      <c r="B11" s="21" t="s">
        <v>5</v>
      </c>
      <c r="C11" s="159"/>
      <c r="D11" s="688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58"/>
      <c r="L11" s="412" t="s">
        <v>129</v>
      </c>
      <c r="M11" s="210" t="s">
        <v>129</v>
      </c>
      <c r="N11" s="558"/>
      <c r="O11" s="414" t="s">
        <v>129</v>
      </c>
      <c r="P11" s="210" t="s">
        <v>129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556">
        <v>6749248.1500000004</v>
      </c>
      <c r="E12" s="398">
        <v>3899248.15</v>
      </c>
      <c r="F12" s="48">
        <f t="shared" ref="F12:F13" si="2">E12/D12</f>
        <v>0.57773074323841533</v>
      </c>
      <c r="G12" s="137">
        <v>3899248.15</v>
      </c>
      <c r="H12" s="390">
        <f>G12/D12</f>
        <v>0.57773074323841533</v>
      </c>
      <c r="I12" s="137">
        <v>3899248.15</v>
      </c>
      <c r="J12" s="392">
        <f t="shared" ref="J12:J13" si="3">I12/D12</f>
        <v>0.57773074323841533</v>
      </c>
      <c r="K12" s="562"/>
      <c r="L12" s="390" t="s">
        <v>129</v>
      </c>
      <c r="M12" s="496" t="s">
        <v>129</v>
      </c>
      <c r="N12" s="562"/>
      <c r="O12" s="390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0</v>
      </c>
      <c r="D13" s="152">
        <f>SUM(D11:D12)</f>
        <v>6749248.1500000004</v>
      </c>
      <c r="E13" s="84">
        <f>SUM(E11:E12)</f>
        <v>3899248.15</v>
      </c>
      <c r="F13" s="90">
        <f t="shared" si="2"/>
        <v>0.57773074323841533</v>
      </c>
      <c r="G13" s="84">
        <f>SUM(G11:G12)</f>
        <v>3899248.15</v>
      </c>
      <c r="H13" s="90">
        <f>G13/D13</f>
        <v>0.57773074323841533</v>
      </c>
      <c r="I13" s="84">
        <f>SUM(I11:I12)</f>
        <v>3899248.15</v>
      </c>
      <c r="J13" s="170">
        <f t="shared" si="3"/>
        <v>0.57773074323841533</v>
      </c>
      <c r="K13" s="561">
        <f t="shared" ref="K13" si="4">SUM(K11:K12)</f>
        <v>0</v>
      </c>
      <c r="L13" s="90" t="s">
        <v>129</v>
      </c>
      <c r="M13" s="225" t="s">
        <v>129</v>
      </c>
      <c r="N13" s="561">
        <f t="shared" ref="N13" si="5">SUM(N11:N12)</f>
        <v>0</v>
      </c>
      <c r="O13" s="90" t="s">
        <v>129</v>
      </c>
      <c r="P13" s="225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5"/>
      <c r="L14" s="86" t="s">
        <v>129</v>
      </c>
      <c r="M14" s="214" t="s">
        <v>129</v>
      </c>
      <c r="N14" s="625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6"/>
      <c r="L15" s="49" t="s">
        <v>129</v>
      </c>
      <c r="M15" s="215" t="s">
        <v>129</v>
      </c>
      <c r="N15" s="626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1">
        <f t="shared" ref="K16" si="7">SUM(K14:K15)</f>
        <v>0</v>
      </c>
      <c r="L16" s="58" t="s">
        <v>129</v>
      </c>
      <c r="M16" s="216" t="s">
        <v>129</v>
      </c>
      <c r="N16" s="561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220166239.43000001</v>
      </c>
      <c r="D17" s="154">
        <f t="shared" ref="D17:I17" si="9">+D10+D13+D16</f>
        <v>232894808.93000001</v>
      </c>
      <c r="E17" s="155">
        <f>+E10+E13+E16</f>
        <v>161764988.75</v>
      </c>
      <c r="F17" s="181">
        <f>E17/D17</f>
        <v>0.69458391749135495</v>
      </c>
      <c r="G17" s="155">
        <f t="shared" si="9"/>
        <v>160675355.61000001</v>
      </c>
      <c r="H17" s="181">
        <f>G17/D17</f>
        <v>0.68990526816891562</v>
      </c>
      <c r="I17" s="155">
        <f t="shared" si="9"/>
        <v>124874964.79000001</v>
      </c>
      <c r="J17" s="173">
        <f>I17/D17</f>
        <v>0.53618612352812478</v>
      </c>
      <c r="K17" s="569">
        <f t="shared" ref="K17" si="10">+K10+K13+K16</f>
        <v>0</v>
      </c>
      <c r="L17" s="181" t="s">
        <v>129</v>
      </c>
      <c r="M17" s="600" t="s">
        <v>129</v>
      </c>
      <c r="N17" s="569">
        <f t="shared" ref="N17" si="11">+N10+N13+N16</f>
        <v>0</v>
      </c>
      <c r="O17" s="181" t="s">
        <v>129</v>
      </c>
      <c r="P17" s="600" t="s">
        <v>129</v>
      </c>
    </row>
    <row r="22" spans="1:16" x14ac:dyDescent="0.2">
      <c r="E22" s="180"/>
    </row>
    <row r="26" spans="1:16" x14ac:dyDescent="0.2">
      <c r="J26" s="517"/>
      <c r="K26" s="517"/>
      <c r="L26" s="517"/>
      <c r="M26" s="517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6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770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Octubre&amp;RDirecció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topLeftCell="C1" zoomScaleNormal="100" workbookViewId="0">
      <selection activeCell="N19" sqref="N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140625" style="97" customWidth="1"/>
  </cols>
  <sheetData>
    <row r="1" spans="1:16" ht="15.75" thickBot="1" x14ac:dyDescent="0.3">
      <c r="A1" s="7" t="s">
        <v>522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215974006.34999999</v>
      </c>
      <c r="D5" s="204">
        <v>213070621.41999999</v>
      </c>
      <c r="E5" s="30">
        <v>174796526.72999999</v>
      </c>
      <c r="F5" s="48">
        <f>E5/D5</f>
        <v>0.82036897233919936</v>
      </c>
      <c r="G5" s="30">
        <v>174732113.31</v>
      </c>
      <c r="H5" s="48">
        <f>G5/D5</f>
        <v>0.82006666214941015</v>
      </c>
      <c r="I5" s="30">
        <v>174276525.36000001</v>
      </c>
      <c r="J5" s="153">
        <f>I5/D5</f>
        <v>0.81792846051952917</v>
      </c>
      <c r="K5" s="571">
        <v>192794803.40000001</v>
      </c>
      <c r="L5" s="48">
        <v>0.83021445519022097</v>
      </c>
      <c r="M5" s="210">
        <f>+G5/K5-1</f>
        <v>-9.3688677139935783E-2</v>
      </c>
      <c r="N5" s="571">
        <v>192591572.49000001</v>
      </c>
      <c r="O5" s="48">
        <v>0.82933930069306683</v>
      </c>
      <c r="P5" s="210">
        <f>+I5/N5-1</f>
        <v>-9.5097863801651972E-2</v>
      </c>
    </row>
    <row r="6" spans="1:16" ht="15" customHeight="1" x14ac:dyDescent="0.2">
      <c r="A6" s="23">
        <v>2</v>
      </c>
      <c r="B6" s="23" t="s">
        <v>1</v>
      </c>
      <c r="C6" s="161">
        <v>21233753.199999999</v>
      </c>
      <c r="D6" s="205">
        <v>20429597.780000001</v>
      </c>
      <c r="E6" s="32">
        <v>18409244.82</v>
      </c>
      <c r="F6" s="48">
        <f>E6/D6</f>
        <v>0.90110657185929188</v>
      </c>
      <c r="G6" s="32">
        <v>17199702.670000002</v>
      </c>
      <c r="H6" s="48">
        <f>G6/D6</f>
        <v>0.8419011894026629</v>
      </c>
      <c r="I6" s="32">
        <v>10149774.189999999</v>
      </c>
      <c r="J6" s="153">
        <f>I6/D6</f>
        <v>0.49681713263764504</v>
      </c>
      <c r="K6" s="572">
        <v>15746223.460000001</v>
      </c>
      <c r="L6" s="280">
        <v>0.81848803159365546</v>
      </c>
      <c r="M6" s="211">
        <f>+G6/K6-1</f>
        <v>9.2306527574199659E-2</v>
      </c>
      <c r="N6" s="572">
        <v>9314597.7599999998</v>
      </c>
      <c r="O6" s="280">
        <v>0.4841723988635096</v>
      </c>
      <c r="P6" s="211">
        <f>+I6/N6-1</f>
        <v>8.9663177253507031E-2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59"/>
      <c r="L7" s="280" t="s">
        <v>129</v>
      </c>
      <c r="M7" s="212" t="s">
        <v>129</v>
      </c>
      <c r="N7" s="559"/>
      <c r="O7" s="280" t="s">
        <v>129</v>
      </c>
      <c r="P7" s="211" t="s">
        <v>129</v>
      </c>
    </row>
    <row r="8" spans="1:16" ht="15" customHeight="1" x14ac:dyDescent="0.2">
      <c r="A8" s="24">
        <v>4</v>
      </c>
      <c r="B8" s="24" t="s">
        <v>3</v>
      </c>
      <c r="C8" s="161">
        <v>2776443.64</v>
      </c>
      <c r="D8" s="206">
        <v>3215021.56</v>
      </c>
      <c r="E8" s="34">
        <v>3107552.99</v>
      </c>
      <c r="F8" s="390">
        <f>E8/D8</f>
        <v>0.96657298621661503</v>
      </c>
      <c r="G8" s="34">
        <v>3107552.99</v>
      </c>
      <c r="H8" s="390">
        <f>G8/D8</f>
        <v>0.96657298621661503</v>
      </c>
      <c r="I8" s="34">
        <v>3095407.04</v>
      </c>
      <c r="J8" s="392">
        <f>I8/D8</f>
        <v>0.96279511108472937</v>
      </c>
      <c r="K8" s="573">
        <v>2540857.94</v>
      </c>
      <c r="L8" s="390">
        <v>0.47945329003872739</v>
      </c>
      <c r="M8" s="443">
        <f t="shared" ref="M8:M12" si="0">+G8/K8-1</f>
        <v>0.22303295319218064</v>
      </c>
      <c r="N8" s="573">
        <v>2533848.89</v>
      </c>
      <c r="O8" s="390">
        <v>0.47813070051900564</v>
      </c>
      <c r="P8" s="515">
        <f>+I8/N8-1</f>
        <v>0.22162258855144268</v>
      </c>
    </row>
    <row r="9" spans="1:16" ht="15" customHeight="1" x14ac:dyDescent="0.2">
      <c r="A9" s="9"/>
      <c r="B9" s="2" t="s">
        <v>4</v>
      </c>
      <c r="C9" s="162">
        <f>SUM(C5:C8)</f>
        <v>239984203.18999997</v>
      </c>
      <c r="D9" s="152">
        <f t="shared" ref="D9:I9" si="1">SUM(D5:D8)</f>
        <v>236715240.75999999</v>
      </c>
      <c r="E9" s="84">
        <f t="shared" si="1"/>
        <v>196313324.53999999</v>
      </c>
      <c r="F9" s="90">
        <f>E9/D9</f>
        <v>0.82932270820296461</v>
      </c>
      <c r="G9" s="84">
        <f t="shared" si="1"/>
        <v>195039368.97000003</v>
      </c>
      <c r="H9" s="90">
        <f>G9/D9</f>
        <v>0.82394090191998182</v>
      </c>
      <c r="I9" s="84">
        <f t="shared" si="1"/>
        <v>187521706.59</v>
      </c>
      <c r="J9" s="170">
        <f>I9/D9</f>
        <v>0.79218264944809302</v>
      </c>
      <c r="K9" s="561">
        <f t="shared" ref="K9" si="2">SUM(K5:K8)</f>
        <v>211081884.80000001</v>
      </c>
      <c r="L9" s="90">
        <v>0.82209618992853128</v>
      </c>
      <c r="M9" s="213">
        <f t="shared" si="0"/>
        <v>-7.6001386121789971E-2</v>
      </c>
      <c r="N9" s="561">
        <f t="shared" ref="N9" si="3">SUM(N5:N8)</f>
        <v>204440019.13999999</v>
      </c>
      <c r="O9" s="90">
        <v>0.79622825503550743</v>
      </c>
      <c r="P9" s="213">
        <f>+I9/N9-1</f>
        <v>-8.2754406995111718E-2</v>
      </c>
    </row>
    <row r="10" spans="1:16" ht="15" customHeight="1" x14ac:dyDescent="0.2">
      <c r="A10" s="21">
        <v>6</v>
      </c>
      <c r="B10" s="21" t="s">
        <v>5</v>
      </c>
      <c r="C10" s="159">
        <v>1373491.25</v>
      </c>
      <c r="D10" s="204">
        <v>3133980.45</v>
      </c>
      <c r="E10" s="30">
        <v>2422134.9500000002</v>
      </c>
      <c r="F10" s="414">
        <f>E10/D10</f>
        <v>0.77286217595901086</v>
      </c>
      <c r="G10" s="30">
        <v>2263685.16</v>
      </c>
      <c r="H10" s="414">
        <f>G10/D10</f>
        <v>0.72230353574796546</v>
      </c>
      <c r="I10" s="136">
        <v>581008.93999999994</v>
      </c>
      <c r="J10" s="431">
        <f>I10/D10</f>
        <v>0.18539009712073984</v>
      </c>
      <c r="K10" s="558">
        <v>4472279.8</v>
      </c>
      <c r="L10" s="48">
        <v>0.75720597936413647</v>
      </c>
      <c r="M10" s="224">
        <f t="shared" si="0"/>
        <v>-0.49384089072423409</v>
      </c>
      <c r="N10" s="558">
        <v>1416703</v>
      </c>
      <c r="O10" s="48">
        <v>0.23986334275934845</v>
      </c>
      <c r="P10" s="224">
        <f>+I10/N10-1</f>
        <v>-0.58988656055644695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2"/>
      <c r="L11" s="49" t="s">
        <v>129</v>
      </c>
      <c r="M11" s="215" t="s">
        <v>129</v>
      </c>
      <c r="N11" s="562"/>
      <c r="O11" s="49" t="s">
        <v>129</v>
      </c>
      <c r="P11" s="215" t="s">
        <v>129</v>
      </c>
    </row>
    <row r="12" spans="1:16" ht="15" customHeight="1" x14ac:dyDescent="0.2">
      <c r="A12" s="9"/>
      <c r="B12" s="2" t="s">
        <v>7</v>
      </c>
      <c r="C12" s="162">
        <f>SUM(C10:C11)</f>
        <v>1373491.25</v>
      </c>
      <c r="D12" s="152">
        <f t="shared" ref="D12:I12" si="4">SUM(D10:D11)</f>
        <v>3133980.45</v>
      </c>
      <c r="E12" s="84">
        <f t="shared" si="4"/>
        <v>2422134.9500000002</v>
      </c>
      <c r="F12" s="90">
        <f>E12/D12</f>
        <v>0.77286217595901086</v>
      </c>
      <c r="G12" s="84">
        <f t="shared" si="4"/>
        <v>2263685.16</v>
      </c>
      <c r="H12" s="90">
        <f>G12/D12</f>
        <v>0.72230353574796546</v>
      </c>
      <c r="I12" s="84">
        <f t="shared" si="4"/>
        <v>581008.93999999994</v>
      </c>
      <c r="J12" s="170">
        <f>I12/D12</f>
        <v>0.18539009712073984</v>
      </c>
      <c r="K12" s="561">
        <f t="shared" ref="K12" si="5">SUM(K10:K11)</f>
        <v>4472279.8</v>
      </c>
      <c r="L12" s="90">
        <v>0.75720597936413647</v>
      </c>
      <c r="M12" s="213">
        <f t="shared" si="0"/>
        <v>-0.49384089072423409</v>
      </c>
      <c r="N12" s="561">
        <f t="shared" ref="N12" si="6">SUM(N10:N11)</f>
        <v>1416703</v>
      </c>
      <c r="O12" s="90">
        <v>0.23986334275934845</v>
      </c>
      <c r="P12" s="213">
        <f>+I12/N12-1</f>
        <v>-0.58988656055644695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58"/>
      <c r="L13" s="86" t="s">
        <v>129</v>
      </c>
      <c r="M13" s="214" t="s">
        <v>129</v>
      </c>
      <c r="N13" s="558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2"/>
      <c r="L14" s="49" t="s">
        <v>129</v>
      </c>
      <c r="M14" s="215" t="s">
        <v>129</v>
      </c>
      <c r="N14" s="562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1">
        <f t="shared" ref="K15" si="8">SUM(K13:K14)</f>
        <v>0</v>
      </c>
      <c r="L15" s="58" t="s">
        <v>129</v>
      </c>
      <c r="M15" s="216" t="s">
        <v>129</v>
      </c>
      <c r="N15" s="561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239849221.20999998</v>
      </c>
      <c r="E16" s="155">
        <f t="shared" si="10"/>
        <v>198735459.48999998</v>
      </c>
      <c r="F16" s="181">
        <f>E16/D16</f>
        <v>0.8285849688709106</v>
      </c>
      <c r="G16" s="155">
        <f t="shared" si="10"/>
        <v>197303054.13000003</v>
      </c>
      <c r="H16" s="181">
        <f>G16/D16</f>
        <v>0.82261286125774546</v>
      </c>
      <c r="I16" s="155">
        <f t="shared" si="10"/>
        <v>188102715.53</v>
      </c>
      <c r="J16" s="173">
        <f>I16/D16</f>
        <v>0.78425401834140906</v>
      </c>
      <c r="K16" s="569">
        <f t="shared" ref="K16" si="11">+K9+K12+K15</f>
        <v>215554164.60000002</v>
      </c>
      <c r="L16" s="181">
        <v>0.82063707724663681</v>
      </c>
      <c r="M16" s="600">
        <f>+G16/K16-1</f>
        <v>-8.4670646488636647E-2</v>
      </c>
      <c r="N16" s="569">
        <f t="shared" ref="N16" si="12">+N9+N12+N15</f>
        <v>205856722.13999999</v>
      </c>
      <c r="O16" s="181">
        <v>0.78371790729272051</v>
      </c>
      <c r="P16" s="600">
        <f>+I16/N16-1</f>
        <v>-8.624448317954736E-2</v>
      </c>
    </row>
    <row r="20" spans="5:5" x14ac:dyDescent="0.2">
      <c r="E20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7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140625" style="97" bestFit="1" customWidth="1"/>
  </cols>
  <sheetData>
    <row r="2" spans="1:15" ht="15" x14ac:dyDescent="0.25">
      <c r="B2" s="7" t="s">
        <v>522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7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customWidth="1"/>
    <col min="17" max="17" width="4.42578125" customWidth="1"/>
  </cols>
  <sheetData>
    <row r="1" spans="1:16" ht="15.75" thickBot="1" x14ac:dyDescent="0.3">
      <c r="A1" s="7" t="s">
        <v>523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11259133.869999999</v>
      </c>
      <c r="D5" s="204">
        <v>12893980.890000001</v>
      </c>
      <c r="E5" s="30">
        <v>10783327.07</v>
      </c>
      <c r="F5" s="48">
        <f>E5/D5</f>
        <v>0.83630704605457185</v>
      </c>
      <c r="G5" s="30">
        <v>10748549.02</v>
      </c>
      <c r="H5" s="48">
        <f>G5/D5</f>
        <v>0.83360981466446082</v>
      </c>
      <c r="I5" s="30">
        <v>10748549.02</v>
      </c>
      <c r="J5" s="153">
        <f>I5/D5</f>
        <v>0.83360981466446082</v>
      </c>
      <c r="K5" s="571">
        <v>10288738.76</v>
      </c>
      <c r="L5" s="48">
        <v>0.85028377435363001</v>
      </c>
      <c r="M5" s="210">
        <f>+G5/K5-1</f>
        <v>4.4690634170596821E-2</v>
      </c>
      <c r="N5" s="30">
        <v>10288738.76</v>
      </c>
      <c r="O5" s="48">
        <v>0.85028377435363001</v>
      </c>
      <c r="P5" s="210">
        <f>+I5/N5-1</f>
        <v>4.4690634170596821E-2</v>
      </c>
    </row>
    <row r="6" spans="1:16" ht="15" customHeight="1" x14ac:dyDescent="0.2">
      <c r="A6" s="23">
        <v>2</v>
      </c>
      <c r="B6" s="23" t="s">
        <v>1</v>
      </c>
      <c r="C6" s="160">
        <v>6412027.9500000002</v>
      </c>
      <c r="D6" s="205">
        <v>10273631.57</v>
      </c>
      <c r="E6" s="32">
        <v>9630042.1899999995</v>
      </c>
      <c r="F6" s="48">
        <f>E6/D6</f>
        <v>0.93735522092505785</v>
      </c>
      <c r="G6" s="32">
        <v>6837028.1699999999</v>
      </c>
      <c r="H6" s="48">
        <f>G6/D6</f>
        <v>0.66549283215146482</v>
      </c>
      <c r="I6" s="32">
        <v>4277926.26</v>
      </c>
      <c r="J6" s="153">
        <f>I6/D6</f>
        <v>0.41639864451553421</v>
      </c>
      <c r="K6" s="572">
        <v>5878971.46</v>
      </c>
      <c r="L6" s="280">
        <v>0.75397588070876587</v>
      </c>
      <c r="M6" s="211">
        <f>+G6/K6-1</f>
        <v>0.16296332045809936</v>
      </c>
      <c r="N6" s="32">
        <v>3910521.49</v>
      </c>
      <c r="O6" s="280">
        <v>0.50152291170559715</v>
      </c>
      <c r="P6" s="211">
        <f>+I6/N6-1</f>
        <v>9.3952883506593254E-2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59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32506022.739999998</v>
      </c>
      <c r="D8" s="206">
        <v>32481543.68</v>
      </c>
      <c r="E8" s="34">
        <v>30498016.129999999</v>
      </c>
      <c r="F8" s="390">
        <f>E8/D8</f>
        <v>0.93893370433556933</v>
      </c>
      <c r="G8" s="34">
        <v>30273949.079999998</v>
      </c>
      <c r="H8" s="390">
        <f>G8/D8</f>
        <v>0.9320354161197304</v>
      </c>
      <c r="I8" s="34">
        <v>25504213.32</v>
      </c>
      <c r="J8" s="392">
        <f>I8/D8</f>
        <v>0.78519092476826524</v>
      </c>
      <c r="K8" s="573">
        <v>27715275.760000002</v>
      </c>
      <c r="L8" s="390">
        <v>0.98166749987264934</v>
      </c>
      <c r="M8" s="515">
        <f>+G8/K8-1</f>
        <v>9.2319966149959631E-2</v>
      </c>
      <c r="N8" s="687">
        <v>23293946.440000001</v>
      </c>
      <c r="O8" s="390">
        <v>0.82506522258475268</v>
      </c>
      <c r="P8" s="515">
        <f>+I8/N8-1</f>
        <v>9.4885891735569716E-2</v>
      </c>
    </row>
    <row r="9" spans="1:16" ht="15" customHeight="1" x14ac:dyDescent="0.2">
      <c r="A9" s="9"/>
      <c r="B9" s="2" t="s">
        <v>4</v>
      </c>
      <c r="C9" s="162">
        <f>SUM(C5:C8)</f>
        <v>50177184.560000002</v>
      </c>
      <c r="D9" s="152">
        <f t="shared" ref="D9:I9" si="0">SUM(D5:D8)</f>
        <v>55649156.140000001</v>
      </c>
      <c r="E9" s="84">
        <f t="shared" si="0"/>
        <v>50911385.390000001</v>
      </c>
      <c r="F9" s="90">
        <f>E9/D9</f>
        <v>0.91486356526088375</v>
      </c>
      <c r="G9" s="84">
        <f t="shared" si="0"/>
        <v>47859526.269999996</v>
      </c>
      <c r="H9" s="90">
        <f>G9/D9</f>
        <v>0.86002249790808771</v>
      </c>
      <c r="I9" s="84">
        <f t="shared" si="0"/>
        <v>40530688.600000001</v>
      </c>
      <c r="J9" s="170">
        <f>I9/D9</f>
        <v>0.72832530466471868</v>
      </c>
      <c r="K9" s="561">
        <f t="shared" ref="K9" si="1">SUM(K5:K8)</f>
        <v>43882985.980000004</v>
      </c>
      <c r="L9" s="90">
        <v>0.91174991811087758</v>
      </c>
      <c r="M9" s="213">
        <f t="shared" ref="M9" si="2">+G9/K9-1</f>
        <v>9.0616903139005389E-2</v>
      </c>
      <c r="N9" s="84">
        <f t="shared" ref="N9" si="3">SUM(N5:N8)</f>
        <v>37493206.689999998</v>
      </c>
      <c r="O9" s="90">
        <v>0.77899047582818337</v>
      </c>
      <c r="P9" s="213">
        <f>+I9/N9-1</f>
        <v>8.1014193720862604E-2</v>
      </c>
    </row>
    <row r="10" spans="1:16" ht="15" customHeight="1" x14ac:dyDescent="0.2">
      <c r="A10" s="21">
        <v>6</v>
      </c>
      <c r="B10" s="21" t="s">
        <v>5</v>
      </c>
      <c r="C10" s="159">
        <v>8537936.3300000001</v>
      </c>
      <c r="D10" s="204">
        <v>7925824.3099999996</v>
      </c>
      <c r="E10" s="30">
        <v>7489066.4900000002</v>
      </c>
      <c r="F10" s="48">
        <f>E10/D10</f>
        <v>0.94489433490861729</v>
      </c>
      <c r="G10" s="30">
        <v>7489066.4900000002</v>
      </c>
      <c r="H10" s="48">
        <f>G10/D10</f>
        <v>0.94489433490861729</v>
      </c>
      <c r="I10" s="30">
        <v>144235.31</v>
      </c>
      <c r="J10" s="153">
        <f>I10/D10</f>
        <v>1.8198146256915959E-2</v>
      </c>
      <c r="K10" s="558">
        <v>2310994.7000000002</v>
      </c>
      <c r="L10" s="48">
        <v>0.9419914006382013</v>
      </c>
      <c r="M10" s="210">
        <f>+G10/K10-1</f>
        <v>2.2406246929082094</v>
      </c>
      <c r="N10" s="30">
        <v>1850226.25</v>
      </c>
      <c r="O10" s="48">
        <v>0.7541762067801655</v>
      </c>
      <c r="P10" s="210">
        <f>+I10/N10-1</f>
        <v>-0.92204450131436633</v>
      </c>
    </row>
    <row r="11" spans="1:16" ht="15" customHeight="1" x14ac:dyDescent="0.2">
      <c r="A11" s="24">
        <v>7</v>
      </c>
      <c r="B11" s="24" t="s">
        <v>6</v>
      </c>
      <c r="C11" s="161">
        <v>6500000</v>
      </c>
      <c r="D11" s="206">
        <v>8796756.8699999992</v>
      </c>
      <c r="E11" s="34">
        <v>6876018.96</v>
      </c>
      <c r="F11" s="78">
        <f>E11/D11</f>
        <v>0.78165385966839851</v>
      </c>
      <c r="G11" s="56">
        <v>6876018.96</v>
      </c>
      <c r="H11" s="78">
        <f>G11/D11</f>
        <v>0.78165385966839851</v>
      </c>
      <c r="I11" s="56">
        <v>866080.8</v>
      </c>
      <c r="J11" s="172">
        <f>I11/D11</f>
        <v>9.8454556923544947E-2</v>
      </c>
      <c r="K11" s="562">
        <v>19348157.100000001</v>
      </c>
      <c r="L11" s="390">
        <v>0.56086147665062991</v>
      </c>
      <c r="M11" s="210">
        <f>+G11/K11-1</f>
        <v>-0.64461633609538971</v>
      </c>
      <c r="N11" s="56">
        <v>12965491.16</v>
      </c>
      <c r="O11" s="390">
        <v>0.37584171349829942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15037936.33</v>
      </c>
      <c r="D12" s="152">
        <f t="shared" ref="D12:G12" si="4">SUM(D10:D11)</f>
        <v>16722581.18</v>
      </c>
      <c r="E12" s="84">
        <f t="shared" si="4"/>
        <v>14365085.449999999</v>
      </c>
      <c r="F12" s="90">
        <f>E12/D12</f>
        <v>0.8590232150991417</v>
      </c>
      <c r="G12" s="84">
        <f t="shared" si="4"/>
        <v>14365085.449999999</v>
      </c>
      <c r="H12" s="90">
        <f>G12/D12</f>
        <v>0.8590232150991417</v>
      </c>
      <c r="I12" s="84">
        <f>SUM(I10:I11)</f>
        <v>1010316.1100000001</v>
      </c>
      <c r="J12" s="170">
        <f>I12/D12</f>
        <v>6.0416277793784952E-2</v>
      </c>
      <c r="K12" s="561">
        <f t="shared" ref="K12" si="5">SUM(K10:K11)</f>
        <v>21659151.800000001</v>
      </c>
      <c r="L12" s="90">
        <v>0.58616637008107442</v>
      </c>
      <c r="M12" s="213">
        <f>+G12/K12-1</f>
        <v>-0.33676602008025081</v>
      </c>
      <c r="N12" s="84">
        <f t="shared" ref="N12" si="6">SUM(N10:N11)</f>
        <v>14815717.41</v>
      </c>
      <c r="O12" s="90">
        <v>0.40096100597839091</v>
      </c>
      <c r="P12" s="213">
        <f>+I12/N12-1</f>
        <v>-0.93180781719567096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58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2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1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72371737.319999993</v>
      </c>
      <c r="E16" s="155">
        <f t="shared" si="10"/>
        <v>65276470.840000004</v>
      </c>
      <c r="F16" s="181">
        <f>E16/D16</f>
        <v>0.90196081035574083</v>
      </c>
      <c r="G16" s="155">
        <f t="shared" si="10"/>
        <v>62224611.719999999</v>
      </c>
      <c r="H16" s="181">
        <f>G16/D16</f>
        <v>0.85979159854718834</v>
      </c>
      <c r="I16" s="155">
        <f t="shared" si="10"/>
        <v>41541004.710000001</v>
      </c>
      <c r="J16" s="173">
        <f>I16/D16</f>
        <v>0.57399485280174567</v>
      </c>
      <c r="K16" s="569">
        <f t="shared" ref="K16" si="11">+K9+K12+K15</f>
        <v>65542137.780000001</v>
      </c>
      <c r="L16" s="181">
        <v>0.7703496355546382</v>
      </c>
      <c r="M16" s="600">
        <f>+G16/K16-1</f>
        <v>-5.0616689848226759E-2</v>
      </c>
      <c r="N16" s="155">
        <f t="shared" ref="N16" si="12">+N9+N12+N15</f>
        <v>52308924.099999994</v>
      </c>
      <c r="O16" s="181">
        <v>0.61481303450841185</v>
      </c>
      <c r="P16" s="600">
        <f>+I16/N16-1</f>
        <v>-0.20585243484294857</v>
      </c>
    </row>
    <row r="19" spans="5:7" x14ac:dyDescent="0.2">
      <c r="G19" s="683"/>
    </row>
    <row r="20" spans="5:7" x14ac:dyDescent="0.2">
      <c r="E20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8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4.42578125" customWidth="1"/>
  </cols>
  <sheetData>
    <row r="1" spans="1:13" ht="15" x14ac:dyDescent="0.25">
      <c r="A1" s="7" t="s">
        <v>523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7.85546875" style="97" bestFit="1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524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76">
        <v>1614150.9</v>
      </c>
      <c r="D5" s="204">
        <v>1764574.27</v>
      </c>
      <c r="E5" s="180">
        <v>1408408.77</v>
      </c>
      <c r="F5" s="48">
        <f>E5/D5</f>
        <v>0.79815782987700479</v>
      </c>
      <c r="G5" s="180">
        <v>1408408.77</v>
      </c>
      <c r="H5" s="48">
        <f>G5/D5</f>
        <v>0.79815782987700479</v>
      </c>
      <c r="I5" s="180">
        <v>1408408.77</v>
      </c>
      <c r="J5" s="153">
        <f>I5/D5</f>
        <v>0.79815782987700479</v>
      </c>
      <c r="K5" s="180">
        <v>1605262.33</v>
      </c>
      <c r="L5" s="48">
        <v>0.84189107574465594</v>
      </c>
      <c r="M5" s="210">
        <f>+G5/K5-1</f>
        <v>-0.12263014980236908</v>
      </c>
      <c r="N5" s="682">
        <v>1605262.33</v>
      </c>
      <c r="O5" s="48">
        <v>0.84189107574465594</v>
      </c>
      <c r="P5" s="210">
        <f>+I5/N5-1</f>
        <v>-0.12263014980236908</v>
      </c>
    </row>
    <row r="6" spans="1:16" ht="15" customHeight="1" x14ac:dyDescent="0.2">
      <c r="A6" s="23">
        <v>2</v>
      </c>
      <c r="B6" s="23" t="s">
        <v>1</v>
      </c>
      <c r="C6" s="161">
        <v>221665018.94999999</v>
      </c>
      <c r="D6" s="206">
        <v>222170415.72</v>
      </c>
      <c r="E6" s="34">
        <v>214172160.19</v>
      </c>
      <c r="F6" s="48">
        <f>E6/D6</f>
        <v>0.96399945733512893</v>
      </c>
      <c r="G6" s="34">
        <v>213665571.13999999</v>
      </c>
      <c r="H6" s="48">
        <f>G6/D6</f>
        <v>0.9617192750329161</v>
      </c>
      <c r="I6" s="34">
        <v>136431768.75</v>
      </c>
      <c r="J6" s="153">
        <f>I6/D6</f>
        <v>0.61408612081792258</v>
      </c>
      <c r="K6" s="34">
        <v>213234734.81</v>
      </c>
      <c r="L6" s="280">
        <v>0.978259781689791</v>
      </c>
      <c r="M6" s="210">
        <f>+G6/K6-1</f>
        <v>2.0204791230842289E-3</v>
      </c>
      <c r="N6" s="34">
        <v>133705312.77</v>
      </c>
      <c r="O6" s="280">
        <v>0.61340161206705712</v>
      </c>
      <c r="P6" s="210">
        <f t="shared" ref="P6:P12" si="0">+I6/N6-1</f>
        <v>2.0391530624441545E-2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59943428.420000002</v>
      </c>
      <c r="D8" s="206">
        <v>60690421.060000002</v>
      </c>
      <c r="E8" s="34">
        <v>60640508.159999996</v>
      </c>
      <c r="F8" s="390">
        <f>E8/D8</f>
        <v>0.99917758191279216</v>
      </c>
      <c r="G8" s="80">
        <v>60640508.159999996</v>
      </c>
      <c r="H8" s="78">
        <f t="shared" ref="H8" si="1">G8/D8</f>
        <v>0.99917758191279216</v>
      </c>
      <c r="I8" s="34">
        <v>42253342.520000003</v>
      </c>
      <c r="J8" s="392">
        <f>I8/D8</f>
        <v>0.69621106233926666</v>
      </c>
      <c r="K8" s="34">
        <v>63616018.549999997</v>
      </c>
      <c r="L8" s="390">
        <v>0.96861475282615828</v>
      </c>
      <c r="M8" s="515">
        <f>+G8/K8-1</f>
        <v>-4.6772974131685907E-2</v>
      </c>
      <c r="N8" s="34">
        <v>50610494.789999999</v>
      </c>
      <c r="O8" s="390">
        <v>0.77059320936433273</v>
      </c>
      <c r="P8" s="210">
        <f t="shared" si="0"/>
        <v>-0.16512686360164308</v>
      </c>
    </row>
    <row r="9" spans="1:16" ht="15" customHeight="1" x14ac:dyDescent="0.2">
      <c r="A9" s="9"/>
      <c r="B9" s="2" t="s">
        <v>4</v>
      </c>
      <c r="C9" s="162">
        <f>SUM(C5:C8)</f>
        <v>283222598.26999998</v>
      </c>
      <c r="D9" s="152">
        <f t="shared" ref="D9:I9" si="2">SUM(D5:D8)</f>
        <v>284625411.05000001</v>
      </c>
      <c r="E9" s="84">
        <f t="shared" si="2"/>
        <v>276221077.12</v>
      </c>
      <c r="F9" s="90">
        <f>E9/D9</f>
        <v>0.97047229936710178</v>
      </c>
      <c r="G9" s="84">
        <f>SUM(G5:G8)</f>
        <v>275714488.06999999</v>
      </c>
      <c r="H9" s="90">
        <f>G9/D9</f>
        <v>0.96869245459452447</v>
      </c>
      <c r="I9" s="84">
        <f t="shared" si="2"/>
        <v>180093520.04000002</v>
      </c>
      <c r="J9" s="170">
        <f>I9/D9</f>
        <v>0.63273872622835869</v>
      </c>
      <c r="K9" s="84">
        <f>SUM(K5:K8)</f>
        <v>278456015.69</v>
      </c>
      <c r="L9" s="90">
        <v>0.97513089092742367</v>
      </c>
      <c r="M9" s="213">
        <f t="shared" ref="M9" si="3">+G9/K9-1</f>
        <v>-9.8454602002641112E-3</v>
      </c>
      <c r="N9" s="84">
        <f t="shared" ref="N9" si="4">SUM(N5:N8)</f>
        <v>185921069.88999999</v>
      </c>
      <c r="O9" s="90">
        <v>0.65108084691497758</v>
      </c>
      <c r="P9" s="213">
        <f>+I9/N9-1</f>
        <v>-3.134421425956635E-2</v>
      </c>
    </row>
    <row r="10" spans="1:16" ht="15" customHeight="1" x14ac:dyDescent="0.2">
      <c r="A10" s="21">
        <v>6</v>
      </c>
      <c r="B10" s="21" t="s">
        <v>5</v>
      </c>
      <c r="C10" s="159">
        <v>3452456.25</v>
      </c>
      <c r="D10" s="204">
        <v>2871149.18</v>
      </c>
      <c r="E10" s="30">
        <v>2860348.38</v>
      </c>
      <c r="F10" s="48">
        <f>E10/D10</f>
        <v>0.99623816133441023</v>
      </c>
      <c r="G10" s="136">
        <v>2860348.38</v>
      </c>
      <c r="H10" s="48">
        <f>G10/D10</f>
        <v>0.99623816133441023</v>
      </c>
      <c r="I10" s="136">
        <v>992604.48</v>
      </c>
      <c r="J10" s="153">
        <f>I10/D10</f>
        <v>0.34571679065453503</v>
      </c>
      <c r="K10" s="136">
        <v>197692.34</v>
      </c>
      <c r="L10" s="48">
        <v>0.17581504927525507</v>
      </c>
      <c r="M10" s="224">
        <f>+G10/K10-1</f>
        <v>13.468685938969612</v>
      </c>
      <c r="N10" s="136">
        <v>22308.93</v>
      </c>
      <c r="O10" s="48">
        <v>1.9840149735838104E-2</v>
      </c>
      <c r="P10" s="224">
        <f t="shared" si="0"/>
        <v>43.49359426920072</v>
      </c>
    </row>
    <row r="11" spans="1:16" ht="15" customHeight="1" x14ac:dyDescent="0.2">
      <c r="A11" s="24">
        <v>7</v>
      </c>
      <c r="B11" s="24" t="s">
        <v>6</v>
      </c>
      <c r="C11" s="161"/>
      <c r="D11" s="206">
        <v>17420.71</v>
      </c>
      <c r="E11" s="34">
        <v>17420.71</v>
      </c>
      <c r="F11" s="78" t="s">
        <v>129</v>
      </c>
      <c r="G11" s="137">
        <v>17420.71</v>
      </c>
      <c r="H11" s="78" t="s">
        <v>129</v>
      </c>
      <c r="I11" s="137">
        <v>0</v>
      </c>
      <c r="J11" s="153">
        <f>I11/D11</f>
        <v>0</v>
      </c>
      <c r="K11" s="137">
        <v>200000</v>
      </c>
      <c r="L11" s="48">
        <v>1</v>
      </c>
      <c r="M11" s="224">
        <f>+G11/K11-1</f>
        <v>-0.91289644999999997</v>
      </c>
      <c r="N11" s="137">
        <v>200000</v>
      </c>
      <c r="O11" s="735">
        <v>1</v>
      </c>
      <c r="P11" s="224">
        <f t="shared" si="0"/>
        <v>-1</v>
      </c>
    </row>
    <row r="12" spans="1:16" ht="15" customHeight="1" x14ac:dyDescent="0.2">
      <c r="A12" s="9"/>
      <c r="B12" s="2" t="s">
        <v>7</v>
      </c>
      <c r="C12" s="162">
        <f>SUM(C10:C11)</f>
        <v>3452456.25</v>
      </c>
      <c r="D12" s="152">
        <f t="shared" ref="D12:I12" si="5">SUM(D10:D11)</f>
        <v>2888569.89</v>
      </c>
      <c r="E12" s="84">
        <f t="shared" si="5"/>
        <v>2877769.09</v>
      </c>
      <c r="F12" s="90">
        <f>E12/D12</f>
        <v>0.9962608486513026</v>
      </c>
      <c r="G12" s="84">
        <f>SUM(G10:G11)</f>
        <v>2877769.09</v>
      </c>
      <c r="H12" s="90">
        <f>G12/D12</f>
        <v>0.9962608486513026</v>
      </c>
      <c r="I12" s="84">
        <f t="shared" si="5"/>
        <v>992604.48</v>
      </c>
      <c r="J12" s="170">
        <f>I12/D12</f>
        <v>0.34363180321041148</v>
      </c>
      <c r="K12" s="84">
        <f>SUM(K10:K11)</f>
        <v>397692.33999999997</v>
      </c>
      <c r="L12" s="90">
        <v>0.30027353203186369</v>
      </c>
      <c r="M12" s="225">
        <f>+G12/K12-1</f>
        <v>6.2361692709494987</v>
      </c>
      <c r="N12" s="84">
        <f t="shared" ref="N12" si="6">SUM(N10:N11)</f>
        <v>222308.93</v>
      </c>
      <c r="O12" s="90">
        <v>0.16785208287724213</v>
      </c>
      <c r="P12" s="225">
        <f t="shared" si="0"/>
        <v>3.4649779925619724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287513980.94</v>
      </c>
      <c r="E16" s="155">
        <f t="shared" si="10"/>
        <v>279098846.20999998</v>
      </c>
      <c r="F16" s="181">
        <f>E16/D16</f>
        <v>0.97073138947021798</v>
      </c>
      <c r="G16" s="155">
        <f t="shared" si="10"/>
        <v>278592257.15999997</v>
      </c>
      <c r="H16" s="181">
        <f>G16/D16</f>
        <v>0.96896942628378868</v>
      </c>
      <c r="I16" s="155">
        <f t="shared" si="10"/>
        <v>181086124.52000001</v>
      </c>
      <c r="J16" s="173">
        <f>I16/D16</f>
        <v>0.62983415250957853</v>
      </c>
      <c r="K16" s="155">
        <f t="shared" ref="K16" si="11">+K9+K12+K15</f>
        <v>278853708.02999997</v>
      </c>
      <c r="L16" s="181">
        <v>0.97201531138314456</v>
      </c>
      <c r="M16" s="600">
        <f>+G16/K16-1</f>
        <v>-9.3759151293726362E-4</v>
      </c>
      <c r="N16" s="155">
        <f t="shared" ref="N16" si="12">+N9+N12+N15</f>
        <v>186143378.81999999</v>
      </c>
      <c r="O16" s="181">
        <v>0.64884994932958706</v>
      </c>
      <c r="P16" s="600">
        <f>+I16/N16-1</f>
        <v>-2.7168596229739328E-2</v>
      </c>
    </row>
    <row r="20" spans="5:5" x14ac:dyDescent="0.2">
      <c r="E20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C8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1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" style="97" bestFit="1" customWidth="1"/>
  </cols>
  <sheetData>
    <row r="1" spans="1:15" ht="15" x14ac:dyDescent="0.25">
      <c r="A1" s="7" t="s">
        <v>535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7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42578125" style="46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525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1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590327.65</v>
      </c>
      <c r="D5" s="204">
        <v>592894.29</v>
      </c>
      <c r="E5" s="30">
        <v>501783.88</v>
      </c>
      <c r="F5" s="48">
        <f>E5/D5</f>
        <v>0.84632941902678804</v>
      </c>
      <c r="G5" s="30">
        <v>501783.88</v>
      </c>
      <c r="H5" s="48">
        <f>G5/D5</f>
        <v>0.84632941902678804</v>
      </c>
      <c r="I5" s="30">
        <v>501783.88</v>
      </c>
      <c r="J5" s="153">
        <f>I5/D5</f>
        <v>0.84632941902678804</v>
      </c>
      <c r="K5" s="204">
        <v>613013.74</v>
      </c>
      <c r="L5" s="48">
        <v>0.84749659885670714</v>
      </c>
      <c r="M5" s="210">
        <f>G5/K5-1</f>
        <v>-0.18144758060398447</v>
      </c>
      <c r="N5" s="30">
        <v>613013.74</v>
      </c>
      <c r="O5" s="48">
        <v>0.84749659885670714</v>
      </c>
      <c r="P5" s="210">
        <f>I5/N5-1</f>
        <v>-0.18144758060398447</v>
      </c>
    </row>
    <row r="6" spans="1:16" ht="15" customHeight="1" x14ac:dyDescent="0.2">
      <c r="A6" s="23">
        <v>2</v>
      </c>
      <c r="B6" s="23" t="s">
        <v>1</v>
      </c>
      <c r="C6" s="160">
        <v>4166952.74</v>
      </c>
      <c r="D6" s="205">
        <v>3550948.04</v>
      </c>
      <c r="E6" s="32">
        <v>3358481.52</v>
      </c>
      <c r="F6" s="48">
        <f>E6/D6</f>
        <v>0.94579855356036135</v>
      </c>
      <c r="G6" s="32">
        <v>3235279.13</v>
      </c>
      <c r="H6" s="48">
        <f>G6/D6</f>
        <v>0.91110292055977249</v>
      </c>
      <c r="I6" s="32">
        <v>2401519.63</v>
      </c>
      <c r="J6" s="153">
        <f>I6/D6</f>
        <v>0.67630379350749381</v>
      </c>
      <c r="K6" s="32">
        <v>3387805.91</v>
      </c>
      <c r="L6" s="280">
        <v>0.81024325685326049</v>
      </c>
      <c r="M6" s="210">
        <f>G6/K6-1</f>
        <v>-4.5022289957573181E-2</v>
      </c>
      <c r="N6" s="32">
        <v>1706854.71</v>
      </c>
      <c r="O6" s="280">
        <v>0.40821922977450836</v>
      </c>
      <c r="P6" s="210">
        <f>I6/N6-1</f>
        <v>0.4069853842451534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50</v>
      </c>
      <c r="D8" s="206">
        <v>35050</v>
      </c>
      <c r="E8" s="34">
        <v>32000</v>
      </c>
      <c r="F8" s="78">
        <f>E8/D8</f>
        <v>0.91298145506419404</v>
      </c>
      <c r="G8" s="180">
        <v>32000</v>
      </c>
      <c r="H8" s="48">
        <f t="shared" ref="H8" si="0">G8/D8</f>
        <v>0.91298145506419404</v>
      </c>
      <c r="I8" s="180">
        <v>32000</v>
      </c>
      <c r="J8" s="172">
        <v>0</v>
      </c>
      <c r="K8" s="180">
        <v>0</v>
      </c>
      <c r="L8" s="390" t="s">
        <v>129</v>
      </c>
      <c r="M8" s="245" t="s">
        <v>129</v>
      </c>
      <c r="N8" s="180">
        <v>0</v>
      </c>
      <c r="O8" s="390" t="s">
        <v>129</v>
      </c>
      <c r="P8" s="245" t="s">
        <v>129</v>
      </c>
    </row>
    <row r="9" spans="1:16" ht="15" customHeight="1" x14ac:dyDescent="0.2">
      <c r="A9" s="9"/>
      <c r="B9" s="2" t="s">
        <v>4</v>
      </c>
      <c r="C9" s="162">
        <f>SUM(C5:C8)</f>
        <v>4757330.3900000006</v>
      </c>
      <c r="D9" s="152">
        <f t="shared" ref="D9:I9" si="1">SUM(D5:D8)</f>
        <v>4178892.33</v>
      </c>
      <c r="E9" s="84">
        <f t="shared" si="1"/>
        <v>3892265.4</v>
      </c>
      <c r="F9" s="90">
        <f>E9/D9</f>
        <v>0.93141078846604308</v>
      </c>
      <c r="G9" s="84">
        <f t="shared" si="1"/>
        <v>3769063.01</v>
      </c>
      <c r="H9" s="90">
        <f>G9/D9</f>
        <v>0.90192871994861845</v>
      </c>
      <c r="I9" s="84">
        <f t="shared" si="1"/>
        <v>2935303.51</v>
      </c>
      <c r="J9" s="170">
        <f>I9/D9</f>
        <v>0.70241185419582219</v>
      </c>
      <c r="K9" s="84">
        <f t="shared" ref="K9" si="2">SUM(K5:K8)</f>
        <v>4000819.6500000004</v>
      </c>
      <c r="L9" s="90">
        <v>0.81573738616242197</v>
      </c>
      <c r="M9" s="213">
        <f t="shared" ref="M9" si="3">G9/K9-1</f>
        <v>-5.7927289974193275E-2</v>
      </c>
      <c r="N9" s="84">
        <f t="shared" ref="N9" si="4">SUM(N5:N8)</f>
        <v>2319868.4500000002</v>
      </c>
      <c r="O9" s="90">
        <v>0.47300393199270285</v>
      </c>
      <c r="P9" s="213">
        <f>I9/N9-1</f>
        <v>0.26528877531827266</v>
      </c>
    </row>
    <row r="10" spans="1:16" ht="15" customHeight="1" x14ac:dyDescent="0.2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2" t="s">
        <v>129</v>
      </c>
      <c r="N11" s="137"/>
      <c r="O11" s="49" t="s">
        <v>129</v>
      </c>
      <c r="P11" s="552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4178892.33</v>
      </c>
      <c r="E16" s="155">
        <f t="shared" si="11"/>
        <v>3892265.4</v>
      </c>
      <c r="F16" s="181">
        <f>E16/D16</f>
        <v>0.93141078846604308</v>
      </c>
      <c r="G16" s="155">
        <f t="shared" si="11"/>
        <v>3769063.01</v>
      </c>
      <c r="H16" s="181">
        <f>G16/D16</f>
        <v>0.90192871994861845</v>
      </c>
      <c r="I16" s="155">
        <f t="shared" si="11"/>
        <v>2935303.51</v>
      </c>
      <c r="J16" s="173">
        <f>I16/D16</f>
        <v>0.70241185419582219</v>
      </c>
      <c r="K16" s="155">
        <f t="shared" ref="K16" si="12">+K9+K12+K15</f>
        <v>4000819.6500000004</v>
      </c>
      <c r="L16" s="181">
        <v>0.81573738616242197</v>
      </c>
      <c r="M16" s="600">
        <f t="shared" ref="M16" si="13">G16/K16-1</f>
        <v>-5.7927289974193275E-2</v>
      </c>
      <c r="N16" s="155">
        <f t="shared" ref="N16" si="14">+N9+N12+N15</f>
        <v>2319868.4500000002</v>
      </c>
      <c r="O16" s="181">
        <v>0.47300393199270285</v>
      </c>
      <c r="P16" s="600">
        <f>I16/N16-1</f>
        <v>0.26528877531827266</v>
      </c>
    </row>
    <row r="21" spans="5:5" x14ac:dyDescent="0.2">
      <c r="E21" s="18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7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3" spans="1:13" ht="15" x14ac:dyDescent="0.25">
      <c r="A3" s="7" t="s">
        <v>536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6" customWidth="1"/>
    <col min="6" max="6" width="6.28515625" style="97" customWidth="1"/>
    <col min="7" max="7" width="11" style="46" customWidth="1"/>
    <col min="8" max="8" width="6.28515625" style="97" customWidth="1"/>
    <col min="9" max="9" width="11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710937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526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4351164.46</v>
      </c>
      <c r="D5" s="204">
        <v>4450116.4000000004</v>
      </c>
      <c r="E5" s="30">
        <v>3626587.89</v>
      </c>
      <c r="F5" s="48">
        <f>E5/D5</f>
        <v>0.81494225409474674</v>
      </c>
      <c r="G5" s="30">
        <v>3626587.89</v>
      </c>
      <c r="H5" s="48">
        <f>G5/D5</f>
        <v>0.81494225409474674</v>
      </c>
      <c r="I5" s="30">
        <v>3626587.89</v>
      </c>
      <c r="J5" s="153">
        <f>I5/D5</f>
        <v>0.81494225409474674</v>
      </c>
      <c r="K5" s="699">
        <v>4085518.39</v>
      </c>
      <c r="L5" s="48">
        <v>0.83561969005245207</v>
      </c>
      <c r="M5" s="210">
        <f>G5/K5-1</f>
        <v>-0.11233103273340062</v>
      </c>
      <c r="N5" s="682">
        <v>4085518.39</v>
      </c>
      <c r="O5" s="48">
        <v>0.83561969005245207</v>
      </c>
      <c r="P5" s="210">
        <f>I5/N5-1</f>
        <v>-0.11233103273340062</v>
      </c>
    </row>
    <row r="6" spans="1:16" ht="15" customHeight="1" x14ac:dyDescent="0.2">
      <c r="A6" s="23">
        <v>2</v>
      </c>
      <c r="B6" s="23" t="s">
        <v>1</v>
      </c>
      <c r="C6" s="160">
        <v>26400686.800000001</v>
      </c>
      <c r="D6" s="205">
        <v>25485072.559999999</v>
      </c>
      <c r="E6" s="32">
        <v>24782810</v>
      </c>
      <c r="F6" s="48">
        <f>E6/D6</f>
        <v>0.97244416085743335</v>
      </c>
      <c r="G6" s="32">
        <v>24108765.739999998</v>
      </c>
      <c r="H6" s="48">
        <f>G6/D6</f>
        <v>0.94599556988665678</v>
      </c>
      <c r="I6" s="32">
        <v>13676861.32</v>
      </c>
      <c r="J6" s="178">
        <f>I6/D6</f>
        <v>0.53666165900843721</v>
      </c>
      <c r="K6" s="699">
        <v>22920732.829999998</v>
      </c>
      <c r="L6" s="280">
        <v>0.88376172414095444</v>
      </c>
      <c r="M6" s="210">
        <f>G6/K6-1</f>
        <v>5.1832239344678843E-2</v>
      </c>
      <c r="N6" s="32">
        <v>11494954.74</v>
      </c>
      <c r="O6" s="280">
        <v>0.44321449472366797</v>
      </c>
      <c r="P6" s="210">
        <f>I6/N6-1</f>
        <v>0.18981428194818628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699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6231730</v>
      </c>
      <c r="D8" s="206">
        <v>6283900</v>
      </c>
      <c r="E8" s="34">
        <v>6282942.0499999998</v>
      </c>
      <c r="F8" s="390">
        <f t="shared" ref="F8" si="0">E8/D8</f>
        <v>0.99984755486242616</v>
      </c>
      <c r="G8" s="34">
        <v>6282942.0499999998</v>
      </c>
      <c r="H8" s="78">
        <f t="shared" ref="H8" si="1">G8/D8</f>
        <v>0.99984755486242616</v>
      </c>
      <c r="I8" s="34">
        <v>3182336.02</v>
      </c>
      <c r="J8" s="172">
        <f>I8/D8</f>
        <v>0.50642690367446963</v>
      </c>
      <c r="K8" s="699">
        <v>6331633.0499999998</v>
      </c>
      <c r="L8" s="390">
        <v>1</v>
      </c>
      <c r="M8" s="515">
        <f t="shared" ref="M8:M11" si="2">G8/K8-1</f>
        <v>-7.6901171649548239E-3</v>
      </c>
      <c r="N8" s="32">
        <v>3242836.02</v>
      </c>
      <c r="O8" s="390">
        <v>0.51216423857664972</v>
      </c>
      <c r="P8" s="210">
        <f>I8/N8-1</f>
        <v>-1.865650918728845E-2</v>
      </c>
    </row>
    <row r="9" spans="1:16" ht="15" customHeight="1" x14ac:dyDescent="0.2">
      <c r="A9" s="9"/>
      <c r="B9" s="2" t="s">
        <v>4</v>
      </c>
      <c r="C9" s="162">
        <f>SUM(C5:C8)</f>
        <v>36983581.260000005</v>
      </c>
      <c r="D9" s="152">
        <f>SUM(D5:D8)</f>
        <v>36219088.960000001</v>
      </c>
      <c r="E9" s="84">
        <f>SUM(E5:E8)</f>
        <v>34692339.939999998</v>
      </c>
      <c r="F9" s="90">
        <f>E9/D9</f>
        <v>0.9578468408831009</v>
      </c>
      <c r="G9" s="84">
        <f>SUM(G5:G8)</f>
        <v>34018295.68</v>
      </c>
      <c r="H9" s="90">
        <f>G9/D9</f>
        <v>0.93923664721576694</v>
      </c>
      <c r="I9" s="84">
        <f>SUM(I5:I8)</f>
        <v>20485785.23</v>
      </c>
      <c r="J9" s="170">
        <f>I9/D9</f>
        <v>0.56560741361065969</v>
      </c>
      <c r="K9" s="698">
        <f>SUM(K5:K8)</f>
        <v>33337884.27</v>
      </c>
      <c r="L9" s="90">
        <v>0.89723459957495411</v>
      </c>
      <c r="M9" s="213">
        <f t="shared" si="2"/>
        <v>2.0409555822121783E-2</v>
      </c>
      <c r="N9" s="84">
        <f>SUM(N5:N8)</f>
        <v>18823309.150000002</v>
      </c>
      <c r="O9" s="90">
        <v>0.50659856249707425</v>
      </c>
      <c r="P9" s="213">
        <f>I9/N9-1</f>
        <v>8.832007521908003E-2</v>
      </c>
    </row>
    <row r="10" spans="1:16" ht="15" customHeight="1" x14ac:dyDescent="0.2">
      <c r="A10" s="21">
        <v>6</v>
      </c>
      <c r="B10" s="21" t="s">
        <v>5</v>
      </c>
      <c r="C10" s="159">
        <v>23946471.93</v>
      </c>
      <c r="D10" s="204">
        <v>14767109.369999999</v>
      </c>
      <c r="E10" s="30">
        <v>13084094.220000001</v>
      </c>
      <c r="F10" s="48">
        <f>E10/D10</f>
        <v>0.88602947890268124</v>
      </c>
      <c r="G10" s="136">
        <v>12208452.9</v>
      </c>
      <c r="H10" s="48">
        <f>G10/D10</f>
        <v>0.82673274735825975</v>
      </c>
      <c r="I10" s="136">
        <v>5912719.7999999998</v>
      </c>
      <c r="J10" s="153">
        <f>I10/D10</f>
        <v>0.40039791484255799</v>
      </c>
      <c r="K10" s="697">
        <v>4770844.24</v>
      </c>
      <c r="L10" s="48">
        <v>0.41071567826016026</v>
      </c>
      <c r="M10" s="224">
        <f t="shared" si="2"/>
        <v>1.5589711769755872</v>
      </c>
      <c r="N10" s="136">
        <v>2654274.63</v>
      </c>
      <c r="O10" s="48">
        <v>0.22850299655752035</v>
      </c>
      <c r="P10" s="224">
        <f>I10/N10-1</f>
        <v>1.2276217137335181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696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2" t="s">
        <v>129</v>
      </c>
    </row>
    <row r="12" spans="1:16" ht="15" customHeight="1" x14ac:dyDescent="0.2">
      <c r="A12" s="9"/>
      <c r="B12" s="2" t="s">
        <v>7</v>
      </c>
      <c r="C12" s="162">
        <f>SUM(C10:C11)</f>
        <v>23946471.93</v>
      </c>
      <c r="D12" s="152">
        <f t="shared" ref="D12:I12" si="3">SUM(D10:D11)</f>
        <v>14767109.369999999</v>
      </c>
      <c r="E12" s="84">
        <f t="shared" si="3"/>
        <v>13084094.220000001</v>
      </c>
      <c r="F12" s="90">
        <f>E12/D12</f>
        <v>0.88602947890268124</v>
      </c>
      <c r="G12" s="84">
        <f t="shared" si="3"/>
        <v>12208452.9</v>
      </c>
      <c r="H12" s="90">
        <f>G12/D12</f>
        <v>0.82673274735825975</v>
      </c>
      <c r="I12" s="84">
        <f t="shared" si="3"/>
        <v>5912719.7999999998</v>
      </c>
      <c r="J12" s="170">
        <f>I12/D12</f>
        <v>0.40039791484255799</v>
      </c>
      <c r="K12" s="698">
        <f>SUM(K10:K11)</f>
        <v>4818526.24</v>
      </c>
      <c r="L12" s="90">
        <v>0.41312473104384689</v>
      </c>
      <c r="M12" s="225">
        <f t="shared" ref="M12" si="4">G12/K12-1</f>
        <v>1.5336487323974808</v>
      </c>
      <c r="N12" s="84">
        <f t="shared" ref="N12" si="5">SUM(N10:N11)</f>
        <v>2654274.63</v>
      </c>
      <c r="O12" s="90">
        <v>0.22756885363256965</v>
      </c>
      <c r="P12" s="225">
        <f>I12/N12-1</f>
        <v>1.2276217137335181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95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0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698">
        <v>0</v>
      </c>
      <c r="L15" s="58" t="s">
        <v>129</v>
      </c>
      <c r="M15" s="632" t="s">
        <v>129</v>
      </c>
      <c r="N15" s="84">
        <f t="shared" ref="N15" si="7">SUM(N13:N14)</f>
        <v>0</v>
      </c>
      <c r="O15" s="228" t="s">
        <v>129</v>
      </c>
      <c r="P15" s="632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50986198.329999998</v>
      </c>
      <c r="E16" s="155">
        <f t="shared" si="8"/>
        <v>47776434.159999996</v>
      </c>
      <c r="F16" s="181">
        <f>E16/D16</f>
        <v>0.93704641108510744</v>
      </c>
      <c r="G16" s="155">
        <f t="shared" si="8"/>
        <v>46226748.579999998</v>
      </c>
      <c r="H16" s="181">
        <f>G16/D16</f>
        <v>0.90665219400757779</v>
      </c>
      <c r="I16" s="155">
        <f t="shared" si="8"/>
        <v>26398505.030000001</v>
      </c>
      <c r="J16" s="173">
        <f>I16/D16</f>
        <v>0.51775786182644778</v>
      </c>
      <c r="K16" s="701">
        <f>SUM(K9,K12,K15)</f>
        <v>38156410.509999998</v>
      </c>
      <c r="L16" s="181">
        <v>0.78157536366717428</v>
      </c>
      <c r="M16" s="633">
        <f>G16/K16-1</f>
        <v>0.21150674191129526</v>
      </c>
      <c r="N16" s="155">
        <f t="shared" ref="N16" si="9">+N9+N12+N15</f>
        <v>21477583.780000001</v>
      </c>
      <c r="O16" s="181">
        <v>0.43993525934905098</v>
      </c>
      <c r="P16" s="633">
        <f>I16/N16-1</f>
        <v>0.22911894095751961</v>
      </c>
    </row>
    <row r="21" spans="5:15" x14ac:dyDescent="0.2">
      <c r="E21" s="180"/>
    </row>
    <row r="22" spans="5:15" x14ac:dyDescent="0.2">
      <c r="E22" s="180"/>
    </row>
    <row r="23" spans="5:15" x14ac:dyDescent="0.2">
      <c r="E23" s="180"/>
    </row>
    <row r="24" spans="5:15" x14ac:dyDescent="0.2">
      <c r="E24" s="180"/>
    </row>
    <row r="27" spans="5:15" x14ac:dyDescent="0.2">
      <c r="O27" s="517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7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2" spans="1:13" ht="15" x14ac:dyDescent="0.25">
      <c r="A2" s="7" t="s">
        <v>537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84"/>
      <c r="M2" s="784"/>
      <c r="N2" s="784"/>
      <c r="O2" s="784"/>
      <c r="P2" s="785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76">
        <v>11020422.189999999</v>
      </c>
      <c r="D5" s="204">
        <v>11747067.689999999</v>
      </c>
      <c r="E5" s="30">
        <v>9556100.9499999993</v>
      </c>
      <c r="F5" s="48">
        <f>E5/D5</f>
        <v>0.8134881999645649</v>
      </c>
      <c r="G5" s="30">
        <v>9556100.9499999993</v>
      </c>
      <c r="H5" s="48">
        <f>G5/D5</f>
        <v>0.8134881999645649</v>
      </c>
      <c r="I5" s="30">
        <v>9556100.9499999993</v>
      </c>
      <c r="J5" s="153">
        <f>I5/D5</f>
        <v>0.8134881999645649</v>
      </c>
      <c r="K5" s="558">
        <v>9796236.9299999997</v>
      </c>
      <c r="L5" s="48">
        <v>0.82342167914802022</v>
      </c>
      <c r="M5" s="210">
        <f>+G5/K5-1</f>
        <v>-2.4513084127702922E-2</v>
      </c>
      <c r="N5" s="558">
        <v>9796236.9299999997</v>
      </c>
      <c r="O5" s="48">
        <v>0.82342167914802022</v>
      </c>
      <c r="P5" s="210">
        <f>+I5/N5-1</f>
        <v>-2.4513084127702922E-2</v>
      </c>
    </row>
    <row r="6" spans="1:16" ht="15" customHeight="1" x14ac:dyDescent="0.2">
      <c r="A6" s="23">
        <v>2</v>
      </c>
      <c r="B6" s="23" t="s">
        <v>1</v>
      </c>
      <c r="C6" s="161">
        <v>23750405.489999998</v>
      </c>
      <c r="D6" s="205">
        <v>22128643.82</v>
      </c>
      <c r="E6" s="32">
        <v>19511242.75</v>
      </c>
      <c r="F6" s="48">
        <f t="shared" ref="F6:F12" si="0">E6/D6</f>
        <v>0.88171886667386379</v>
      </c>
      <c r="G6" s="32">
        <v>18019260.260000002</v>
      </c>
      <c r="H6" s="48">
        <f t="shared" ref="H6:H12" si="1">G6/D6</f>
        <v>0.81429573391723564</v>
      </c>
      <c r="I6" s="32">
        <v>14441207.300000001</v>
      </c>
      <c r="J6" s="153">
        <f t="shared" ref="J6:J12" si="2">I6/D6</f>
        <v>0.65260245577941611</v>
      </c>
      <c r="K6" s="559">
        <v>21646107.59</v>
      </c>
      <c r="L6" s="280">
        <v>0.794724644106654</v>
      </c>
      <c r="M6" s="210">
        <f>+G6/K6-1</f>
        <v>-0.16755194045489807</v>
      </c>
      <c r="N6" s="559">
        <v>16102044.26</v>
      </c>
      <c r="O6" s="280">
        <v>0.59117748263571723</v>
      </c>
      <c r="P6" s="210">
        <f>+I6/N6-1</f>
        <v>-0.10314447862534937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59"/>
      <c r="L7" s="418" t="s">
        <v>129</v>
      </c>
      <c r="M7" s="212" t="s">
        <v>129</v>
      </c>
      <c r="N7" s="559"/>
      <c r="O7" s="41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47896502.399999999</v>
      </c>
      <c r="D8" s="206">
        <v>50642096.689999998</v>
      </c>
      <c r="E8" s="34">
        <v>42675965.200000003</v>
      </c>
      <c r="F8" s="78">
        <f t="shared" si="0"/>
        <v>0.84269743927144669</v>
      </c>
      <c r="G8" s="34">
        <v>41154619.189999998</v>
      </c>
      <c r="H8" s="78">
        <f t="shared" si="1"/>
        <v>0.81265630532486544</v>
      </c>
      <c r="I8" s="34">
        <v>31482032.02</v>
      </c>
      <c r="J8" s="172">
        <f t="shared" si="2"/>
        <v>0.62165735776529518</v>
      </c>
      <c r="K8" s="562">
        <v>37855735.700000003</v>
      </c>
      <c r="L8" s="390">
        <v>0.69277212281443223</v>
      </c>
      <c r="M8" s="515">
        <f>+G8/K8-1</f>
        <v>8.714355774625715E-2</v>
      </c>
      <c r="N8" s="562">
        <v>31652221.600000001</v>
      </c>
      <c r="O8" s="390">
        <v>0.5792458221760256</v>
      </c>
      <c r="P8" s="515">
        <f>+I8/N8-1</f>
        <v>-5.3768604981585533E-3</v>
      </c>
    </row>
    <row r="9" spans="1:16" ht="15" customHeight="1" x14ac:dyDescent="0.2">
      <c r="A9" s="9"/>
      <c r="B9" s="2" t="s">
        <v>4</v>
      </c>
      <c r="C9" s="162">
        <f>SUM(C5:C8)</f>
        <v>82667330.079999998</v>
      </c>
      <c r="D9" s="152">
        <f t="shared" ref="D9:I9" si="3">SUM(D5:D8)</f>
        <v>84517808.199999988</v>
      </c>
      <c r="E9" s="84">
        <f t="shared" si="3"/>
        <v>71743308.900000006</v>
      </c>
      <c r="F9" s="90">
        <f>E9/D9</f>
        <v>0.84885434712444441</v>
      </c>
      <c r="G9" s="84">
        <f t="shared" si="3"/>
        <v>68729980.400000006</v>
      </c>
      <c r="H9" s="90">
        <f>G9/D9</f>
        <v>0.81320116865027758</v>
      </c>
      <c r="I9" s="84">
        <f t="shared" si="3"/>
        <v>55479340.269999996</v>
      </c>
      <c r="J9" s="170">
        <f>I9/D9</f>
        <v>0.65642190032561687</v>
      </c>
      <c r="K9" s="561">
        <f>SUM(K5:K8)</f>
        <v>69298080.219999999</v>
      </c>
      <c r="L9" s="90">
        <v>0.73895819991233813</v>
      </c>
      <c r="M9" s="213">
        <f>+G9/K9-1</f>
        <v>-8.1979157026638161E-3</v>
      </c>
      <c r="N9" s="561">
        <f>SUM(N5:N8)</f>
        <v>57550502.789999999</v>
      </c>
      <c r="O9" s="90">
        <v>0.6136882264376875</v>
      </c>
      <c r="P9" s="213">
        <f>+I9/N9-1</f>
        <v>-3.5988608606211669E-2</v>
      </c>
    </row>
    <row r="10" spans="1:16" ht="15" customHeight="1" x14ac:dyDescent="0.2">
      <c r="A10" s="21">
        <v>6</v>
      </c>
      <c r="B10" s="21" t="s">
        <v>5</v>
      </c>
      <c r="C10" s="159">
        <v>2000000</v>
      </c>
      <c r="D10" s="204">
        <v>17060171.489999998</v>
      </c>
      <c r="E10" s="180">
        <v>15760373.99</v>
      </c>
      <c r="F10" s="417">
        <f t="shared" si="0"/>
        <v>0.92381099446966941</v>
      </c>
      <c r="G10" s="136">
        <v>15740492.52</v>
      </c>
      <c r="H10" s="417">
        <f t="shared" si="1"/>
        <v>0.92264562107282788</v>
      </c>
      <c r="I10" s="56">
        <v>15740492.52</v>
      </c>
      <c r="J10" s="348">
        <f t="shared" si="2"/>
        <v>0.92264562107282788</v>
      </c>
      <c r="K10" s="558">
        <v>29264799.149999999</v>
      </c>
      <c r="L10" s="417">
        <v>0.77047662326169652</v>
      </c>
      <c r="M10" s="224">
        <f>+G10/K10-1</f>
        <v>-0.4621356381323396</v>
      </c>
      <c r="N10" s="558">
        <v>29264799.149999999</v>
      </c>
      <c r="O10" s="417">
        <v>0.77047662326169652</v>
      </c>
      <c r="P10" s="224">
        <f>+I10/N10-1</f>
        <v>-0.4621356381323396</v>
      </c>
    </row>
    <row r="11" spans="1:16" ht="15" customHeight="1" x14ac:dyDescent="0.2">
      <c r="A11" s="24">
        <v>7</v>
      </c>
      <c r="B11" s="24" t="s">
        <v>6</v>
      </c>
      <c r="C11" s="161">
        <v>118375.37</v>
      </c>
      <c r="D11" s="206">
        <v>193375.37</v>
      </c>
      <c r="E11" s="34">
        <v>75000</v>
      </c>
      <c r="F11" s="417">
        <f t="shared" si="0"/>
        <v>0.38784670457256271</v>
      </c>
      <c r="G11" s="137">
        <v>75000</v>
      </c>
      <c r="H11" s="417">
        <f t="shared" si="1"/>
        <v>0.38784670457256271</v>
      </c>
      <c r="I11" s="137">
        <v>75000</v>
      </c>
      <c r="J11" s="348">
        <f t="shared" si="2"/>
        <v>0.38784670457256271</v>
      </c>
      <c r="K11" s="562">
        <v>0</v>
      </c>
      <c r="L11" s="28" t="s">
        <v>129</v>
      </c>
      <c r="M11" s="552" t="s">
        <v>129</v>
      </c>
      <c r="N11" s="562">
        <v>0</v>
      </c>
      <c r="O11" s="28" t="s">
        <v>129</v>
      </c>
      <c r="P11" s="552" t="s">
        <v>129</v>
      </c>
    </row>
    <row r="12" spans="1:16" ht="15" customHeight="1" x14ac:dyDescent="0.2">
      <c r="A12" s="9"/>
      <c r="B12" s="2" t="s">
        <v>7</v>
      </c>
      <c r="C12" s="162">
        <f>SUM(C10:C11)</f>
        <v>2118375.37</v>
      </c>
      <c r="D12" s="152">
        <f t="shared" ref="D12:I12" si="4">SUM(D10:D11)</f>
        <v>17253546.859999999</v>
      </c>
      <c r="E12" s="84">
        <f t="shared" si="4"/>
        <v>15835373.99</v>
      </c>
      <c r="F12" s="509">
        <f t="shared" si="0"/>
        <v>0.91780398074045633</v>
      </c>
      <c r="G12" s="84">
        <f t="shared" si="4"/>
        <v>15815492.52</v>
      </c>
      <c r="H12" s="509">
        <f t="shared" si="1"/>
        <v>0.91665166868767523</v>
      </c>
      <c r="I12" s="84">
        <f t="shared" si="4"/>
        <v>15815492.52</v>
      </c>
      <c r="J12" s="171">
        <f t="shared" si="2"/>
        <v>0.91665166868767523</v>
      </c>
      <c r="K12" s="561">
        <f>SUM(K10:K11)</f>
        <v>29264799.149999999</v>
      </c>
      <c r="L12" s="509">
        <v>0.76680991479903327</v>
      </c>
      <c r="M12" s="225">
        <f>+G12/K12-1</f>
        <v>-0.45957283222974044</v>
      </c>
      <c r="N12" s="561">
        <f>SUM(N10:N11)</f>
        <v>29264799.149999999</v>
      </c>
      <c r="O12" s="509">
        <v>0.76680991479903327</v>
      </c>
      <c r="P12" s="225">
        <f>+I12/N12-1</f>
        <v>-0.45957283222974044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8"/>
      <c r="L13" s="417" t="s">
        <v>129</v>
      </c>
      <c r="M13" s="224" t="s">
        <v>129</v>
      </c>
      <c r="N13" s="558"/>
      <c r="O13" s="417" t="s">
        <v>129</v>
      </c>
      <c r="P13" s="22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2"/>
      <c r="L14" s="28" t="s">
        <v>129</v>
      </c>
      <c r="M14" s="215" t="s">
        <v>129</v>
      </c>
      <c r="N14" s="562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1"/>
      <c r="L15" s="675" t="s">
        <v>129</v>
      </c>
      <c r="M15" s="634" t="s">
        <v>129</v>
      </c>
      <c r="N15" s="561"/>
      <c r="O15" s="675" t="s">
        <v>129</v>
      </c>
      <c r="P15" s="634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101771355.05999999</v>
      </c>
      <c r="E16" s="155">
        <f t="shared" si="6"/>
        <v>87578682.890000001</v>
      </c>
      <c r="F16" s="181">
        <f>E16/D16</f>
        <v>0.86054354723259208</v>
      </c>
      <c r="G16" s="155">
        <f t="shared" si="6"/>
        <v>84545472.920000002</v>
      </c>
      <c r="H16" s="181">
        <f>G16/D16</f>
        <v>0.83073938506719935</v>
      </c>
      <c r="I16" s="155">
        <f t="shared" si="6"/>
        <v>71294832.789999992</v>
      </c>
      <c r="J16" s="173">
        <f>I16/D16</f>
        <v>0.7005392897438345</v>
      </c>
      <c r="K16" s="569">
        <f>SUM(K9,K12,K15)</f>
        <v>98562879.370000005</v>
      </c>
      <c r="L16" s="181">
        <v>0.74701430841922045</v>
      </c>
      <c r="M16" s="600">
        <f>+G16/K16-1</f>
        <v>-0.14221790738660722</v>
      </c>
      <c r="N16" s="569">
        <f>SUM(N15,N12,N9)</f>
        <v>86815301.939999998</v>
      </c>
      <c r="O16" s="181">
        <v>0.65797867466374227</v>
      </c>
      <c r="P16" s="600">
        <f>+I16/N16-1</f>
        <v>-0.17877573196400964</v>
      </c>
    </row>
    <row r="25" spans="15:18" x14ac:dyDescent="0.2">
      <c r="R25" s="482"/>
    </row>
    <row r="26" spans="15:18" x14ac:dyDescent="0.2">
      <c r="R26" s="482"/>
    </row>
    <row r="27" spans="15:18" x14ac:dyDescent="0.2">
      <c r="O27" s="482"/>
      <c r="R27" s="482"/>
    </row>
    <row r="28" spans="15:18" x14ac:dyDescent="0.2">
      <c r="O28" s="482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Octubre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5.5703125" customWidth="1"/>
  </cols>
  <sheetData>
    <row r="1" spans="1:13" ht="15" x14ac:dyDescent="0.25">
      <c r="A1" s="7" t="s">
        <v>527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C1" zoomScaleNormal="100" workbookViewId="0">
      <selection activeCell="N19" sqref="N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9" ht="15.75" thickBot="1" x14ac:dyDescent="0.3">
      <c r="A1" s="7" t="s">
        <v>779</v>
      </c>
    </row>
    <row r="2" spans="1:19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9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9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9" ht="15" customHeight="1" x14ac:dyDescent="0.2">
      <c r="A5" s="21">
        <v>1</v>
      </c>
      <c r="B5" s="21" t="s">
        <v>0</v>
      </c>
      <c r="C5" s="176">
        <v>481212.17</v>
      </c>
      <c r="D5" s="204">
        <v>454405.76</v>
      </c>
      <c r="E5" s="30">
        <v>369593.79</v>
      </c>
      <c r="F5" s="48">
        <f>E5/D5</f>
        <v>0.81335630516655422</v>
      </c>
      <c r="G5" s="30">
        <v>366642.59</v>
      </c>
      <c r="H5" s="48">
        <f>G5/D5</f>
        <v>0.80686166918306679</v>
      </c>
      <c r="I5" s="30">
        <v>366642.59</v>
      </c>
      <c r="J5" s="153">
        <f>I5/D5</f>
        <v>0.80686166918306679</v>
      </c>
      <c r="K5" s="558">
        <v>1125950.8400000001</v>
      </c>
      <c r="L5" s="48">
        <v>0.88040653913522804</v>
      </c>
      <c r="M5" s="210">
        <f>+G5/K5-1</f>
        <v>-0.67437069455003917</v>
      </c>
      <c r="N5" s="558">
        <v>1125950.8400000001</v>
      </c>
      <c r="O5" s="48">
        <v>0.88040653913522804</v>
      </c>
      <c r="P5" s="210">
        <f>+I5/N5-1</f>
        <v>-0.67437069455003917</v>
      </c>
    </row>
    <row r="6" spans="1:19" ht="15" customHeight="1" x14ac:dyDescent="0.2">
      <c r="A6" s="23">
        <v>2</v>
      </c>
      <c r="B6" s="23" t="s">
        <v>1</v>
      </c>
      <c r="C6" s="161">
        <v>387854</v>
      </c>
      <c r="D6" s="205">
        <v>1763766.99</v>
      </c>
      <c r="E6" s="32">
        <v>888889.11</v>
      </c>
      <c r="F6" s="48">
        <f t="shared" ref="F6:F8" si="0">E6/D6</f>
        <v>0.50397196173855141</v>
      </c>
      <c r="G6" s="32">
        <v>563941.35</v>
      </c>
      <c r="H6" s="48">
        <f t="shared" ref="H6:H8" si="1">G6/D6</f>
        <v>0.31973687748856211</v>
      </c>
      <c r="I6" s="32">
        <v>384463.35</v>
      </c>
      <c r="J6" s="153">
        <f t="shared" ref="J6:J8" si="2">I6/D6</f>
        <v>0.21797853808342335</v>
      </c>
      <c r="K6" s="559">
        <v>57687.81</v>
      </c>
      <c r="L6" s="280">
        <v>0.13010775785172277</v>
      </c>
      <c r="M6" s="210">
        <f>+G6/K6-1</f>
        <v>8.7757455171205141</v>
      </c>
      <c r="N6" s="559">
        <v>36968.519999999997</v>
      </c>
      <c r="O6" s="280">
        <v>8.3377948448668276E-2</v>
      </c>
      <c r="P6" s="210">
        <f>+I6/N6-1</f>
        <v>9.3997495707158425</v>
      </c>
    </row>
    <row r="7" spans="1:19" ht="15" customHeight="1" x14ac:dyDescent="0.2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59"/>
      <c r="L7" s="418" t="s">
        <v>129</v>
      </c>
      <c r="M7" s="212" t="s">
        <v>129</v>
      </c>
      <c r="N7" s="559"/>
      <c r="O7" s="418" t="s">
        <v>129</v>
      </c>
      <c r="P7" s="212" t="s">
        <v>129</v>
      </c>
    </row>
    <row r="8" spans="1:19" ht="15" customHeight="1" x14ac:dyDescent="0.2">
      <c r="A8" s="24">
        <v>4</v>
      </c>
      <c r="B8" s="24" t="s">
        <v>3</v>
      </c>
      <c r="C8" s="161">
        <v>38538634.689999998</v>
      </c>
      <c r="D8" s="206">
        <v>48058594.840000004</v>
      </c>
      <c r="E8" s="34">
        <v>39363889.090000004</v>
      </c>
      <c r="F8" s="390">
        <f t="shared" si="0"/>
        <v>0.81908114918992081</v>
      </c>
      <c r="G8" s="34">
        <v>33564925.32</v>
      </c>
      <c r="H8" s="78">
        <f t="shared" si="1"/>
        <v>0.69841670218920615</v>
      </c>
      <c r="I8" s="34">
        <v>32831150.59</v>
      </c>
      <c r="J8" s="172">
        <f t="shared" si="2"/>
        <v>0.68314836709861648</v>
      </c>
      <c r="K8" s="562">
        <v>46360846.399999999</v>
      </c>
      <c r="L8" s="390">
        <v>0.85379437682615267</v>
      </c>
      <c r="M8" s="515">
        <f>+G8/K8-1</f>
        <v>-0.27600706358113425</v>
      </c>
      <c r="N8" s="562">
        <v>43313296.399999999</v>
      </c>
      <c r="O8" s="390">
        <v>0.79766983952485482</v>
      </c>
      <c r="P8" s="515">
        <f>+I8/N8-1</f>
        <v>-0.2420075746070437</v>
      </c>
    </row>
    <row r="9" spans="1:19" ht="15" customHeight="1" x14ac:dyDescent="0.2">
      <c r="A9" s="9"/>
      <c r="B9" s="2" t="s">
        <v>4</v>
      </c>
      <c r="C9" s="162">
        <f>SUM(C5:C8)</f>
        <v>39407700.859999999</v>
      </c>
      <c r="D9" s="84">
        <f t="shared" ref="D9:I9" si="3">SUM(D5:D8)</f>
        <v>50276767.590000004</v>
      </c>
      <c r="E9" s="84">
        <f t="shared" si="3"/>
        <v>40622371.990000002</v>
      </c>
      <c r="F9" s="90">
        <f>E9/D9</f>
        <v>0.80797501385271531</v>
      </c>
      <c r="G9" s="84">
        <f t="shared" si="3"/>
        <v>34495509.259999998</v>
      </c>
      <c r="H9" s="90">
        <f>G9/D9</f>
        <v>0.68611231217778446</v>
      </c>
      <c r="I9" s="84">
        <f t="shared" si="3"/>
        <v>33582256.530000001</v>
      </c>
      <c r="J9" s="170">
        <f>I9/D9</f>
        <v>0.66794780451795543</v>
      </c>
      <c r="K9" s="561">
        <f>SUM(K5:K8)</f>
        <v>47544485.049999997</v>
      </c>
      <c r="L9" s="90">
        <v>0.84867429711883935</v>
      </c>
      <c r="M9" s="213">
        <f t="shared" ref="M9:M10" si="4">+G9/K9-1</f>
        <v>-0.2744582421342262</v>
      </c>
      <c r="N9" s="561">
        <f>SUM(N5:N8)</f>
        <v>44476215.759999998</v>
      </c>
      <c r="O9" s="90">
        <v>0.79390535219654979</v>
      </c>
      <c r="P9" s="213">
        <f>+I9/N9-1</f>
        <v>-0.24493898691348548</v>
      </c>
    </row>
    <row r="10" spans="1:19" ht="15" customHeight="1" x14ac:dyDescent="0.2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58">
        <v>3662.63</v>
      </c>
      <c r="L10" s="48">
        <v>0.29783678554235676</v>
      </c>
      <c r="M10" s="210">
        <f t="shared" si="4"/>
        <v>-1</v>
      </c>
      <c r="N10" s="558">
        <v>3662.63</v>
      </c>
      <c r="O10" s="48">
        <v>0.29783678554235676</v>
      </c>
      <c r="P10" s="210">
        <f>+I10/N10-1</f>
        <v>-1</v>
      </c>
    </row>
    <row r="11" spans="1:19" ht="15" customHeight="1" x14ac:dyDescent="0.2">
      <c r="A11" s="24">
        <v>7</v>
      </c>
      <c r="B11" s="24" t="s">
        <v>6</v>
      </c>
      <c r="C11" s="161"/>
      <c r="D11" s="206">
        <v>450000</v>
      </c>
      <c r="E11" s="34">
        <v>0</v>
      </c>
      <c r="F11" s="49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62"/>
      <c r="L11" s="516" t="s">
        <v>129</v>
      </c>
      <c r="M11" s="552" t="s">
        <v>129</v>
      </c>
      <c r="N11" s="562"/>
      <c r="O11" s="516" t="s">
        <v>129</v>
      </c>
      <c r="P11" s="496" t="s">
        <v>129</v>
      </c>
    </row>
    <row r="12" spans="1:19" ht="15" customHeight="1" x14ac:dyDescent="0.2">
      <c r="A12" s="9"/>
      <c r="B12" s="2" t="s">
        <v>7</v>
      </c>
      <c r="C12" s="162">
        <f>SUM(C10:C11)</f>
        <v>37637.5</v>
      </c>
      <c r="D12" s="152">
        <f t="shared" ref="D12:I12" si="5">SUM(D10:D11)</f>
        <v>450000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170" t="s">
        <v>129</v>
      </c>
      <c r="K12" s="152">
        <f>SUM(K10:K11)</f>
        <v>3662.63</v>
      </c>
      <c r="L12" s="90">
        <v>0.29783678554235676</v>
      </c>
      <c r="M12" s="622">
        <f t="shared" ref="M12" si="6">+G12/K12-1</f>
        <v>-1</v>
      </c>
      <c r="N12" s="561">
        <f>SUM(N10:N11)</f>
        <v>3662.63</v>
      </c>
      <c r="O12" s="90">
        <v>0.29783678554235676</v>
      </c>
      <c r="P12" s="213">
        <f>+I12/N12-1</f>
        <v>-1</v>
      </c>
      <c r="S12" s="485"/>
    </row>
    <row r="13" spans="1:19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8"/>
      <c r="L13" s="417" t="s">
        <v>129</v>
      </c>
      <c r="M13" s="224" t="s">
        <v>129</v>
      </c>
      <c r="N13" s="558"/>
      <c r="O13" s="417" t="s">
        <v>129</v>
      </c>
      <c r="P13" s="224" t="s">
        <v>129</v>
      </c>
      <c r="S13" s="485"/>
    </row>
    <row r="14" spans="1:19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2"/>
      <c r="L14" s="28" t="s">
        <v>129</v>
      </c>
      <c r="M14" s="215" t="s">
        <v>129</v>
      </c>
      <c r="N14" s="562"/>
      <c r="O14" s="28" t="s">
        <v>129</v>
      </c>
      <c r="P14" s="215" t="s">
        <v>129</v>
      </c>
      <c r="S14" s="485"/>
    </row>
    <row r="15" spans="1:19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1">
        <v>0</v>
      </c>
      <c r="L15" s="509" t="s">
        <v>129</v>
      </c>
      <c r="M15" s="634" t="s">
        <v>129</v>
      </c>
      <c r="N15" s="561">
        <f>SUM(N13:N14)</f>
        <v>0</v>
      </c>
      <c r="O15" s="509" t="s">
        <v>129</v>
      </c>
      <c r="P15" s="634" t="s">
        <v>129</v>
      </c>
    </row>
    <row r="16" spans="1:19" s="6" customFormat="1" ht="19.5" customHeight="1" thickBot="1" x14ac:dyDescent="0.25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50726767.590000004</v>
      </c>
      <c r="E16" s="155">
        <f t="shared" si="8"/>
        <v>40622371.990000002</v>
      </c>
      <c r="F16" s="181">
        <f>E16/D16</f>
        <v>0.80080742219435397</v>
      </c>
      <c r="G16" s="155">
        <f t="shared" si="8"/>
        <v>34495509.259999998</v>
      </c>
      <c r="H16" s="181">
        <f>G16/D16</f>
        <v>0.68002577137992626</v>
      </c>
      <c r="I16" s="155">
        <f t="shared" si="8"/>
        <v>33582256.530000001</v>
      </c>
      <c r="J16" s="173">
        <f>I16/D16</f>
        <v>0.66202240208619612</v>
      </c>
      <c r="K16" s="569">
        <f>K9+K12+K15</f>
        <v>47548147.68</v>
      </c>
      <c r="L16" s="265">
        <v>0.84855340894987574</v>
      </c>
      <c r="M16" s="600">
        <f>+G16/K16-1</f>
        <v>-0.2745141305576092</v>
      </c>
      <c r="N16" s="569">
        <f>N9+N12+N15</f>
        <v>44479878.390000001</v>
      </c>
      <c r="O16" s="265">
        <v>0.79379648375632383</v>
      </c>
      <c r="P16" s="600">
        <f>+I16/N16-1</f>
        <v>-0.24500116129926319</v>
      </c>
      <c r="S16" s="484"/>
    </row>
    <row r="17" spans="2:16" x14ac:dyDescent="0.2">
      <c r="P17" s="517"/>
    </row>
    <row r="25" spans="2:16" x14ac:dyDescent="0.2">
      <c r="B25" s="340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Octubre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41" sqref="C41"/>
    </sheetView>
  </sheetViews>
  <sheetFormatPr defaultRowHeight="12.75" x14ac:dyDescent="0.2"/>
  <sheetData>
    <row r="1" spans="1:1" ht="15" x14ac:dyDescent="0.25">
      <c r="A1" s="7" t="s">
        <v>528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topLeftCell="C1"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13806991.970000001</v>
      </c>
      <c r="D5" s="204">
        <v>6142972.6100000003</v>
      </c>
      <c r="E5" s="30">
        <v>958849.17</v>
      </c>
      <c r="F5" s="48">
        <f>E5/D5</f>
        <v>0.15608879135145615</v>
      </c>
      <c r="G5" s="30">
        <v>958849.17</v>
      </c>
      <c r="H5" s="48">
        <f>G5/D5</f>
        <v>0.15608879135145615</v>
      </c>
      <c r="I5" s="30">
        <v>958849.17</v>
      </c>
      <c r="J5" s="153">
        <f>I5/D5</f>
        <v>0.15608879135145615</v>
      </c>
      <c r="K5" s="571">
        <v>10570449.539999999</v>
      </c>
      <c r="L5" s="48">
        <v>0.27804248305778423</v>
      </c>
      <c r="M5" s="210">
        <f>+G5/K5-1</f>
        <v>-0.90928965070297285</v>
      </c>
      <c r="N5" s="571">
        <v>10570449.539999999</v>
      </c>
      <c r="O5" s="48">
        <v>0.27804248305778423</v>
      </c>
      <c r="P5" s="210">
        <f>+I5/N5-1</f>
        <v>-0.90928965070297285</v>
      </c>
    </row>
    <row r="6" spans="1:16" ht="15" customHeight="1" x14ac:dyDescent="0.2">
      <c r="A6" s="23">
        <v>2</v>
      </c>
      <c r="B6" s="23" t="s">
        <v>1</v>
      </c>
      <c r="C6" s="159">
        <v>2915040</v>
      </c>
      <c r="D6" s="204">
        <v>2915040</v>
      </c>
      <c r="E6" s="30">
        <v>1758198.08</v>
      </c>
      <c r="F6" s="48">
        <f t="shared" ref="F6:F17" si="0">E6/D6</f>
        <v>0.60314715406992703</v>
      </c>
      <c r="G6" s="30">
        <v>1758198.08</v>
      </c>
      <c r="H6" s="280">
        <f t="shared" ref="H6:H17" si="1">G6/D6</f>
        <v>0.60314715406992703</v>
      </c>
      <c r="I6" s="30">
        <v>1239683.6000000001</v>
      </c>
      <c r="J6" s="178">
        <f t="shared" ref="J6:J17" si="2">I6/D6</f>
        <v>0.42527155716559639</v>
      </c>
      <c r="K6" s="572">
        <v>1519031.3</v>
      </c>
      <c r="L6" s="412">
        <v>0.43137447239928184</v>
      </c>
      <c r="M6" s="210">
        <f t="shared" ref="M6:M17" si="3">+G6/K6-1</f>
        <v>0.15744690711771381</v>
      </c>
      <c r="N6" s="572">
        <v>1490009.97</v>
      </c>
      <c r="O6" s="412">
        <v>0.42313299579700547</v>
      </c>
      <c r="P6" s="210">
        <f>+I6/N6-1</f>
        <v>-0.16800315101247265</v>
      </c>
    </row>
    <row r="7" spans="1:16" ht="15" customHeight="1" x14ac:dyDescent="0.2">
      <c r="A7" s="23">
        <v>3</v>
      </c>
      <c r="B7" s="23" t="s">
        <v>2</v>
      </c>
      <c r="C7" s="159">
        <v>22100000</v>
      </c>
      <c r="D7" s="204">
        <v>22100000</v>
      </c>
      <c r="E7" s="30">
        <v>17398374.370000001</v>
      </c>
      <c r="F7" s="48">
        <f t="shared" si="0"/>
        <v>0.78725675882352941</v>
      </c>
      <c r="G7" s="30">
        <v>17398374.370000001</v>
      </c>
      <c r="H7" s="280">
        <f t="shared" si="1"/>
        <v>0.78725675882352941</v>
      </c>
      <c r="I7" s="30">
        <v>17398374.370000001</v>
      </c>
      <c r="J7" s="178">
        <f t="shared" si="2"/>
        <v>0.78725675882352941</v>
      </c>
      <c r="K7" s="572">
        <v>18448656.73</v>
      </c>
      <c r="L7" s="130">
        <v>0.74235963165567997</v>
      </c>
      <c r="M7" s="212">
        <f t="shared" si="3"/>
        <v>-5.6930018015463379E-2</v>
      </c>
      <c r="N7" s="572">
        <v>18448656.73</v>
      </c>
      <c r="O7" s="130">
        <v>0.74235963165567997</v>
      </c>
      <c r="P7" s="212">
        <f t="shared" ref="P7:P17" si="4">+I7/N7-1</f>
        <v>-5.6930018015463379E-2</v>
      </c>
    </row>
    <row r="8" spans="1:16" ht="15" customHeight="1" x14ac:dyDescent="0.2">
      <c r="A8" s="235">
        <v>4</v>
      </c>
      <c r="B8" s="553" t="s">
        <v>3</v>
      </c>
      <c r="C8" s="159">
        <v>246750409.25999999</v>
      </c>
      <c r="D8" s="204">
        <v>247635639.62</v>
      </c>
      <c r="E8" s="30">
        <v>234703395.99000001</v>
      </c>
      <c r="F8" s="48">
        <f t="shared" si="0"/>
        <v>0.94777713074804304</v>
      </c>
      <c r="G8" s="30">
        <v>234703395.99000001</v>
      </c>
      <c r="H8" s="48">
        <f t="shared" si="1"/>
        <v>0.94777713074804304</v>
      </c>
      <c r="I8" s="30">
        <v>188826338.28</v>
      </c>
      <c r="J8" s="178">
        <f t="shared" si="2"/>
        <v>0.76251681127060866</v>
      </c>
      <c r="K8" s="628">
        <v>198268522.15000001</v>
      </c>
      <c r="L8" s="414">
        <v>0.63149763447462626</v>
      </c>
      <c r="M8" s="443">
        <f t="shared" si="3"/>
        <v>0.18376529690595667</v>
      </c>
      <c r="N8" s="628">
        <v>187660419.88</v>
      </c>
      <c r="O8" s="414">
        <v>0.59771016575731872</v>
      </c>
      <c r="P8" s="443">
        <f t="shared" si="4"/>
        <v>6.2129158655062078E-3</v>
      </c>
    </row>
    <row r="9" spans="1:16" ht="15" customHeight="1" x14ac:dyDescent="0.2">
      <c r="A9" s="55">
        <v>5</v>
      </c>
      <c r="B9" s="55" t="s">
        <v>453</v>
      </c>
      <c r="C9" s="176">
        <v>13197818.9</v>
      </c>
      <c r="D9" s="511">
        <v>6908292.3700000001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0">
        <v>0</v>
      </c>
      <c r="L9" s="78">
        <v>0</v>
      </c>
      <c r="M9" s="496" t="s">
        <v>129</v>
      </c>
      <c r="N9" s="560">
        <v>0</v>
      </c>
      <c r="O9" s="78">
        <v>0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298770260.13</v>
      </c>
      <c r="D10" s="152">
        <f t="shared" ref="D10:E10" si="5">SUM(D5:D9)</f>
        <v>285701944.60000002</v>
      </c>
      <c r="E10" s="84">
        <f t="shared" si="5"/>
        <v>254818817.61000001</v>
      </c>
      <c r="F10" s="90">
        <f t="shared" si="0"/>
        <v>0.89190438646387848</v>
      </c>
      <c r="G10" s="84">
        <f>SUM(G5:G9)</f>
        <v>254818817.61000001</v>
      </c>
      <c r="H10" s="90">
        <f t="shared" si="1"/>
        <v>0.89190438646387848</v>
      </c>
      <c r="I10" s="84">
        <f>SUM(I5:I9)</f>
        <v>208423245.42000002</v>
      </c>
      <c r="J10" s="170">
        <f t="shared" si="2"/>
        <v>0.72951286947593286</v>
      </c>
      <c r="K10" s="561">
        <f>SUM(K5:K9)</f>
        <v>228806659.72</v>
      </c>
      <c r="L10" s="90">
        <v>0.59237092805541236</v>
      </c>
      <c r="M10" s="213">
        <f t="shared" si="3"/>
        <v>0.11368619218440656</v>
      </c>
      <c r="N10" s="561">
        <f>SUM(N5:N9)</f>
        <v>218169536.12</v>
      </c>
      <c r="O10" s="90">
        <v>0.56483185735492203</v>
      </c>
      <c r="P10" s="213">
        <f t="shared" si="4"/>
        <v>-4.467301380995381E-2</v>
      </c>
    </row>
    <row r="11" spans="1:16" ht="15" customHeight="1" x14ac:dyDescent="0.2">
      <c r="A11" s="21">
        <v>6</v>
      </c>
      <c r="B11" s="21" t="s">
        <v>5</v>
      </c>
      <c r="C11" s="159">
        <v>359896663.13999999</v>
      </c>
      <c r="D11" s="204">
        <v>317197392.16000003</v>
      </c>
      <c r="E11" s="30">
        <v>194295675.31999999</v>
      </c>
      <c r="F11" s="48">
        <f t="shared" si="0"/>
        <v>0.61253869080359202</v>
      </c>
      <c r="G11" s="30">
        <v>194295675.31999999</v>
      </c>
      <c r="H11" s="48">
        <f t="shared" si="1"/>
        <v>0.61253869080359202</v>
      </c>
      <c r="I11" s="30">
        <v>137563771.41</v>
      </c>
      <c r="J11" s="153">
        <f t="shared" si="2"/>
        <v>0.43368506428517661</v>
      </c>
      <c r="K11" s="558">
        <v>232816070.16</v>
      </c>
      <c r="L11" s="48">
        <v>0.85448132399333177</v>
      </c>
      <c r="M11" s="224">
        <f t="shared" si="3"/>
        <v>-0.1654541922880467</v>
      </c>
      <c r="N11" s="558">
        <v>188423543.13999999</v>
      </c>
      <c r="O11" s="48">
        <v>0.69155191264560711</v>
      </c>
      <c r="P11" s="224">
        <f t="shared" si="4"/>
        <v>-0.26992259503479787</v>
      </c>
    </row>
    <row r="12" spans="1:16" ht="15" customHeight="1" x14ac:dyDescent="0.2">
      <c r="A12" s="24">
        <v>7</v>
      </c>
      <c r="B12" s="24" t="s">
        <v>6</v>
      </c>
      <c r="C12" s="161">
        <v>6607320.6799999997</v>
      </c>
      <c r="D12" s="206">
        <v>19389030.68</v>
      </c>
      <c r="E12" s="34">
        <v>16234992.34</v>
      </c>
      <c r="F12" s="390">
        <f t="shared" si="0"/>
        <v>0.83732872508921108</v>
      </c>
      <c r="G12" s="34">
        <v>16234992.34</v>
      </c>
      <c r="H12" s="390">
        <f t="shared" si="1"/>
        <v>0.83732872508921108</v>
      </c>
      <c r="I12" s="180">
        <v>15080178.16</v>
      </c>
      <c r="J12" s="392">
        <f t="shared" si="2"/>
        <v>0.77776854391980366</v>
      </c>
      <c r="K12" s="562">
        <v>3095636.02</v>
      </c>
      <c r="L12" s="390">
        <v>0.55691679453166887</v>
      </c>
      <c r="M12" s="224">
        <f t="shared" si="3"/>
        <v>4.2444771397898391</v>
      </c>
      <c r="N12" s="562">
        <v>2438729.54</v>
      </c>
      <c r="O12" s="390">
        <v>0.43873679895561218</v>
      </c>
      <c r="P12" s="224">
        <f t="shared" si="4"/>
        <v>5.1836205748342232</v>
      </c>
    </row>
    <row r="13" spans="1:16" ht="15" customHeight="1" x14ac:dyDescent="0.2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336586422.84000003</v>
      </c>
      <c r="E13" s="84">
        <f t="shared" si="6"/>
        <v>210530667.66</v>
      </c>
      <c r="F13" s="90">
        <f t="shared" si="0"/>
        <v>0.62548770055433289</v>
      </c>
      <c r="G13" s="84">
        <f t="shared" si="6"/>
        <v>210530667.66</v>
      </c>
      <c r="H13" s="90">
        <f t="shared" si="1"/>
        <v>0.62548770055433289</v>
      </c>
      <c r="I13" s="84">
        <f t="shared" si="6"/>
        <v>152643949.56999999</v>
      </c>
      <c r="J13" s="170">
        <f t="shared" si="2"/>
        <v>0.45350596224899103</v>
      </c>
      <c r="K13" s="561">
        <f t="shared" ref="K13" si="7">SUM(K11:K12)</f>
        <v>235911706.18000001</v>
      </c>
      <c r="L13" s="90">
        <v>0.84853211086376923</v>
      </c>
      <c r="M13" s="213">
        <f t="shared" si="3"/>
        <v>-0.10758702453126401</v>
      </c>
      <c r="N13" s="561">
        <f t="shared" ref="N13" si="8">SUM(N11:N12)</f>
        <v>190862272.67999998</v>
      </c>
      <c r="O13" s="90">
        <v>0.68649737541149047</v>
      </c>
      <c r="P13" s="213">
        <f t="shared" si="4"/>
        <v>-0.20024032289543614</v>
      </c>
    </row>
    <row r="14" spans="1:16" ht="15" customHeight="1" x14ac:dyDescent="0.2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16646895.91</v>
      </c>
      <c r="J14" s="153">
        <f t="shared" si="2"/>
        <v>0.59548739016159347</v>
      </c>
      <c r="K14" s="558">
        <v>19326730.16</v>
      </c>
      <c r="L14" s="48">
        <v>0.72798328163937009</v>
      </c>
      <c r="M14" s="224">
        <f t="shared" si="3"/>
        <v>0.18773723852726465</v>
      </c>
      <c r="N14" s="558">
        <v>14429279.35</v>
      </c>
      <c r="O14" s="48">
        <v>0.54351015644874079</v>
      </c>
      <c r="P14" s="224">
        <f t="shared" si="4"/>
        <v>0.1536886566687754</v>
      </c>
    </row>
    <row r="15" spans="1:16" ht="15" customHeight="1" x14ac:dyDescent="0.2">
      <c r="A15" s="24">
        <v>9</v>
      </c>
      <c r="B15" s="24" t="s">
        <v>9</v>
      </c>
      <c r="C15" s="176">
        <v>127725000</v>
      </c>
      <c r="D15" s="206">
        <v>127725000</v>
      </c>
      <c r="E15" s="34">
        <v>127565454.72</v>
      </c>
      <c r="F15" s="390">
        <f t="shared" si="0"/>
        <v>0.99875086881972985</v>
      </c>
      <c r="G15" s="34">
        <v>127565454.72</v>
      </c>
      <c r="H15" s="390">
        <f t="shared" si="1"/>
        <v>0.99875086881972985</v>
      </c>
      <c r="I15" s="34">
        <v>127565454.72</v>
      </c>
      <c r="J15" s="392">
        <f t="shared" si="2"/>
        <v>0.99875086881972985</v>
      </c>
      <c r="K15" s="562">
        <v>157071192.94</v>
      </c>
      <c r="L15" s="390">
        <v>0.99595745998062457</v>
      </c>
      <c r="M15" s="515">
        <f t="shared" si="3"/>
        <v>-0.18784945646443885</v>
      </c>
      <c r="N15" s="562">
        <v>157071192.94</v>
      </c>
      <c r="O15" s="390">
        <v>0.99595745998062457</v>
      </c>
      <c r="P15" s="515">
        <f t="shared" si="4"/>
        <v>-0.18784945646443885</v>
      </c>
    </row>
    <row r="16" spans="1:16" ht="15" customHeight="1" thickBot="1" x14ac:dyDescent="0.25">
      <c r="A16" s="9"/>
      <c r="B16" s="2" t="s">
        <v>10</v>
      </c>
      <c r="C16" s="514">
        <f>SUM(C14:C15)</f>
        <v>155680077.11000001</v>
      </c>
      <c r="D16" s="152">
        <f t="shared" ref="D16:I16" si="9">SUM(D14:D15)</f>
        <v>155680077.11000001</v>
      </c>
      <c r="E16" s="84">
        <f t="shared" si="9"/>
        <v>150520531.82999998</v>
      </c>
      <c r="F16" s="90">
        <f t="shared" si="0"/>
        <v>0.96685802463757509</v>
      </c>
      <c r="G16" s="84">
        <f t="shared" si="9"/>
        <v>150520531.82999998</v>
      </c>
      <c r="H16" s="90">
        <f t="shared" si="1"/>
        <v>0.96685802463757509</v>
      </c>
      <c r="I16" s="84">
        <f t="shared" si="9"/>
        <v>144212350.63</v>
      </c>
      <c r="J16" s="170">
        <f t="shared" si="2"/>
        <v>0.9263378674209084</v>
      </c>
      <c r="K16" s="561">
        <f t="shared" ref="K16" si="10">SUM(K14:K15)</f>
        <v>176397923.09999999</v>
      </c>
      <c r="L16" s="90">
        <v>0.95734692625179052</v>
      </c>
      <c r="M16" s="634">
        <f t="shared" si="3"/>
        <v>-0.14669895662734145</v>
      </c>
      <c r="N16" s="561">
        <f t="shared" ref="N16" si="11">SUM(N14:N15)</f>
        <v>171500472.28999999</v>
      </c>
      <c r="O16" s="90">
        <v>0.93076747793955106</v>
      </c>
      <c r="P16" s="634">
        <f t="shared" si="4"/>
        <v>-0.15911397383126125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777968444.55000007</v>
      </c>
      <c r="E17" s="155">
        <f t="shared" si="12"/>
        <v>615870017.0999999</v>
      </c>
      <c r="F17" s="181">
        <f t="shared" si="0"/>
        <v>0.79163881442034234</v>
      </c>
      <c r="G17" s="155">
        <f t="shared" si="12"/>
        <v>615870017.0999999</v>
      </c>
      <c r="H17" s="181">
        <f t="shared" si="1"/>
        <v>0.79163881442034234</v>
      </c>
      <c r="I17" s="155">
        <f t="shared" si="12"/>
        <v>505279545.62</v>
      </c>
      <c r="J17" s="173">
        <f t="shared" si="2"/>
        <v>0.64948591316228588</v>
      </c>
      <c r="K17" s="569">
        <f t="shared" ref="K17" si="13">+K10+K13+K16</f>
        <v>641116289</v>
      </c>
      <c r="L17" s="181">
        <v>0.75555571701847246</v>
      </c>
      <c r="M17" s="600">
        <f t="shared" si="3"/>
        <v>-3.9378615600889955E-2</v>
      </c>
      <c r="N17" s="569">
        <f t="shared" ref="N17" si="14">+N10+N13+N16</f>
        <v>580532281.08999991</v>
      </c>
      <c r="O17" s="181">
        <v>0.68415744759110975</v>
      </c>
      <c r="P17" s="600">
        <f t="shared" si="4"/>
        <v>-0.12962713344502796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8"/>
  <sheetViews>
    <sheetView tabSelected="1" topLeftCell="A48" zoomScaleNormal="100" workbookViewId="0">
      <selection activeCell="A67" sqref="A67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9.7109375" style="97" bestFit="1" customWidth="1"/>
    <col min="7" max="7" width="11.140625" bestFit="1" customWidth="1"/>
    <col min="8" max="8" width="7.7109375" style="97" bestFit="1" customWidth="1"/>
    <col min="9" max="9" width="11.28515625" customWidth="1"/>
    <col min="10" max="10" width="10.5703125" style="97" bestFit="1" customWidth="1"/>
    <col min="11" max="11" width="7.140625" style="97" bestFit="1" customWidth="1"/>
    <col min="12" max="12" width="24.5703125" style="60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4" t="s">
        <v>765</v>
      </c>
      <c r="D2" s="751" t="s">
        <v>784</v>
      </c>
      <c r="E2" s="752"/>
      <c r="F2" s="752"/>
      <c r="G2" s="752"/>
      <c r="H2" s="753"/>
      <c r="I2" s="748" t="s">
        <v>785</v>
      </c>
      <c r="J2" s="749"/>
      <c r="K2" s="197"/>
    </row>
    <row r="3" spans="1:17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  <c r="M4" s="339"/>
      <c r="O4" s="339"/>
    </row>
    <row r="5" spans="1:17" s="287" customFormat="1" ht="15" customHeight="1" x14ac:dyDescent="0.2">
      <c r="A5" s="281"/>
      <c r="B5" s="281" t="s">
        <v>151</v>
      </c>
      <c r="C5" s="282">
        <v>668207000</v>
      </c>
      <c r="D5" s="368">
        <v>668207000</v>
      </c>
      <c r="E5" s="284">
        <v>530935538.51999998</v>
      </c>
      <c r="F5" s="372">
        <f>+E5/D5</f>
        <v>0.79456745966444531</v>
      </c>
      <c r="G5" s="284">
        <v>510931522.06999999</v>
      </c>
      <c r="H5" s="364">
        <f>G5/E5</f>
        <v>0.96232307879453349</v>
      </c>
      <c r="I5" s="284">
        <v>537360571.52999997</v>
      </c>
      <c r="J5" s="372">
        <v>0.86196836903794816</v>
      </c>
      <c r="K5" s="285">
        <f>+E5/I5-1</f>
        <v>-1.1956651362987625E-2</v>
      </c>
      <c r="L5" s="286" t="s">
        <v>164</v>
      </c>
      <c r="M5" s="339"/>
      <c r="N5"/>
      <c r="O5" s="340"/>
    </row>
    <row r="6" spans="1:17" s="287" customFormat="1" ht="15" customHeight="1" x14ac:dyDescent="0.2">
      <c r="A6" s="288"/>
      <c r="B6" s="288" t="s">
        <v>153</v>
      </c>
      <c r="C6" s="291">
        <v>57140714</v>
      </c>
      <c r="D6" s="292">
        <v>57140714</v>
      </c>
      <c r="E6" s="132">
        <v>60850823.869999997</v>
      </c>
      <c r="F6" s="327">
        <f t="shared" ref="F6:F68" si="0">+E6/D6</f>
        <v>1.0649293579005681</v>
      </c>
      <c r="G6" s="132">
        <v>49622560.329999998</v>
      </c>
      <c r="H6" s="364">
        <f t="shared" ref="H6:H14" si="1">G6/E6</f>
        <v>0.8154788575420483</v>
      </c>
      <c r="I6" s="132">
        <v>61256343.950000003</v>
      </c>
      <c r="J6" s="327">
        <v>1.0449734553053567</v>
      </c>
      <c r="K6" s="293">
        <f t="shared" ref="K6:K68" si="2">+E6/I6-1</f>
        <v>-6.6200503303136538E-3</v>
      </c>
      <c r="L6" s="289">
        <v>115</v>
      </c>
      <c r="M6" s="339"/>
      <c r="N6"/>
      <c r="O6" s="339"/>
    </row>
    <row r="7" spans="1:17" s="287" customFormat="1" ht="15" customHeight="1" x14ac:dyDescent="0.2">
      <c r="A7" s="288"/>
      <c r="B7" s="288" t="s">
        <v>152</v>
      </c>
      <c r="C7" s="291">
        <v>172677000</v>
      </c>
      <c r="D7" s="292">
        <v>172677000</v>
      </c>
      <c r="E7" s="132">
        <v>167706671.78999999</v>
      </c>
      <c r="F7" s="327">
        <f t="shared" si="0"/>
        <v>0.97121603797842204</v>
      </c>
      <c r="G7" s="132">
        <v>160229324.12</v>
      </c>
      <c r="H7" s="364">
        <f t="shared" si="1"/>
        <v>0.95541413117205609</v>
      </c>
      <c r="I7" s="132">
        <v>146119226.18000001</v>
      </c>
      <c r="J7" s="327">
        <v>1.209456074461569</v>
      </c>
      <c r="K7" s="293">
        <f t="shared" si="2"/>
        <v>0.14773857057939144</v>
      </c>
      <c r="L7" s="289">
        <v>116</v>
      </c>
      <c r="M7" s="339"/>
      <c r="N7" s="455"/>
      <c r="O7" s="456"/>
    </row>
    <row r="8" spans="1:17" s="287" customFormat="1" ht="15" customHeight="1" x14ac:dyDescent="0.2">
      <c r="A8" s="288"/>
      <c r="B8" s="288" t="s">
        <v>154</v>
      </c>
      <c r="C8" s="291">
        <v>90475310</v>
      </c>
      <c r="D8" s="292">
        <v>90475310</v>
      </c>
      <c r="E8" s="132">
        <v>45835330.890000001</v>
      </c>
      <c r="F8" s="327">
        <f t="shared" si="0"/>
        <v>0.50660595570216893</v>
      </c>
      <c r="G8" s="132">
        <v>15853094.189999999</v>
      </c>
      <c r="H8" s="364">
        <f t="shared" si="1"/>
        <v>0.34587061732020147</v>
      </c>
      <c r="I8" s="132">
        <v>44206079.340000004</v>
      </c>
      <c r="J8" s="327">
        <v>0.49294224236242534</v>
      </c>
      <c r="K8" s="293">
        <f t="shared" si="2"/>
        <v>3.6855825586092239E-2</v>
      </c>
      <c r="L8" s="289">
        <v>130</v>
      </c>
      <c r="M8" s="339"/>
      <c r="N8" s="455"/>
      <c r="O8" s="456"/>
    </row>
    <row r="9" spans="1:17" s="287" customFormat="1" ht="15" customHeight="1" x14ac:dyDescent="0.2">
      <c r="A9" s="290"/>
      <c r="B9" s="290" t="s">
        <v>357</v>
      </c>
      <c r="C9" s="291">
        <v>10</v>
      </c>
      <c r="D9" s="292">
        <v>10</v>
      </c>
      <c r="E9" s="132">
        <v>-2119.69</v>
      </c>
      <c r="F9" s="327">
        <v>0</v>
      </c>
      <c r="G9" s="132">
        <v>-2119.69</v>
      </c>
      <c r="H9" s="364">
        <f t="shared" si="1"/>
        <v>1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">
      <c r="A10" s="290"/>
      <c r="B10" s="290" t="s">
        <v>155</v>
      </c>
      <c r="C10" s="291">
        <v>22174400.02</v>
      </c>
      <c r="D10" s="292">
        <v>22174400.02</v>
      </c>
      <c r="E10" s="294">
        <v>24343581.190000001</v>
      </c>
      <c r="F10" s="373">
        <f t="shared" si="0"/>
        <v>1.0978236690978573</v>
      </c>
      <c r="G10" s="294">
        <v>23734718.489999998</v>
      </c>
      <c r="H10" s="537">
        <f t="shared" si="1"/>
        <v>0.97498877855119714</v>
      </c>
      <c r="I10" s="294">
        <v>23497543.550000001</v>
      </c>
      <c r="J10" s="373">
        <v>1.4014160881493409</v>
      </c>
      <c r="K10" s="295">
        <f t="shared" si="2"/>
        <v>3.6005365335305406E-2</v>
      </c>
      <c r="L10" s="289">
        <v>290</v>
      </c>
      <c r="M10" s="339"/>
      <c r="N10" s="455"/>
      <c r="O10" s="456"/>
    </row>
    <row r="11" spans="1:17" ht="15" customHeight="1" x14ac:dyDescent="0.2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829669826.56999993</v>
      </c>
      <c r="F11" s="90">
        <f>+E11/D11</f>
        <v>0.82090710781112108</v>
      </c>
      <c r="G11" s="84">
        <f>SUM(G5:G10)</f>
        <v>760369099.50999999</v>
      </c>
      <c r="H11" s="170">
        <f t="shared" si="1"/>
        <v>0.91647192070790229</v>
      </c>
      <c r="I11" s="84">
        <f>SUM(I5:I10)</f>
        <v>812439764.55000007</v>
      </c>
      <c r="J11" s="43">
        <v>0.89348803763965179</v>
      </c>
      <c r="K11" s="144">
        <f>+E11/I11-1</f>
        <v>2.1207802438797829E-2</v>
      </c>
      <c r="M11" s="339"/>
      <c r="N11" s="455"/>
      <c r="O11" s="456"/>
      <c r="P11" s="287"/>
      <c r="Q11" s="287"/>
    </row>
    <row r="12" spans="1:17" s="287" customFormat="1" ht="15" customHeight="1" x14ac:dyDescent="0.2">
      <c r="A12" s="281"/>
      <c r="B12" s="281" t="s">
        <v>157</v>
      </c>
      <c r="C12" s="282">
        <v>90056137.610000014</v>
      </c>
      <c r="D12" s="368">
        <v>90056137.609999999</v>
      </c>
      <c r="E12" s="326">
        <v>86411007.179999992</v>
      </c>
      <c r="F12" s="648">
        <f t="shared" si="0"/>
        <v>0.95952379785833453</v>
      </c>
      <c r="G12" s="326">
        <v>77012617.690000013</v>
      </c>
      <c r="H12" s="355">
        <f t="shared" si="1"/>
        <v>0.89123620014725091</v>
      </c>
      <c r="I12" s="284">
        <v>81092979.230000004</v>
      </c>
      <c r="J12" s="372">
        <v>0.8987654175442672</v>
      </c>
      <c r="K12" s="285">
        <f t="shared" si="2"/>
        <v>6.5579388012330098E-2</v>
      </c>
      <c r="L12" s="286" t="s">
        <v>165</v>
      </c>
      <c r="M12" s="339"/>
      <c r="N12" s="455"/>
      <c r="O12" s="456"/>
    </row>
    <row r="13" spans="1:17" s="287" customFormat="1" ht="15" customHeight="1" x14ac:dyDescent="0.2">
      <c r="A13" s="290"/>
      <c r="B13" s="290" t="s">
        <v>158</v>
      </c>
      <c r="C13" s="291">
        <v>1007970486.3199999</v>
      </c>
      <c r="D13" s="292">
        <v>1007970486.3199999</v>
      </c>
      <c r="E13" s="649">
        <v>848201980.48000002</v>
      </c>
      <c r="F13" s="647">
        <f t="shared" si="0"/>
        <v>0.84149485723208139</v>
      </c>
      <c r="G13" s="649">
        <v>756291219.69000006</v>
      </c>
      <c r="H13" s="365">
        <f t="shared" si="1"/>
        <v>0.8916404784412465</v>
      </c>
      <c r="I13" s="294">
        <v>810925727.52999997</v>
      </c>
      <c r="J13" s="373">
        <v>0.86538028237785058</v>
      </c>
      <c r="K13" s="295">
        <f t="shared" si="2"/>
        <v>4.5967530298415715E-2</v>
      </c>
      <c r="L13" s="286" t="s">
        <v>186</v>
      </c>
      <c r="M13" s="339"/>
      <c r="N13" s="339"/>
      <c r="O13" s="339"/>
    </row>
    <row r="14" spans="1:17" ht="15" customHeight="1" x14ac:dyDescent="0.2">
      <c r="A14" s="9"/>
      <c r="B14" s="2" t="s">
        <v>159</v>
      </c>
      <c r="C14" s="162">
        <f>SUM(C12:C13)</f>
        <v>1098026623.9299998</v>
      </c>
      <c r="D14" s="152">
        <f>SUM(D12:D13)</f>
        <v>1098026623.9299998</v>
      </c>
      <c r="E14" s="84">
        <f>SUM(E12:E13)</f>
        <v>934612987.65999997</v>
      </c>
      <c r="F14" s="90">
        <f>+E14/D14</f>
        <v>0.85117516032068674</v>
      </c>
      <c r="G14" s="84">
        <f>SUM(G12:G13)</f>
        <v>833303837.38000011</v>
      </c>
      <c r="H14" s="171">
        <f t="shared" si="1"/>
        <v>0.89160310030181733</v>
      </c>
      <c r="I14" s="84">
        <f>SUM(I12:I13)</f>
        <v>892018706.75999999</v>
      </c>
      <c r="J14" s="43">
        <v>0.86831247244758791</v>
      </c>
      <c r="K14" s="144">
        <f t="shared" si="2"/>
        <v>4.7750434578565537E-2</v>
      </c>
      <c r="M14" s="339"/>
      <c r="N14" s="339"/>
      <c r="O14" s="339"/>
      <c r="P14" s="287"/>
      <c r="Q14" s="287"/>
    </row>
    <row r="15" spans="1:17" s="287" customFormat="1" ht="15" customHeight="1" x14ac:dyDescent="0.2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1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">
      <c r="A18" s="281"/>
      <c r="B18" s="344" t="s">
        <v>162</v>
      </c>
      <c r="C18" s="486">
        <v>15107000</v>
      </c>
      <c r="D18" s="368">
        <v>15107000</v>
      </c>
      <c r="E18" s="341">
        <v>12647624.67</v>
      </c>
      <c r="F18" s="375">
        <f t="shared" si="0"/>
        <v>0.83720293042960214</v>
      </c>
      <c r="G18" s="341">
        <v>11606941.07</v>
      </c>
      <c r="H18" s="355">
        <f t="shared" ref="H18:H23" si="3">+G18/E18</f>
        <v>0.91771707121666191</v>
      </c>
      <c r="I18" s="341">
        <v>12765754.109999999</v>
      </c>
      <c r="J18" s="401">
        <v>0.82359703935483863</v>
      </c>
      <c r="K18" s="384">
        <f t="shared" si="2"/>
        <v>-9.253620192125056E-3</v>
      </c>
      <c r="L18" s="289">
        <v>301</v>
      </c>
      <c r="M18" s="339"/>
      <c r="N18" s="454"/>
      <c r="O18" s="456"/>
    </row>
    <row r="19" spans="1:17" s="287" customFormat="1" ht="15" customHeight="1" x14ac:dyDescent="0.2">
      <c r="A19" s="281"/>
      <c r="B19" s="343" t="s">
        <v>167</v>
      </c>
      <c r="C19" s="291">
        <v>9977000</v>
      </c>
      <c r="D19" s="292">
        <v>9977000</v>
      </c>
      <c r="E19" s="284">
        <v>4426507.96</v>
      </c>
      <c r="F19" s="374">
        <f t="shared" si="0"/>
        <v>0.44367123985165879</v>
      </c>
      <c r="G19" s="284">
        <v>4399594.63</v>
      </c>
      <c r="H19" s="355">
        <f t="shared" si="3"/>
        <v>0.99391996349194411</v>
      </c>
      <c r="I19" s="284">
        <v>8659999.1199999992</v>
      </c>
      <c r="J19" s="335">
        <v>1.4271587211601844</v>
      </c>
      <c r="K19" s="385">
        <f t="shared" si="2"/>
        <v>-0.48885584182368824</v>
      </c>
      <c r="L19" s="289">
        <v>321</v>
      </c>
      <c r="M19" s="339"/>
      <c r="N19" s="455"/>
      <c r="O19" s="456"/>
    </row>
    <row r="20" spans="1:17" s="287" customFormat="1" ht="15" customHeight="1" x14ac:dyDescent="0.2">
      <c r="A20" s="281"/>
      <c r="B20" s="343" t="s">
        <v>168</v>
      </c>
      <c r="C20" s="291">
        <v>15905000.01</v>
      </c>
      <c r="D20" s="292">
        <v>15905000.01</v>
      </c>
      <c r="E20" s="326">
        <v>16766125.49</v>
      </c>
      <c r="F20" s="374">
        <f t="shared" si="0"/>
        <v>1.0541418094598292</v>
      </c>
      <c r="G20" s="326">
        <v>16095089.51</v>
      </c>
      <c r="H20" s="355">
        <f t="shared" si="3"/>
        <v>0.95997668152965732</v>
      </c>
      <c r="I20" s="284">
        <v>16145031.77</v>
      </c>
      <c r="J20" s="335">
        <v>0.96347984486275595</v>
      </c>
      <c r="K20" s="385">
        <f t="shared" si="2"/>
        <v>3.8469649911379467E-2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">
      <c r="A21" s="281"/>
      <c r="B21" s="343" t="s">
        <v>169</v>
      </c>
      <c r="C21" s="291">
        <v>33625000</v>
      </c>
      <c r="D21" s="292">
        <v>33625000</v>
      </c>
      <c r="E21" s="650">
        <v>26029964.870000001</v>
      </c>
      <c r="F21" s="374">
        <f t="shared" si="0"/>
        <v>0.77412534929368038</v>
      </c>
      <c r="G21" s="650">
        <v>20382345.84</v>
      </c>
      <c r="H21" s="355">
        <f t="shared" si="3"/>
        <v>0.7830339357657381</v>
      </c>
      <c r="I21" s="284">
        <v>21629144.73</v>
      </c>
      <c r="J21" s="335">
        <v>0.70778313197421383</v>
      </c>
      <c r="K21" s="385">
        <f t="shared" si="2"/>
        <v>0.20346713635403191</v>
      </c>
      <c r="L21" s="313" t="s">
        <v>170</v>
      </c>
      <c r="M21" s="339"/>
      <c r="N21" s="339"/>
      <c r="O21" s="339"/>
    </row>
    <row r="22" spans="1:17" s="287" customFormat="1" ht="15" customHeight="1" x14ac:dyDescent="0.2">
      <c r="A22" s="281"/>
      <c r="B22" s="343" t="s">
        <v>171</v>
      </c>
      <c r="C22" s="291">
        <v>8349000</v>
      </c>
      <c r="D22" s="292">
        <v>8349000</v>
      </c>
      <c r="E22" s="650">
        <v>8334694.0099999998</v>
      </c>
      <c r="F22" s="374">
        <f t="shared" si="0"/>
        <v>0.99828650257515872</v>
      </c>
      <c r="G22" s="326">
        <v>7623535.7300000004</v>
      </c>
      <c r="H22" s="355">
        <f t="shared" si="3"/>
        <v>0.91467493837845171</v>
      </c>
      <c r="I22" s="284">
        <v>8320707.9800000004</v>
      </c>
      <c r="J22" s="335">
        <v>0.97580719945562011</v>
      </c>
      <c r="K22" s="385">
        <f t="shared" si="2"/>
        <v>1.6808701896060541E-3</v>
      </c>
      <c r="L22" s="313">
        <v>335</v>
      </c>
      <c r="M22" s="339"/>
      <c r="N22" s="339"/>
      <c r="O22" s="339"/>
    </row>
    <row r="23" spans="1:17" s="287" customFormat="1" ht="15" customHeight="1" x14ac:dyDescent="0.2">
      <c r="A23" s="318"/>
      <c r="B23" s="459" t="s">
        <v>172</v>
      </c>
      <c r="C23" s="492">
        <v>3208129.9999999963</v>
      </c>
      <c r="D23" s="324">
        <v>3208130</v>
      </c>
      <c r="E23" s="652">
        <v>5813561.8299999991</v>
      </c>
      <c r="F23" s="380">
        <f t="shared" si="0"/>
        <v>1.8121341186298559</v>
      </c>
      <c r="G23" s="652">
        <v>4238231.1500000004</v>
      </c>
      <c r="H23" s="445">
        <f t="shared" si="3"/>
        <v>0.72902486873524852</v>
      </c>
      <c r="I23" s="324">
        <v>4329488.77999999</v>
      </c>
      <c r="J23" s="402">
        <v>1.4290547645175671</v>
      </c>
      <c r="K23" s="386">
        <f t="shared" si="2"/>
        <v>0.34278251438268259</v>
      </c>
      <c r="L23" s="317" t="s">
        <v>173</v>
      </c>
      <c r="M23" s="339"/>
      <c r="N23" s="339"/>
      <c r="O23" s="339"/>
    </row>
    <row r="24" spans="1:17" s="287" customFormat="1" ht="15" customHeight="1" x14ac:dyDescent="0.2">
      <c r="A24" s="281"/>
      <c r="B24" s="281" t="s">
        <v>174</v>
      </c>
      <c r="C24" s="497">
        <v>18467000</v>
      </c>
      <c r="D24" s="368">
        <v>18467000</v>
      </c>
      <c r="E24" s="284">
        <v>9967145.8200000003</v>
      </c>
      <c r="F24" s="374">
        <f t="shared" si="0"/>
        <v>0.53972739589538099</v>
      </c>
      <c r="G24" s="284">
        <v>1040768.33</v>
      </c>
      <c r="H24" s="355">
        <f>+G24/E24</f>
        <v>0.10441989600589589</v>
      </c>
      <c r="I24" s="284">
        <v>12962899.779999999</v>
      </c>
      <c r="J24" s="335">
        <v>0.73506661638786497</v>
      </c>
      <c r="K24" s="285">
        <f t="shared" si="2"/>
        <v>-0.23110214618970071</v>
      </c>
      <c r="L24" s="313">
        <v>34920</v>
      </c>
      <c r="M24" s="339"/>
      <c r="N24" s="339"/>
      <c r="O24" s="339"/>
    </row>
    <row r="25" spans="1:17" s="287" customFormat="1" ht="15" customHeight="1" x14ac:dyDescent="0.2">
      <c r="A25" s="281"/>
      <c r="B25" s="281" t="s">
        <v>175</v>
      </c>
      <c r="C25" s="291">
        <v>5620000</v>
      </c>
      <c r="D25" s="292">
        <v>5620000</v>
      </c>
      <c r="E25" s="284">
        <v>3232187.69</v>
      </c>
      <c r="F25" s="374">
        <f t="shared" si="0"/>
        <v>0.57512236476868328</v>
      </c>
      <c r="G25" s="284">
        <v>2629261.9700000002</v>
      </c>
      <c r="H25" s="355">
        <f>+G25/E25</f>
        <v>0.81346203320265731</v>
      </c>
      <c r="I25" s="284">
        <v>5092260.25</v>
      </c>
      <c r="J25" s="335">
        <v>0.81359007029876973</v>
      </c>
      <c r="K25" s="285">
        <f t="shared" si="2"/>
        <v>-0.36527444959239863</v>
      </c>
      <c r="L25" s="313">
        <v>34921</v>
      </c>
      <c r="M25" s="339"/>
      <c r="N25" s="339"/>
      <c r="O25" s="339"/>
    </row>
    <row r="26" spans="1:17" s="287" customFormat="1" ht="15" customHeight="1" x14ac:dyDescent="0.2">
      <c r="A26" s="281"/>
      <c r="B26" s="281" t="s">
        <v>176</v>
      </c>
      <c r="C26" s="291">
        <v>2989289.9700000007</v>
      </c>
      <c r="D26" s="292">
        <v>2989289.9699999997</v>
      </c>
      <c r="E26" s="284">
        <v>2450730.52</v>
      </c>
      <c r="F26" s="380">
        <f t="shared" si="0"/>
        <v>0.81983699962034806</v>
      </c>
      <c r="G26" s="284">
        <v>2326552.5499999998</v>
      </c>
      <c r="H26" s="355">
        <f t="shared" ref="H26:H68" si="4">+G26/E26</f>
        <v>0.94933022256563715</v>
      </c>
      <c r="I26" s="324">
        <v>2591240.7799999998</v>
      </c>
      <c r="J26" s="335">
        <v>0.6689899381128469</v>
      </c>
      <c r="K26" s="285">
        <f t="shared" si="2"/>
        <v>-5.4225088260613008E-2</v>
      </c>
      <c r="L26" s="345" t="s">
        <v>351</v>
      </c>
      <c r="M26" s="339"/>
      <c r="N26" s="339"/>
      <c r="O26" s="339"/>
    </row>
    <row r="27" spans="1:17" s="287" customFormat="1" ht="15" customHeight="1" x14ac:dyDescent="0.2">
      <c r="A27" s="299"/>
      <c r="B27" s="299" t="s">
        <v>506</v>
      </c>
      <c r="C27" s="487">
        <v>10</v>
      </c>
      <c r="D27" s="301">
        <v>10</v>
      </c>
      <c r="E27" s="302">
        <v>0</v>
      </c>
      <c r="F27" s="361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">
      <c r="A28" s="281"/>
      <c r="B28" s="281" t="s">
        <v>177</v>
      </c>
      <c r="C28" s="486">
        <v>9100000</v>
      </c>
      <c r="D28" s="292">
        <v>9100000</v>
      </c>
      <c r="E28" s="284">
        <v>6632391.4299999997</v>
      </c>
      <c r="F28" s="374">
        <f t="shared" si="0"/>
        <v>0.72883422307692303</v>
      </c>
      <c r="G28" s="284">
        <v>3132207.45</v>
      </c>
      <c r="H28" s="355">
        <f>+G28/E28</f>
        <v>0.47225913655099216</v>
      </c>
      <c r="I28" s="284">
        <v>9042091.1199999992</v>
      </c>
      <c r="J28" s="335">
        <v>1.4823100196721311</v>
      </c>
      <c r="K28" s="285">
        <f t="shared" si="2"/>
        <v>-0.26649805426866791</v>
      </c>
      <c r="L28" s="313">
        <v>36500</v>
      </c>
      <c r="M28" s="339"/>
      <c r="N28" s="339"/>
      <c r="O28" s="339"/>
    </row>
    <row r="29" spans="1:17" s="287" customFormat="1" ht="15" customHeight="1" x14ac:dyDescent="0.2">
      <c r="A29" s="296"/>
      <c r="B29" s="296" t="s">
        <v>178</v>
      </c>
      <c r="C29" s="492">
        <v>420149.99000000022</v>
      </c>
      <c r="D29" s="324">
        <v>420149.99</v>
      </c>
      <c r="E29" s="325">
        <v>264022.24000000022</v>
      </c>
      <c r="F29" s="347">
        <f t="shared" si="0"/>
        <v>0.62839996735451598</v>
      </c>
      <c r="G29" s="297">
        <v>164237.43999999994</v>
      </c>
      <c r="H29" s="366">
        <f t="shared" si="4"/>
        <v>0.62205911138394931</v>
      </c>
      <c r="I29" s="297">
        <v>204557.290000001</v>
      </c>
      <c r="J29" s="402">
        <v>0.52404900855664549</v>
      </c>
      <c r="K29" s="298">
        <f t="shared" si="2"/>
        <v>0.29070071274408726</v>
      </c>
      <c r="L29" s="317" t="s">
        <v>180</v>
      </c>
      <c r="N29"/>
    </row>
    <row r="30" spans="1:17" s="287" customFormat="1" ht="15" customHeight="1" x14ac:dyDescent="0.2">
      <c r="A30" s="281"/>
      <c r="B30" s="281" t="s">
        <v>179</v>
      </c>
      <c r="C30" s="321">
        <v>1127180.06</v>
      </c>
      <c r="D30" s="187">
        <v>1127180.06</v>
      </c>
      <c r="E30" s="310">
        <v>799291.75</v>
      </c>
      <c r="F30" s="374">
        <f t="shared" si="0"/>
        <v>0.70910742512602642</v>
      </c>
      <c r="G30" s="125">
        <v>798724.1</v>
      </c>
      <c r="H30" s="355">
        <f t="shared" si="4"/>
        <v>0.99928980875881679</v>
      </c>
      <c r="I30" s="284">
        <v>1347745.3</v>
      </c>
      <c r="J30" s="401">
        <v>1.5485558607726746</v>
      </c>
      <c r="K30" s="387">
        <f t="shared" si="2"/>
        <v>-0.40694154155091478</v>
      </c>
      <c r="L30" s="289">
        <v>38</v>
      </c>
      <c r="N30"/>
    </row>
    <row r="31" spans="1:17" s="287" customFormat="1" ht="15" customHeight="1" x14ac:dyDescent="0.2">
      <c r="A31" s="281"/>
      <c r="B31" s="281" t="s">
        <v>181</v>
      </c>
      <c r="C31" s="282">
        <v>54686190</v>
      </c>
      <c r="D31" s="724">
        <v>54686190</v>
      </c>
      <c r="E31" s="319">
        <v>64756768.329999998</v>
      </c>
      <c r="F31" s="347">
        <f t="shared" si="0"/>
        <v>1.184152129267005</v>
      </c>
      <c r="G31" s="369">
        <v>29167500.68</v>
      </c>
      <c r="H31" s="727">
        <f t="shared" si="4"/>
        <v>0.4504162488678039</v>
      </c>
      <c r="I31" s="284">
        <v>74204998.069999993</v>
      </c>
      <c r="J31" s="335">
        <v>1.4391760610805753</v>
      </c>
      <c r="K31" s="285">
        <f t="shared" si="2"/>
        <v>-0.12732605600349411</v>
      </c>
      <c r="L31" s="289">
        <v>391</v>
      </c>
      <c r="N31"/>
    </row>
    <row r="32" spans="1:17" s="287" customFormat="1" ht="15" customHeight="1" x14ac:dyDescent="0.2">
      <c r="A32" s="281"/>
      <c r="B32" s="281" t="s">
        <v>182</v>
      </c>
      <c r="C32" s="291">
        <v>12205000</v>
      </c>
      <c r="D32" s="728">
        <v>12205000</v>
      </c>
      <c r="E32" s="729">
        <v>9646874.4700000007</v>
      </c>
      <c r="F32" s="361">
        <f t="shared" si="0"/>
        <v>0.79040347972142566</v>
      </c>
      <c r="G32" s="729">
        <v>9646874.4700000007</v>
      </c>
      <c r="H32" s="730">
        <f t="shared" si="4"/>
        <v>1</v>
      </c>
      <c r="I32" s="284">
        <v>9639285.4100000001</v>
      </c>
      <c r="J32" s="335">
        <v>0.90019475252147929</v>
      </c>
      <c r="K32" s="285">
        <f t="shared" si="2"/>
        <v>7.8730524901016175E-4</v>
      </c>
      <c r="L32" s="289">
        <v>392</v>
      </c>
    </row>
    <row r="33" spans="1:18" s="287" customFormat="1" ht="15" customHeight="1" x14ac:dyDescent="0.2">
      <c r="A33" s="281"/>
      <c r="B33" s="305" t="s">
        <v>183</v>
      </c>
      <c r="C33" s="291">
        <v>8093000</v>
      </c>
      <c r="D33" s="728">
        <v>8093000</v>
      </c>
      <c r="E33" s="729">
        <v>7331276.7699999996</v>
      </c>
      <c r="F33" s="731">
        <f t="shared" si="0"/>
        <v>0.90587875571481524</v>
      </c>
      <c r="G33" s="729">
        <v>6848116.8700000001</v>
      </c>
      <c r="H33" s="730">
        <f t="shared" si="4"/>
        <v>0.93409607696477681</v>
      </c>
      <c r="I33" s="125">
        <v>3867700.27</v>
      </c>
      <c r="J33" s="335">
        <v>0.53995536367443808</v>
      </c>
      <c r="K33" s="285">
        <f t="shared" si="2"/>
        <v>0.89551316239921541</v>
      </c>
      <c r="L33" s="289">
        <v>393</v>
      </c>
      <c r="N33"/>
    </row>
    <row r="34" spans="1:18" s="287" customFormat="1" ht="15" customHeight="1" x14ac:dyDescent="0.2">
      <c r="A34" s="281"/>
      <c r="B34" s="307" t="s">
        <v>361</v>
      </c>
      <c r="C34" s="291">
        <v>10</v>
      </c>
      <c r="D34" s="728">
        <v>10</v>
      </c>
      <c r="E34" s="729">
        <v>0</v>
      </c>
      <c r="F34" s="731">
        <f t="shared" si="0"/>
        <v>0</v>
      </c>
      <c r="G34" s="729">
        <v>0</v>
      </c>
      <c r="H34" s="730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">
      <c r="A35" s="309"/>
      <c r="B35" s="233" t="s">
        <v>415</v>
      </c>
      <c r="C35" s="291">
        <v>4478472.4000000004</v>
      </c>
      <c r="D35" s="728">
        <v>4478472.4000000004</v>
      </c>
      <c r="E35" s="729">
        <v>3111156.29</v>
      </c>
      <c r="F35" s="731">
        <f t="shared" si="0"/>
        <v>0.6946914063822297</v>
      </c>
      <c r="G35" s="729">
        <v>0</v>
      </c>
      <c r="H35" s="732" t="s">
        <v>129</v>
      </c>
      <c r="I35" s="310">
        <v>2113708.9500000002</v>
      </c>
      <c r="J35" s="335" t="s">
        <v>129</v>
      </c>
      <c r="K35" s="285">
        <f t="shared" si="2"/>
        <v>0.47189436369657223</v>
      </c>
      <c r="L35" s="289">
        <v>397</v>
      </c>
      <c r="N35"/>
    </row>
    <row r="36" spans="1:18" s="287" customFormat="1" ht="15" customHeight="1" x14ac:dyDescent="0.2">
      <c r="A36" s="309"/>
      <c r="B36" s="712" t="s">
        <v>774</v>
      </c>
      <c r="C36" s="291">
        <v>0</v>
      </c>
      <c r="D36" s="724">
        <v>0</v>
      </c>
      <c r="E36" s="369">
        <v>10924.85</v>
      </c>
      <c r="F36" s="725" t="s">
        <v>129</v>
      </c>
      <c r="G36" s="369">
        <v>10924.85</v>
      </c>
      <c r="H36" s="726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">
      <c r="A37" s="309"/>
      <c r="B37" s="247" t="s">
        <v>184</v>
      </c>
      <c r="C37" s="291">
        <v>10046099.98</v>
      </c>
      <c r="D37" s="538">
        <v>10046099.98</v>
      </c>
      <c r="E37" s="311">
        <v>9929391.6199999992</v>
      </c>
      <c r="F37" s="376">
        <f t="shared" si="0"/>
        <v>0.98838271963922852</v>
      </c>
      <c r="G37" s="311">
        <v>9297944.5299999993</v>
      </c>
      <c r="H37" s="367">
        <f t="shared" si="4"/>
        <v>0.93640626594602983</v>
      </c>
      <c r="I37" s="311">
        <v>10765441.699999999</v>
      </c>
      <c r="J37" s="404">
        <v>0.9165750474044827</v>
      </c>
      <c r="K37" s="312">
        <f t="shared" si="2"/>
        <v>-7.7660545967194294E-2</v>
      </c>
      <c r="L37" s="289">
        <v>399</v>
      </c>
      <c r="N37"/>
    </row>
    <row r="38" spans="1:18" ht="15" customHeight="1" thickBot="1" x14ac:dyDescent="0.25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192150640.60999998</v>
      </c>
      <c r="F38" s="377">
        <f>+E38/D38</f>
        <v>0.68596657938271122</v>
      </c>
      <c r="G38" s="174">
        <f>SUM(G15:G37)</f>
        <v>129408851.16999999</v>
      </c>
      <c r="H38" s="175">
        <f t="shared" si="4"/>
        <v>0.6734760329665288</v>
      </c>
      <c r="I38" s="152">
        <f>SUM(I15:I37)</f>
        <v>203682055.40999997</v>
      </c>
      <c r="J38" s="43">
        <v>0.78299612365957749</v>
      </c>
      <c r="K38" s="182">
        <f>+E38/I38-1</f>
        <v>-5.6614780211187155E-2</v>
      </c>
      <c r="L38" s="694" t="s">
        <v>148</v>
      </c>
    </row>
    <row r="39" spans="1:18" ht="15.75" thickBot="1" x14ac:dyDescent="0.3">
      <c r="A39" s="7" t="s">
        <v>228</v>
      </c>
    </row>
    <row r="40" spans="1:18" x14ac:dyDescent="0.2">
      <c r="A40" s="8" t="s">
        <v>290</v>
      </c>
      <c r="C40" s="164" t="s">
        <v>765</v>
      </c>
      <c r="D40" s="754" t="s">
        <v>784</v>
      </c>
      <c r="E40" s="752"/>
      <c r="F40" s="752"/>
      <c r="G40" s="752"/>
      <c r="H40" s="753"/>
      <c r="I40" s="750" t="s">
        <v>785</v>
      </c>
      <c r="J40" s="749"/>
      <c r="K40" s="197"/>
    </row>
    <row r="41" spans="1:18" x14ac:dyDescent="0.2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5.5" x14ac:dyDescent="0.2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764</v>
      </c>
      <c r="L42" s="58" t="s">
        <v>163</v>
      </c>
    </row>
    <row r="43" spans="1:18" s="287" customFormat="1" ht="15" customHeight="1" x14ac:dyDescent="0.2">
      <c r="A43" s="296"/>
      <c r="B43" s="296" t="s">
        <v>187</v>
      </c>
      <c r="C43" s="475">
        <v>11438669.410000086</v>
      </c>
      <c r="D43" s="297">
        <v>11444895.810000001</v>
      </c>
      <c r="E43" s="297">
        <v>4626342.7100000381</v>
      </c>
      <c r="F43" s="347">
        <f t="shared" ref="F43:F59" si="5">+E43/D43</f>
        <v>0.40422759514837714</v>
      </c>
      <c r="G43" s="369">
        <v>4223869.7300000004</v>
      </c>
      <c r="H43" s="463">
        <f t="shared" ref="H43:H44" si="6">G43/E43</f>
        <v>0.91300407141691531</v>
      </c>
      <c r="I43" s="297">
        <v>6520056.4900000095</v>
      </c>
      <c r="J43" s="402">
        <v>1.0797534976580874</v>
      </c>
      <c r="K43" s="501">
        <f t="shared" ref="K43:K44" si="7">+E43/I43-1</f>
        <v>-0.29044438233079917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">
      <c r="A44" s="296"/>
      <c r="B44" s="296" t="s">
        <v>189</v>
      </c>
      <c r="C44" s="300">
        <v>170</v>
      </c>
      <c r="D44" s="297">
        <v>170851.72999999998</v>
      </c>
      <c r="E44" s="297">
        <v>285394.81</v>
      </c>
      <c r="F44" s="347">
        <f t="shared" si="5"/>
        <v>1.6704238815726362</v>
      </c>
      <c r="G44" s="297">
        <v>261933.40000000002</v>
      </c>
      <c r="H44" s="463">
        <f t="shared" si="6"/>
        <v>0.91779314417105207</v>
      </c>
      <c r="I44" s="297">
        <v>150000</v>
      </c>
      <c r="J44" s="402">
        <v>0.99893446989877466</v>
      </c>
      <c r="K44" s="501">
        <f t="shared" si="7"/>
        <v>0.90263206666666673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">
      <c r="A45" s="281"/>
      <c r="B45" s="281" t="s">
        <v>190</v>
      </c>
      <c r="C45" s="370">
        <v>3179057</v>
      </c>
      <c r="D45" s="284">
        <v>3179057</v>
      </c>
      <c r="E45" s="284">
        <v>3179057</v>
      </c>
      <c r="F45" s="374">
        <f t="shared" si="5"/>
        <v>1</v>
      </c>
      <c r="G45" s="284">
        <v>0</v>
      </c>
      <c r="H45" s="314" t="s">
        <v>129</v>
      </c>
      <c r="I45" s="284">
        <v>3179056.69</v>
      </c>
      <c r="J45" s="335">
        <v>0.93777483480825952</v>
      </c>
      <c r="K45" s="500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">
      <c r="A46" s="281"/>
      <c r="B46" s="281" t="s">
        <v>191</v>
      </c>
      <c r="C46" s="306">
        <v>1171005</v>
      </c>
      <c r="D46" s="284">
        <v>1171005</v>
      </c>
      <c r="E46" s="284">
        <v>1195304</v>
      </c>
      <c r="F46" s="374">
        <f t="shared" si="5"/>
        <v>1.0207505518763798</v>
      </c>
      <c r="G46" s="284">
        <v>0</v>
      </c>
      <c r="H46" s="703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">
      <c r="A47" s="281"/>
      <c r="B47" s="305" t="s">
        <v>192</v>
      </c>
      <c r="C47" s="306">
        <v>1502250</v>
      </c>
      <c r="D47" s="284">
        <v>1502250</v>
      </c>
      <c r="E47" s="125">
        <v>75112.47</v>
      </c>
      <c r="F47" s="374">
        <f t="shared" si="5"/>
        <v>4.9999980029955066E-2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">
      <c r="A48" s="281"/>
      <c r="B48" s="305" t="s">
        <v>193</v>
      </c>
      <c r="C48" s="306">
        <v>55432683.120000005</v>
      </c>
      <c r="D48" s="284">
        <v>55432683.120000005</v>
      </c>
      <c r="E48" s="125">
        <v>47317783.780000001</v>
      </c>
      <c r="F48" s="316">
        <f t="shared" si="5"/>
        <v>0.85360803621154391</v>
      </c>
      <c r="G48" s="125">
        <v>44647056.759999998</v>
      </c>
      <c r="H48" s="314">
        <f t="shared" ref="H48" si="8">G48/E48</f>
        <v>0.94355764774577522</v>
      </c>
      <c r="I48" s="125">
        <v>28464319.77</v>
      </c>
      <c r="J48" s="328">
        <v>0.56817870828105776</v>
      </c>
      <c r="K48" s="388">
        <f t="shared" ref="K48" si="9">+E48/I48-1</f>
        <v>0.66235427940458402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">
      <c r="A49" s="281"/>
      <c r="B49" s="305" t="s">
        <v>417</v>
      </c>
      <c r="C49" s="306">
        <v>0</v>
      </c>
      <c r="D49" s="284">
        <v>0</v>
      </c>
      <c r="E49" s="125">
        <v>0</v>
      </c>
      <c r="F49" s="316" t="s">
        <v>129</v>
      </c>
      <c r="G49" s="125">
        <v>0</v>
      </c>
      <c r="H49" s="703" t="s">
        <v>129</v>
      </c>
      <c r="I49" s="125"/>
      <c r="J49" s="328" t="s">
        <v>129</v>
      </c>
      <c r="K49" s="498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03" t="s">
        <v>129</v>
      </c>
      <c r="I50" s="125">
        <v>0</v>
      </c>
      <c r="J50" s="328" t="s">
        <v>129</v>
      </c>
      <c r="K50" s="498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">
      <c r="A51" s="281"/>
      <c r="B51" s="305" t="s">
        <v>194</v>
      </c>
      <c r="C51" s="306">
        <v>428254.71999999997</v>
      </c>
      <c r="D51" s="125">
        <v>608265.06000000006</v>
      </c>
      <c r="E51" s="125">
        <v>327017.65000000002</v>
      </c>
      <c r="F51" s="316">
        <f t="shared" si="5"/>
        <v>0.53762359784400571</v>
      </c>
      <c r="G51" s="125">
        <v>0</v>
      </c>
      <c r="H51" s="314" t="s">
        <v>129</v>
      </c>
      <c r="I51" s="125">
        <v>0</v>
      </c>
      <c r="J51" s="328">
        <v>0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">
      <c r="A52" s="318"/>
      <c r="B52" s="400" t="s">
        <v>195</v>
      </c>
      <c r="C52" s="306">
        <v>716307</v>
      </c>
      <c r="D52" s="125">
        <v>7002322.6299999999</v>
      </c>
      <c r="E52" s="319">
        <v>6943785.7599999998</v>
      </c>
      <c r="F52" s="378">
        <f t="shared" si="5"/>
        <v>0.99164036376313036</v>
      </c>
      <c r="G52" s="319">
        <v>6943785.7599999998</v>
      </c>
      <c r="H52" s="371">
        <f t="shared" ref="H52" si="10">G52/E52</f>
        <v>1</v>
      </c>
      <c r="I52" s="319">
        <v>4331161.03</v>
      </c>
      <c r="J52" s="328">
        <v>1.0206258722583372</v>
      </c>
      <c r="K52" s="501">
        <f t="shared" ref="K52:K53" si="11">+E52/I52-1</f>
        <v>0.60321579177119622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499" t="s">
        <v>129</v>
      </c>
      <c r="I53" s="302">
        <v>37291</v>
      </c>
      <c r="J53" s="403" t="s">
        <v>129</v>
      </c>
      <c r="K53" s="501">
        <f t="shared" si="11"/>
        <v>-1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">
      <c r="A54" s="309"/>
      <c r="B54" s="320" t="s">
        <v>408</v>
      </c>
      <c r="C54" s="321">
        <v>10</v>
      </c>
      <c r="D54" s="322">
        <v>10</v>
      </c>
      <c r="E54" s="323">
        <v>0</v>
      </c>
      <c r="F54" s="379" t="s">
        <v>129</v>
      </c>
      <c r="G54" s="323">
        <v>0</v>
      </c>
      <c r="H54" s="704" t="s">
        <v>129</v>
      </c>
      <c r="I54" s="323">
        <v>0</v>
      </c>
      <c r="J54" s="336" t="s">
        <v>129</v>
      </c>
      <c r="K54" s="702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">
      <c r="A55" s="281"/>
      <c r="B55" s="281" t="s">
        <v>418</v>
      </c>
      <c r="C55" s="282">
        <v>0</v>
      </c>
      <c r="D55" s="283">
        <v>0</v>
      </c>
      <c r="E55" s="284">
        <v>0</v>
      </c>
      <c r="F55" s="374" t="s">
        <v>129</v>
      </c>
      <c r="G55" s="284">
        <v>0</v>
      </c>
      <c r="H55" s="705" t="s">
        <v>129</v>
      </c>
      <c r="I55" s="284"/>
      <c r="J55" s="335" t="s">
        <v>129</v>
      </c>
      <c r="K55" s="498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">
      <c r="A56" s="281"/>
      <c r="B56" s="281" t="s">
        <v>199</v>
      </c>
      <c r="C56" s="306">
        <v>0</v>
      </c>
      <c r="D56" s="125">
        <v>0</v>
      </c>
      <c r="E56" s="284">
        <v>0</v>
      </c>
      <c r="F56" s="374" t="s">
        <v>129</v>
      </c>
      <c r="G56" s="284">
        <v>0</v>
      </c>
      <c r="H56" s="355" t="s">
        <v>129</v>
      </c>
      <c r="I56" s="284">
        <v>4036234.07</v>
      </c>
      <c r="J56" s="335">
        <v>7.1974816658978327E-2</v>
      </c>
      <c r="K56" s="388">
        <f t="shared" ref="K56:K58" si="12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396571.94</v>
      </c>
      <c r="J57" s="405">
        <v>0.88520522321428574</v>
      </c>
      <c r="K57" s="388">
        <f t="shared" si="12"/>
        <v>-1</v>
      </c>
      <c r="L57" s="289">
        <v>46402</v>
      </c>
      <c r="N57"/>
    </row>
    <row r="58" spans="1:18" s="287" customFormat="1" ht="15" customHeight="1" x14ac:dyDescent="0.2">
      <c r="A58" s="299"/>
      <c r="B58" s="299" t="s">
        <v>197</v>
      </c>
      <c r="C58" s="300">
        <v>1039935.91</v>
      </c>
      <c r="D58" s="301">
        <v>1094802.58</v>
      </c>
      <c r="E58" s="302">
        <v>2819274.69</v>
      </c>
      <c r="F58" s="361">
        <f t="shared" si="5"/>
        <v>2.5751443607303153</v>
      </c>
      <c r="G58" s="302">
        <v>2819274.69</v>
      </c>
      <c r="H58" s="371">
        <f t="shared" ref="H58" si="13">G58/E58</f>
        <v>1</v>
      </c>
      <c r="I58" s="302">
        <v>884762.82</v>
      </c>
      <c r="J58" s="403">
        <v>1.4277332639489493</v>
      </c>
      <c r="K58" s="388">
        <f t="shared" si="12"/>
        <v>2.1864750939692517</v>
      </c>
      <c r="L58" s="289">
        <v>49</v>
      </c>
      <c r="N58"/>
    </row>
    <row r="59" spans="1:18" s="287" customFormat="1" ht="15" customHeight="1" x14ac:dyDescent="0.2">
      <c r="A59" s="309"/>
      <c r="B59" s="309" t="s">
        <v>198</v>
      </c>
      <c r="C59" s="393">
        <v>400</v>
      </c>
      <c r="D59" s="393">
        <v>538785.98</v>
      </c>
      <c r="E59" s="326">
        <v>777234.51</v>
      </c>
      <c r="F59" s="381">
        <f t="shared" si="5"/>
        <v>1.4425663229024632</v>
      </c>
      <c r="G59" s="326">
        <v>741734.51</v>
      </c>
      <c r="H59" s="356">
        <f t="shared" ref="H59" si="14">G59/E59</f>
        <v>0.9543252396242673</v>
      </c>
      <c r="I59" s="326">
        <v>401166.85000000102</v>
      </c>
      <c r="J59" s="404">
        <v>1.7906947242140314</v>
      </c>
      <c r="K59" s="540">
        <f t="shared" ref="K59" si="15">+E59/I59-1</f>
        <v>0.93743453627835405</v>
      </c>
      <c r="L59" s="289" t="s">
        <v>759</v>
      </c>
      <c r="N59"/>
    </row>
    <row r="60" spans="1:18" ht="15" customHeight="1" x14ac:dyDescent="0.2">
      <c r="A60" s="9"/>
      <c r="B60" s="2" t="s">
        <v>204</v>
      </c>
      <c r="C60" s="162">
        <f>SUM(C43:C59)</f>
        <v>75356832.160000086</v>
      </c>
      <c r="D60" s="152">
        <f>SUM(D43:D59)</f>
        <v>82593018.909999996</v>
      </c>
      <c r="E60" s="84">
        <f>SUM(E43:E59)</f>
        <v>67546307.38000004</v>
      </c>
      <c r="F60" s="90">
        <f t="shared" si="0"/>
        <v>0.81782102496585019</v>
      </c>
      <c r="G60" s="84">
        <f>SUM(G43:G59)</f>
        <v>59637654.849999994</v>
      </c>
      <c r="H60" s="170">
        <f t="shared" si="4"/>
        <v>0.88291510170189202</v>
      </c>
      <c r="I60" s="84">
        <f>SUM(I43:I59)</f>
        <v>48400620.660000011</v>
      </c>
      <c r="J60" s="43">
        <v>0.3872853420771179</v>
      </c>
      <c r="K60" s="144">
        <f t="shared" si="2"/>
        <v>0.39556696709517003</v>
      </c>
      <c r="M60" s="46"/>
      <c r="N60" s="46"/>
      <c r="O60" s="46"/>
      <c r="P60" s="46"/>
    </row>
    <row r="61" spans="1:18" s="287" customFormat="1" ht="15" customHeight="1" x14ac:dyDescent="0.2">
      <c r="A61" s="281"/>
      <c r="B61" s="281" t="s">
        <v>206</v>
      </c>
      <c r="C61" s="282">
        <v>3700000</v>
      </c>
      <c r="D61" s="283">
        <v>3700000</v>
      </c>
      <c r="E61" s="284">
        <v>2433818.54</v>
      </c>
      <c r="F61" s="374">
        <f t="shared" ref="F61:F66" si="16">+E61/D61</f>
        <v>0.65778879459459461</v>
      </c>
      <c r="G61" s="284">
        <v>1233818.54</v>
      </c>
      <c r="H61" s="355">
        <f t="shared" ref="H61:H66" si="17">+G61/E61</f>
        <v>0.50694762971112872</v>
      </c>
      <c r="I61" s="284">
        <v>1722706.4</v>
      </c>
      <c r="J61" s="335">
        <v>0.4655963243243243</v>
      </c>
      <c r="K61" s="285">
        <f t="shared" si="2"/>
        <v>0.41278777393524524</v>
      </c>
      <c r="L61" s="289" t="s">
        <v>207</v>
      </c>
      <c r="N61"/>
    </row>
    <row r="62" spans="1:18" s="287" customFormat="1" ht="15" customHeight="1" x14ac:dyDescent="0.2">
      <c r="A62" s="281"/>
      <c r="B62" s="281" t="s">
        <v>208</v>
      </c>
      <c r="C62" s="282">
        <v>1443010</v>
      </c>
      <c r="D62" s="283">
        <v>1443010</v>
      </c>
      <c r="E62" s="284">
        <v>1971889.2</v>
      </c>
      <c r="F62" s="374">
        <f t="shared" si="16"/>
        <v>1.3665111121891047</v>
      </c>
      <c r="G62" s="284">
        <v>888813.07</v>
      </c>
      <c r="H62" s="355">
        <f t="shared" si="17"/>
        <v>0.45074189259721081</v>
      </c>
      <c r="I62" s="284">
        <v>1346916.08</v>
      </c>
      <c r="J62" s="335">
        <v>0.66628218091158231</v>
      </c>
      <c r="K62" s="285">
        <f t="shared" si="2"/>
        <v>0.46400301346168482</v>
      </c>
      <c r="L62" s="289">
        <v>54</v>
      </c>
      <c r="N62"/>
    </row>
    <row r="63" spans="1:18" s="287" customFormat="1" ht="15" customHeight="1" x14ac:dyDescent="0.2">
      <c r="A63" s="281"/>
      <c r="B63" s="281" t="s">
        <v>209</v>
      </c>
      <c r="C63" s="282">
        <v>3599000</v>
      </c>
      <c r="D63" s="283">
        <v>3599000</v>
      </c>
      <c r="E63" s="284">
        <v>2758852.37</v>
      </c>
      <c r="F63" s="374">
        <f t="shared" si="16"/>
        <v>0.76656081411503196</v>
      </c>
      <c r="G63" s="284">
        <v>2655323.2799999998</v>
      </c>
      <c r="H63" s="355">
        <f t="shared" si="17"/>
        <v>0.96247385647532846</v>
      </c>
      <c r="I63" s="284">
        <v>3440052.7</v>
      </c>
      <c r="J63" s="335">
        <v>1.125671695026178</v>
      </c>
      <c r="K63" s="285">
        <f t="shared" si="2"/>
        <v>-0.1980203181189637</v>
      </c>
      <c r="L63" s="289">
        <v>55000</v>
      </c>
      <c r="N63"/>
    </row>
    <row r="64" spans="1:18" s="287" customFormat="1" ht="15" customHeight="1" x14ac:dyDescent="0.2">
      <c r="A64" s="281"/>
      <c r="B64" s="281" t="s">
        <v>210</v>
      </c>
      <c r="C64" s="282">
        <v>30755019.989999995</v>
      </c>
      <c r="D64" s="283">
        <v>30755019.989999998</v>
      </c>
      <c r="E64" s="284">
        <v>27001931.18</v>
      </c>
      <c r="F64" s="374">
        <f t="shared" si="16"/>
        <v>0.8779682532731139</v>
      </c>
      <c r="G64" s="284">
        <v>24572346.739999998</v>
      </c>
      <c r="H64" s="355">
        <f t="shared" si="17"/>
        <v>0.91002182681661059</v>
      </c>
      <c r="I64" s="284">
        <v>20698945.130000003</v>
      </c>
      <c r="J64" s="335">
        <v>0.67440762505221641</v>
      </c>
      <c r="K64" s="285">
        <f t="shared" si="2"/>
        <v>0.30450759738788657</v>
      </c>
      <c r="L64" s="289" t="s">
        <v>416</v>
      </c>
      <c r="N64"/>
    </row>
    <row r="65" spans="1:14" s="287" customFormat="1" ht="15" customHeight="1" x14ac:dyDescent="0.2">
      <c r="A65" s="281"/>
      <c r="B65" s="281" t="s">
        <v>211</v>
      </c>
      <c r="C65" s="282">
        <v>2600060</v>
      </c>
      <c r="D65" s="283">
        <v>2600060</v>
      </c>
      <c r="E65" s="284">
        <v>2486711.5099999998</v>
      </c>
      <c r="F65" s="374">
        <f t="shared" si="16"/>
        <v>0.95640543295154723</v>
      </c>
      <c r="G65" s="284">
        <v>2094942.55</v>
      </c>
      <c r="H65" s="355">
        <f t="shared" si="17"/>
        <v>0.84245500194753198</v>
      </c>
      <c r="I65" s="284">
        <v>2307128.91</v>
      </c>
      <c r="J65" s="335">
        <v>0.86537670477562234</v>
      </c>
      <c r="K65" s="285">
        <f t="shared" si="2"/>
        <v>7.7838129989884042E-2</v>
      </c>
      <c r="L65" s="289" t="s">
        <v>212</v>
      </c>
      <c r="N65"/>
    </row>
    <row r="66" spans="1:14" s="287" customFormat="1" ht="15" customHeight="1" x14ac:dyDescent="0.2">
      <c r="A66" s="281"/>
      <c r="B66" s="309" t="s">
        <v>213</v>
      </c>
      <c r="C66" s="497">
        <v>20.009999999999998</v>
      </c>
      <c r="D66" s="292">
        <v>20.009999999999998</v>
      </c>
      <c r="E66" s="294">
        <v>1242215.24</v>
      </c>
      <c r="F66" s="374">
        <f t="shared" si="16"/>
        <v>62079.722138930541</v>
      </c>
      <c r="G66" s="294">
        <v>1242215.24</v>
      </c>
      <c r="H66" s="355">
        <f t="shared" si="17"/>
        <v>1</v>
      </c>
      <c r="I66" s="292">
        <v>0</v>
      </c>
      <c r="J66" s="539" t="s">
        <v>129</v>
      </c>
      <c r="K66" s="312" t="s">
        <v>129</v>
      </c>
      <c r="L66" s="286" t="s">
        <v>214</v>
      </c>
    </row>
    <row r="67" spans="1:14" ht="15" customHeight="1" thickBot="1" x14ac:dyDescent="0.25">
      <c r="A67" s="9"/>
      <c r="B67" s="535" t="s">
        <v>42</v>
      </c>
      <c r="C67" s="514">
        <f>SUM(C61:C66)</f>
        <v>42097109.999999993</v>
      </c>
      <c r="D67" s="152">
        <f>SUM(D61:D66)</f>
        <v>42097109.999999993</v>
      </c>
      <c r="E67" s="84">
        <f>SUM(E61:E66)</f>
        <v>37895418.039999999</v>
      </c>
      <c r="F67" s="90">
        <f t="shared" si="0"/>
        <v>0.90019048908583055</v>
      </c>
      <c r="G67" s="84">
        <f>SUM(G61:G66)</f>
        <v>32687459.419999998</v>
      </c>
      <c r="H67" s="170">
        <f t="shared" si="4"/>
        <v>0.86257022908408587</v>
      </c>
      <c r="I67" s="84">
        <f>SUM(I61:I66)</f>
        <v>29515749.220000003</v>
      </c>
      <c r="J67" s="43">
        <v>0.70049368943947909</v>
      </c>
      <c r="K67" s="231">
        <f>+E67/I67-1</f>
        <v>0.28390500127714513</v>
      </c>
    </row>
    <row r="68" spans="1:14" s="6" customFormat="1" ht="19.5" customHeight="1" thickBot="1" x14ac:dyDescent="0.25">
      <c r="A68" s="5"/>
      <c r="B68" s="4" t="s">
        <v>205</v>
      </c>
      <c r="C68" s="163">
        <f>+C11+C14+C38+C60+C67</f>
        <v>2506271621.5100002</v>
      </c>
      <c r="D68" s="154">
        <f>+D11+D14+D38+D60+D67</f>
        <v>2513507808.2599998</v>
      </c>
      <c r="E68" s="155">
        <f>+E11+E14+E38+E60+E67</f>
        <v>2061875180.26</v>
      </c>
      <c r="F68" s="181">
        <f t="shared" si="0"/>
        <v>0.82031779391501203</v>
      </c>
      <c r="G68" s="155">
        <f>+G11+G14+G38+G60+G67</f>
        <v>1815406902.3300002</v>
      </c>
      <c r="H68" s="173">
        <f t="shared" si="4"/>
        <v>0.88046401630436211</v>
      </c>
      <c r="I68" s="147">
        <f>+I11+I14+I38+I60+I67</f>
        <v>1986056896.5999999</v>
      </c>
      <c r="J68" s="183">
        <v>0.8401849954969034</v>
      </c>
      <c r="K68" s="146">
        <f t="shared" si="2"/>
        <v>3.8175282787616061E-2</v>
      </c>
      <c r="L68" s="14"/>
    </row>
    <row r="69" spans="1:14" x14ac:dyDescent="0.2">
      <c r="D69" s="46"/>
      <c r="F69" s="382"/>
    </row>
    <row r="72" spans="1:14" x14ac:dyDescent="0.2">
      <c r="B72" s="254"/>
    </row>
    <row r="73" spans="1:14" x14ac:dyDescent="0.2">
      <c r="E73" s="46"/>
      <c r="G73" s="46"/>
    </row>
    <row r="74" spans="1:14" x14ac:dyDescent="0.2">
      <c r="E74" s="46"/>
    </row>
    <row r="75" spans="1:14" x14ac:dyDescent="0.2">
      <c r="E75" s="254"/>
    </row>
    <row r="76" spans="1:14" x14ac:dyDescent="0.2">
      <c r="E76" s="46"/>
    </row>
    <row r="77" spans="1:14" x14ac:dyDescent="0.2">
      <c r="E77" s="46"/>
    </row>
    <row r="78" spans="1:14" x14ac:dyDescent="0.2">
      <c r="C78" s="46"/>
    </row>
    <row r="80" spans="1:14" x14ac:dyDescent="0.2">
      <c r="C80" s="254"/>
      <c r="E80" s="46"/>
    </row>
    <row r="81" spans="5:5" x14ac:dyDescent="0.2">
      <c r="E81" s="46"/>
    </row>
    <row r="82" spans="5:5" x14ac:dyDescent="0.2">
      <c r="E82" s="46"/>
    </row>
    <row r="83" spans="5:5" x14ac:dyDescent="0.2">
      <c r="E83" s="254"/>
    </row>
    <row r="137" spans="12:15" x14ac:dyDescent="0.2">
      <c r="L137" s="680"/>
      <c r="O137" s="681">
        <v>0.58699999999999997</v>
      </c>
    </row>
    <row r="138" spans="12:15" x14ac:dyDescent="0.2">
      <c r="L138" s="680"/>
      <c r="O138" s="681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28515625" style="97" bestFit="1" customWidth="1"/>
  </cols>
  <sheetData>
    <row r="1" spans="1:16" ht="15.75" thickBot="1" x14ac:dyDescent="0.3">
      <c r="A1" s="7" t="s">
        <v>529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13414557.82</v>
      </c>
      <c r="D5" s="204">
        <v>17237717.960000001</v>
      </c>
      <c r="E5" s="180">
        <v>13877838.1</v>
      </c>
      <c r="F5" s="48">
        <f>E5/D5</f>
        <v>0.80508557642046485</v>
      </c>
      <c r="G5" s="30">
        <v>13816995.18</v>
      </c>
      <c r="H5" s="48">
        <f>G5/D5</f>
        <v>0.80155593751227605</v>
      </c>
      <c r="I5" s="180">
        <v>13816995.18</v>
      </c>
      <c r="J5" s="153">
        <f>I5/D5</f>
        <v>0.80155593751227605</v>
      </c>
      <c r="K5" s="180">
        <v>11437952.59</v>
      </c>
      <c r="L5" s="48">
        <v>0.8221270433600254</v>
      </c>
      <c r="M5" s="210">
        <f>+G5/K5-1</f>
        <v>0.20799549318642518</v>
      </c>
      <c r="N5" s="180">
        <v>11437952.59</v>
      </c>
      <c r="O5" s="48">
        <v>0.8221270433600254</v>
      </c>
      <c r="P5" s="210">
        <f>+I5/N5-1</f>
        <v>0.20799549318642518</v>
      </c>
    </row>
    <row r="6" spans="1:16" ht="15" customHeight="1" x14ac:dyDescent="0.2">
      <c r="A6" s="23">
        <v>2</v>
      </c>
      <c r="B6" s="23" t="s">
        <v>1</v>
      </c>
      <c r="C6" s="159">
        <v>22125531.309999999</v>
      </c>
      <c r="D6" s="204">
        <v>23175155.420000002</v>
      </c>
      <c r="E6" s="34">
        <v>21406474.859999999</v>
      </c>
      <c r="F6" s="48">
        <f>E6/D6</f>
        <v>0.92368204105014795</v>
      </c>
      <c r="G6" s="34">
        <v>20114648.359999999</v>
      </c>
      <c r="H6" s="48">
        <f>G6/D6</f>
        <v>0.86794017107825716</v>
      </c>
      <c r="I6" s="34">
        <v>12698874.630000001</v>
      </c>
      <c r="J6" s="153">
        <f>I6/D6</f>
        <v>0.54795208057336087</v>
      </c>
      <c r="K6" s="34">
        <v>8924385</v>
      </c>
      <c r="L6" s="280">
        <v>0.72410486282515651</v>
      </c>
      <c r="M6" s="210">
        <f>+G6/K6-1</f>
        <v>1.253897423744045</v>
      </c>
      <c r="N6" s="34">
        <v>5914755.6299999999</v>
      </c>
      <c r="O6" s="280">
        <v>0.47991019147038949</v>
      </c>
      <c r="P6" s="210">
        <f>+I6/N6-1</f>
        <v>1.1469821281526049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">
      <c r="A8" s="24">
        <v>4</v>
      </c>
      <c r="B8" s="24" t="s">
        <v>3</v>
      </c>
      <c r="C8" s="161">
        <v>37118559.759999998</v>
      </c>
      <c r="D8" s="206">
        <v>35596077.759999998</v>
      </c>
      <c r="E8" s="34">
        <v>33403507.949999999</v>
      </c>
      <c r="F8" s="390">
        <f>E8/D8</f>
        <v>0.93840417405583287</v>
      </c>
      <c r="G8" s="34">
        <v>32763207.850000001</v>
      </c>
      <c r="H8" s="390">
        <f>G8/D8</f>
        <v>0.92041623436435605</v>
      </c>
      <c r="I8" s="34">
        <v>22520511.059999999</v>
      </c>
      <c r="J8" s="392">
        <f>I8/D8</f>
        <v>0.6326683296918385</v>
      </c>
      <c r="K8" s="34">
        <v>147122122.46000001</v>
      </c>
      <c r="L8" s="390">
        <v>0.99481419463210385</v>
      </c>
      <c r="M8" s="515">
        <f>+G8/K8-1</f>
        <v>-0.77730604138811443</v>
      </c>
      <c r="N8" s="34">
        <v>125758339.95</v>
      </c>
      <c r="O8" s="390">
        <v>0.85035601433525965</v>
      </c>
      <c r="P8" s="515">
        <f>+I8/N8-1</f>
        <v>-0.82092232555746292</v>
      </c>
    </row>
    <row r="9" spans="1:16" ht="15" customHeight="1" x14ac:dyDescent="0.2">
      <c r="A9" s="9"/>
      <c r="B9" s="2" t="s">
        <v>4</v>
      </c>
      <c r="C9" s="162">
        <f>SUM(C5:C8)</f>
        <v>72658648.889999986</v>
      </c>
      <c r="D9" s="152">
        <f>SUM(D5:D8)</f>
        <v>76008951.140000001</v>
      </c>
      <c r="E9" s="84">
        <f>SUM(E5:E8)</f>
        <v>68687820.909999996</v>
      </c>
      <c r="F9" s="90">
        <f>E9/D9</f>
        <v>0.90368068339062724</v>
      </c>
      <c r="G9" s="84">
        <f t="shared" ref="G9:I9" si="0">SUM(G5:G8)</f>
        <v>66694851.390000001</v>
      </c>
      <c r="H9" s="90">
        <f>G9/D9</f>
        <v>0.87746048839899837</v>
      </c>
      <c r="I9" s="84">
        <f t="shared" si="0"/>
        <v>49036380.870000005</v>
      </c>
      <c r="J9" s="170">
        <f>I9/D9</f>
        <v>0.64513955441485393</v>
      </c>
      <c r="K9" s="84">
        <f t="shared" ref="K9" si="1">SUM(K5:K8)</f>
        <v>167484460.05000001</v>
      </c>
      <c r="L9" s="90">
        <v>0.96185567547743278</v>
      </c>
      <c r="M9" s="213">
        <f>+G9/K9-1</f>
        <v>-0.60178483800772176</v>
      </c>
      <c r="N9" s="84">
        <f t="shared" ref="N9" si="2">SUM(N5:N8)</f>
        <v>143111048.17000002</v>
      </c>
      <c r="O9" s="90">
        <v>0.82188027393553265</v>
      </c>
      <c r="P9" s="213">
        <f>+I9/N9-1</f>
        <v>-0.65735433080086003</v>
      </c>
    </row>
    <row r="10" spans="1:16" ht="15" customHeight="1" x14ac:dyDescent="0.2">
      <c r="A10" s="21">
        <v>6</v>
      </c>
      <c r="B10" s="21" t="s">
        <v>5</v>
      </c>
      <c r="C10" s="159">
        <v>271731.53000000003</v>
      </c>
      <c r="D10" s="204">
        <v>355128.71</v>
      </c>
      <c r="E10" s="30">
        <v>281179.36</v>
      </c>
      <c r="F10" s="390">
        <f>E10/D10</f>
        <v>0.79176746932119335</v>
      </c>
      <c r="G10" s="136">
        <v>281179.36</v>
      </c>
      <c r="H10" s="48">
        <f>G10/D10</f>
        <v>0.79176746932119335</v>
      </c>
      <c r="I10" s="136">
        <v>181575.97</v>
      </c>
      <c r="J10" s="512">
        <f>I10/D10</f>
        <v>0.51129622834492883</v>
      </c>
      <c r="K10" s="136">
        <v>263374.67</v>
      </c>
      <c r="L10" s="48">
        <v>0.2271350344848117</v>
      </c>
      <c r="M10" s="224">
        <f>+G10/K10-1</f>
        <v>6.7602135011692654E-2</v>
      </c>
      <c r="N10" s="136">
        <v>69771.649999999994</v>
      </c>
      <c r="O10" s="417">
        <v>6.0171261453549091E-2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76">
        <v>3899248.15</v>
      </c>
      <c r="D11" s="511">
        <v>513654</v>
      </c>
      <c r="E11" s="180">
        <v>513654</v>
      </c>
      <c r="F11" s="390">
        <f>E11/D11</f>
        <v>1</v>
      </c>
      <c r="G11" s="180">
        <v>333764.90000000002</v>
      </c>
      <c r="H11" s="390">
        <f>G11/D11</f>
        <v>0.64978545869398474</v>
      </c>
      <c r="I11" s="137">
        <v>148925.9</v>
      </c>
      <c r="J11" s="392">
        <f>I11/D11</f>
        <v>0.28993427482312994</v>
      </c>
      <c r="K11" s="180">
        <v>4376793</v>
      </c>
      <c r="L11" s="390">
        <v>0.96686395865682395</v>
      </c>
      <c r="M11" s="496">
        <f>+G11/K11-1</f>
        <v>-0.92374213265283511</v>
      </c>
      <c r="N11" s="137">
        <v>3000000</v>
      </c>
      <c r="O11" s="390">
        <v>0.6627208268635213</v>
      </c>
      <c r="P11" s="496">
        <f>+I11/N11-1</f>
        <v>-0.95035803333333335</v>
      </c>
    </row>
    <row r="12" spans="1:16" ht="15" customHeight="1" x14ac:dyDescent="0.2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868782.71</v>
      </c>
      <c r="E12" s="84">
        <f t="shared" si="3"/>
        <v>794833.36</v>
      </c>
      <c r="F12" s="90">
        <f>E12/D12</f>
        <v>0.91488165090209961</v>
      </c>
      <c r="G12" s="84">
        <f t="shared" si="3"/>
        <v>614944.26</v>
      </c>
      <c r="H12" s="90">
        <f>G12/D12</f>
        <v>0.70782285711003623</v>
      </c>
      <c r="I12" s="84">
        <f t="shared" si="3"/>
        <v>330501.87</v>
      </c>
      <c r="J12" s="170">
        <f>I12/D12</f>
        <v>0.38041948371647499</v>
      </c>
      <c r="K12" s="152">
        <f t="shared" ref="K12" si="4">SUM(K10:K11)</f>
        <v>4640167.67</v>
      </c>
      <c r="L12" s="90">
        <v>0.81601950586155692</v>
      </c>
      <c r="M12" s="225">
        <f>+G12/K12-1</f>
        <v>-0.8674736984234882</v>
      </c>
      <c r="N12" s="84">
        <f t="shared" ref="N12" si="5">SUM(N10:N11)</f>
        <v>3069771.65</v>
      </c>
      <c r="O12" s="90">
        <v>0.5398497905875923</v>
      </c>
      <c r="P12" s="225">
        <f>+I12/N12-1</f>
        <v>-0.89233665963395026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35" t="s">
        <v>129</v>
      </c>
      <c r="N15" s="84">
        <f t="shared" ref="N15" si="8">SUM(N13:N14)</f>
        <v>0</v>
      </c>
      <c r="O15" s="58" t="s">
        <v>129</v>
      </c>
      <c r="P15" s="635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76877733.849999994</v>
      </c>
      <c r="E16" s="155">
        <f t="shared" si="9"/>
        <v>69482654.269999996</v>
      </c>
      <c r="F16" s="181">
        <f>E16/D16</f>
        <v>0.90380726369446696</v>
      </c>
      <c r="G16" s="155">
        <f t="shared" si="9"/>
        <v>67309795.650000006</v>
      </c>
      <c r="H16" s="181">
        <f>G16/D16</f>
        <v>0.87554344124309813</v>
      </c>
      <c r="I16" s="155">
        <f t="shared" si="9"/>
        <v>49366882.740000002</v>
      </c>
      <c r="J16" s="173">
        <f>I16/D16</f>
        <v>0.64214799614570073</v>
      </c>
      <c r="K16" s="155">
        <f t="shared" ref="K16" si="10">+K9+K12+K15</f>
        <v>172124627.72</v>
      </c>
      <c r="L16" s="181">
        <v>0.95724379621311162</v>
      </c>
      <c r="M16" s="600">
        <f>+G16/K16-1</f>
        <v>-0.60894732763347059</v>
      </c>
      <c r="N16" s="155">
        <f t="shared" ref="N16" si="11">+N9+N12+N15</f>
        <v>146180819.82000002</v>
      </c>
      <c r="O16" s="181">
        <v>0.81296142656395975</v>
      </c>
      <c r="P16" s="600">
        <f>+I16/N16-1</f>
        <v>-0.66228891860924033</v>
      </c>
    </row>
    <row r="21" spans="10:14" x14ac:dyDescent="0.2">
      <c r="J21" s="97" t="s">
        <v>148</v>
      </c>
    </row>
    <row r="24" spans="10:14" x14ac:dyDescent="0.2">
      <c r="N24" s="683"/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5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28515625" style="97" bestFit="1" customWidth="1"/>
  </cols>
  <sheetData>
    <row r="1" spans="1:13" ht="15" x14ac:dyDescent="0.25">
      <c r="A1" s="7" t="s">
        <v>538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6" customFormat="1" x14ac:dyDescent="0.2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D138"/>
  <sheetViews>
    <sheetView zoomScaleNormal="100" workbookViewId="0">
      <selection activeCell="J21" sqref="J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442" bestFit="1" customWidth="1"/>
    <col min="16" max="16" width="9" style="97" bestFit="1" customWidth="1"/>
  </cols>
  <sheetData>
    <row r="1" spans="1:16384" ht="15.75" thickBot="1" x14ac:dyDescent="0.3">
      <c r="A1" s="7" t="s">
        <v>128</v>
      </c>
    </row>
    <row r="2" spans="1:16384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384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6" t="s">
        <v>544</v>
      </c>
      <c r="M3" s="88" t="s">
        <v>545</v>
      </c>
      <c r="N3" s="217" t="s">
        <v>39</v>
      </c>
      <c r="O3" s="636" t="s">
        <v>40</v>
      </c>
      <c r="P3" s="604" t="s">
        <v>362</v>
      </c>
    </row>
    <row r="4" spans="1:16384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4" t="s">
        <v>17</v>
      </c>
      <c r="O4" s="637" t="s">
        <v>18</v>
      </c>
      <c r="P4" s="580" t="s">
        <v>764</v>
      </c>
    </row>
    <row r="5" spans="1:16384" ht="15" customHeight="1" x14ac:dyDescent="0.2">
      <c r="A5" s="21">
        <v>1</v>
      </c>
      <c r="B5" s="21" t="s">
        <v>0</v>
      </c>
      <c r="C5" s="159">
        <v>43095322.840000004</v>
      </c>
      <c r="D5" s="204">
        <v>46927417.899999999</v>
      </c>
      <c r="E5" s="30">
        <v>38191521.399999999</v>
      </c>
      <c r="F5" s="48">
        <f>E5/D5</f>
        <v>0.81384237848722552</v>
      </c>
      <c r="G5" s="30">
        <v>38191521.399999999</v>
      </c>
      <c r="H5" s="48">
        <f>G5/D5</f>
        <v>0.81384237848722552</v>
      </c>
      <c r="I5" s="30">
        <v>38189779</v>
      </c>
      <c r="J5" s="153">
        <f>I5/D5</f>
        <v>0.81380524880743543</v>
      </c>
      <c r="K5" s="30">
        <v>39528684.5</v>
      </c>
      <c r="L5" s="48">
        <v>0.83309684861527344</v>
      </c>
      <c r="M5" s="210">
        <f>+G5/K5-1</f>
        <v>-3.3827665071930246E-2</v>
      </c>
      <c r="N5" s="682">
        <v>39528684.5</v>
      </c>
      <c r="O5" s="48">
        <v>0.83309684861527344</v>
      </c>
      <c r="P5" s="210">
        <f>+I5/N5-1</f>
        <v>-3.3871744454334163E-2</v>
      </c>
    </row>
    <row r="6" spans="1:16384" ht="15" customHeight="1" x14ac:dyDescent="0.2">
      <c r="A6" s="23">
        <v>2</v>
      </c>
      <c r="B6" s="23" t="s">
        <v>1</v>
      </c>
      <c r="C6" s="160">
        <v>175815344.53999999</v>
      </c>
      <c r="D6" s="205">
        <v>181064157.97999999</v>
      </c>
      <c r="E6" s="32">
        <v>174516509.90000001</v>
      </c>
      <c r="F6" s="48">
        <f>E6/D6</f>
        <v>0.96383796686739498</v>
      </c>
      <c r="G6" s="32">
        <v>171583908.30000001</v>
      </c>
      <c r="H6" s="48">
        <f>G6/D6</f>
        <v>0.94764148915078406</v>
      </c>
      <c r="I6" s="32">
        <v>110216543.72</v>
      </c>
      <c r="J6" s="153">
        <f>I6/D6</f>
        <v>0.60871541308674859</v>
      </c>
      <c r="K6" s="32">
        <v>164104474.78999999</v>
      </c>
      <c r="L6" s="280">
        <v>0.94209288537631009</v>
      </c>
      <c r="M6" s="210">
        <f>+G6/K6-1</f>
        <v>4.5577267283974043E-2</v>
      </c>
      <c r="N6" s="32">
        <v>105564087.16</v>
      </c>
      <c r="O6" s="280">
        <v>0.60602354440331763</v>
      </c>
      <c r="P6" s="210">
        <f>+I6/N6-1</f>
        <v>4.4072342073573134E-2</v>
      </c>
    </row>
    <row r="7" spans="1:16384" ht="15" customHeight="1" x14ac:dyDescent="0.2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">
      <c r="A8" s="24">
        <v>4</v>
      </c>
      <c r="B8" s="24" t="s">
        <v>3</v>
      </c>
      <c r="C8" s="161">
        <v>108768371</v>
      </c>
      <c r="D8" s="206">
        <v>108254253.11</v>
      </c>
      <c r="E8" s="34">
        <v>106638376.89</v>
      </c>
      <c r="F8" s="390">
        <f>E8/D8</f>
        <v>0.98507332346233023</v>
      </c>
      <c r="G8" s="34">
        <v>106550171.33</v>
      </c>
      <c r="H8" s="390">
        <f>G8/D8</f>
        <v>0.98425852351252718</v>
      </c>
      <c r="I8" s="34">
        <v>101436493.29000001</v>
      </c>
      <c r="J8" s="392">
        <f>I8/D8</f>
        <v>0.93702085946616542</v>
      </c>
      <c r="K8" s="34">
        <v>105007811.04000001</v>
      </c>
      <c r="L8" s="390">
        <v>0.98350484948046646</v>
      </c>
      <c r="M8" s="515">
        <f>+G8/K8-1</f>
        <v>1.4688052962197995E-2</v>
      </c>
      <c r="N8" s="34">
        <v>102292868.06999999</v>
      </c>
      <c r="O8" s="390">
        <v>0.95807664989595376</v>
      </c>
      <c r="P8" s="515">
        <f>+I8/N8-1</f>
        <v>-8.3717936172633678E-3</v>
      </c>
    </row>
    <row r="9" spans="1:16384" ht="15" customHeight="1" x14ac:dyDescent="0.2">
      <c r="A9" s="24">
        <v>5</v>
      </c>
      <c r="B9" s="24" t="s">
        <v>453</v>
      </c>
      <c r="C9" s="161">
        <v>450000</v>
      </c>
      <c r="D9" s="206">
        <v>0</v>
      </c>
      <c r="E9" s="34">
        <v>0</v>
      </c>
      <c r="F9" s="390" t="s">
        <v>129</v>
      </c>
      <c r="G9" s="34">
        <v>0</v>
      </c>
      <c r="H9" s="390" t="s">
        <v>129</v>
      </c>
      <c r="I9" s="34">
        <v>0</v>
      </c>
      <c r="J9" s="392" t="s">
        <v>129</v>
      </c>
      <c r="K9" s="34"/>
      <c r="L9" s="390" t="s">
        <v>129</v>
      </c>
      <c r="M9" s="515" t="s">
        <v>129</v>
      </c>
      <c r="N9" s="34"/>
      <c r="O9" s="390" t="s">
        <v>129</v>
      </c>
      <c r="P9" s="515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5"/>
      <c r="AD9" s="34"/>
      <c r="AE9" s="390"/>
      <c r="AF9" s="515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5"/>
      <c r="AT9" s="34"/>
      <c r="AU9" s="390"/>
      <c r="AV9" s="515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5"/>
      <c r="BJ9" s="34"/>
      <c r="BK9" s="390"/>
      <c r="BL9" s="515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5"/>
      <c r="BZ9" s="34"/>
      <c r="CA9" s="390"/>
      <c r="CB9" s="515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5"/>
      <c r="CP9" s="34"/>
      <c r="CQ9" s="390"/>
      <c r="CR9" s="515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5"/>
      <c r="DF9" s="34"/>
      <c r="DG9" s="390"/>
      <c r="DH9" s="515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5"/>
      <c r="DV9" s="34"/>
      <c r="DW9" s="390"/>
      <c r="DX9" s="515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5"/>
      <c r="EL9" s="34"/>
      <c r="EM9" s="390"/>
      <c r="EN9" s="515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5"/>
      <c r="FB9" s="34"/>
      <c r="FC9" s="390"/>
      <c r="FD9" s="515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5"/>
      <c r="FR9" s="34"/>
      <c r="FS9" s="390"/>
      <c r="FT9" s="515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5"/>
      <c r="GH9" s="34"/>
      <c r="GI9" s="390"/>
      <c r="GJ9" s="515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5"/>
      <c r="GX9" s="34"/>
      <c r="GY9" s="390"/>
      <c r="GZ9" s="515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5"/>
      <c r="HN9" s="34"/>
      <c r="HO9" s="390"/>
      <c r="HP9" s="515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5"/>
      <c r="ID9" s="34"/>
      <c r="IE9" s="390"/>
      <c r="IF9" s="515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5"/>
      <c r="IT9" s="34"/>
      <c r="IU9" s="390"/>
      <c r="IV9" s="515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5"/>
      <c r="JJ9" s="34"/>
      <c r="JK9" s="390"/>
      <c r="JL9" s="515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5"/>
      <c r="JZ9" s="34"/>
      <c r="KA9" s="390"/>
      <c r="KB9" s="515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5"/>
      <c r="KP9" s="34"/>
      <c r="KQ9" s="390"/>
      <c r="KR9" s="515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5"/>
      <c r="LF9" s="34"/>
      <c r="LG9" s="390"/>
      <c r="LH9" s="515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5"/>
      <c r="LV9" s="34"/>
      <c r="LW9" s="390"/>
      <c r="LX9" s="515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5"/>
      <c r="ML9" s="34"/>
      <c r="MM9" s="390"/>
      <c r="MN9" s="515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5"/>
      <c r="NB9" s="34"/>
      <c r="NC9" s="390"/>
      <c r="ND9" s="515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5"/>
      <c r="NR9" s="34"/>
      <c r="NS9" s="390"/>
      <c r="NT9" s="515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5"/>
      <c r="OH9" s="34"/>
      <c r="OI9" s="390"/>
      <c r="OJ9" s="515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5"/>
      <c r="OX9" s="34"/>
      <c r="OY9" s="390"/>
      <c r="OZ9" s="515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5"/>
      <c r="PN9" s="34"/>
      <c r="PO9" s="390"/>
      <c r="PP9" s="515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5"/>
      <c r="QD9" s="34"/>
      <c r="QE9" s="390"/>
      <c r="QF9" s="515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5"/>
      <c r="QT9" s="34"/>
      <c r="QU9" s="390"/>
      <c r="QV9" s="515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5"/>
      <c r="RJ9" s="34"/>
      <c r="RK9" s="390"/>
      <c r="RL9" s="515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5"/>
      <c r="RZ9" s="34"/>
      <c r="SA9" s="390"/>
      <c r="SB9" s="515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5"/>
      <c r="SP9" s="34"/>
      <c r="SQ9" s="390"/>
      <c r="SR9" s="515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5"/>
      <c r="TF9" s="34"/>
      <c r="TG9" s="390"/>
      <c r="TH9" s="515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5"/>
      <c r="TV9" s="34"/>
      <c r="TW9" s="390"/>
      <c r="TX9" s="515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5"/>
      <c r="UL9" s="34"/>
      <c r="UM9" s="390"/>
      <c r="UN9" s="515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5"/>
      <c r="VB9" s="34"/>
      <c r="VC9" s="390"/>
      <c r="VD9" s="515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5"/>
      <c r="VR9" s="34"/>
      <c r="VS9" s="390"/>
      <c r="VT9" s="515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5"/>
      <c r="WH9" s="34"/>
      <c r="WI9" s="390"/>
      <c r="WJ9" s="515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5"/>
      <c r="WX9" s="34"/>
      <c r="WY9" s="390"/>
      <c r="WZ9" s="515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5"/>
      <c r="XN9" s="34"/>
      <c r="XO9" s="390"/>
      <c r="XP9" s="515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5"/>
      <c r="YD9" s="34"/>
      <c r="YE9" s="390"/>
      <c r="YF9" s="515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5"/>
      <c r="YT9" s="34"/>
      <c r="YU9" s="390"/>
      <c r="YV9" s="515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5"/>
      <c r="ZJ9" s="34"/>
      <c r="ZK9" s="390"/>
      <c r="ZL9" s="515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5"/>
      <c r="ZZ9" s="34"/>
      <c r="AAA9" s="390"/>
      <c r="AAB9" s="515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5"/>
      <c r="AAP9" s="34"/>
      <c r="AAQ9" s="390"/>
      <c r="AAR9" s="515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5"/>
      <c r="ABF9" s="34"/>
      <c r="ABG9" s="390"/>
      <c r="ABH9" s="515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5"/>
      <c r="ABV9" s="34"/>
      <c r="ABW9" s="390"/>
      <c r="ABX9" s="515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5"/>
      <c r="ACL9" s="34"/>
      <c r="ACM9" s="390"/>
      <c r="ACN9" s="515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5"/>
      <c r="ADB9" s="34"/>
      <c r="ADC9" s="390"/>
      <c r="ADD9" s="515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5"/>
      <c r="ADR9" s="34"/>
      <c r="ADS9" s="390"/>
      <c r="ADT9" s="515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5"/>
      <c r="AEH9" s="34"/>
      <c r="AEI9" s="390"/>
      <c r="AEJ9" s="515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5"/>
      <c r="AEX9" s="34"/>
      <c r="AEY9" s="390"/>
      <c r="AEZ9" s="515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5"/>
      <c r="AFN9" s="34"/>
      <c r="AFO9" s="390"/>
      <c r="AFP9" s="515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5"/>
      <c r="AGD9" s="34"/>
      <c r="AGE9" s="390"/>
      <c r="AGF9" s="515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5"/>
      <c r="AGT9" s="34"/>
      <c r="AGU9" s="390"/>
      <c r="AGV9" s="515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5"/>
      <c r="AHJ9" s="34"/>
      <c r="AHK9" s="390"/>
      <c r="AHL9" s="515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5"/>
      <c r="AHZ9" s="34"/>
      <c r="AIA9" s="390"/>
      <c r="AIB9" s="515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5"/>
      <c r="AIP9" s="34"/>
      <c r="AIQ9" s="390"/>
      <c r="AIR9" s="515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5"/>
      <c r="AJF9" s="34"/>
      <c r="AJG9" s="390"/>
      <c r="AJH9" s="515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5"/>
      <c r="AJV9" s="34"/>
      <c r="AJW9" s="390"/>
      <c r="AJX9" s="515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5"/>
      <c r="AKL9" s="34"/>
      <c r="AKM9" s="390"/>
      <c r="AKN9" s="515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5"/>
      <c r="ALB9" s="34"/>
      <c r="ALC9" s="390"/>
      <c r="ALD9" s="515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5"/>
      <c r="ALR9" s="34"/>
      <c r="ALS9" s="390"/>
      <c r="ALT9" s="515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5"/>
      <c r="AMH9" s="34"/>
      <c r="AMI9" s="390"/>
      <c r="AMJ9" s="515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5"/>
      <c r="AMX9" s="34"/>
      <c r="AMY9" s="390"/>
      <c r="AMZ9" s="515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5"/>
      <c r="ANN9" s="34"/>
      <c r="ANO9" s="390"/>
      <c r="ANP9" s="515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5"/>
      <c r="AOD9" s="34"/>
      <c r="AOE9" s="390"/>
      <c r="AOF9" s="515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5"/>
      <c r="AOT9" s="34"/>
      <c r="AOU9" s="390"/>
      <c r="AOV9" s="515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5"/>
      <c r="APJ9" s="34"/>
      <c r="APK9" s="390"/>
      <c r="APL9" s="515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5"/>
      <c r="APZ9" s="34"/>
      <c r="AQA9" s="390"/>
      <c r="AQB9" s="515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5"/>
      <c r="AQP9" s="34"/>
      <c r="AQQ9" s="390"/>
      <c r="AQR9" s="515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5"/>
      <c r="ARF9" s="34"/>
      <c r="ARG9" s="390"/>
      <c r="ARH9" s="515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5"/>
      <c r="ARV9" s="34"/>
      <c r="ARW9" s="390"/>
      <c r="ARX9" s="515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5"/>
      <c r="ASL9" s="34"/>
      <c r="ASM9" s="390"/>
      <c r="ASN9" s="515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5"/>
      <c r="ATB9" s="34"/>
      <c r="ATC9" s="390"/>
      <c r="ATD9" s="515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5"/>
      <c r="ATR9" s="34"/>
      <c r="ATS9" s="390"/>
      <c r="ATT9" s="515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5"/>
      <c r="AUH9" s="34"/>
      <c r="AUI9" s="390"/>
      <c r="AUJ9" s="515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5"/>
      <c r="AUX9" s="34"/>
      <c r="AUY9" s="390"/>
      <c r="AUZ9" s="515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5"/>
      <c r="AVN9" s="34"/>
      <c r="AVO9" s="390"/>
      <c r="AVP9" s="515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5"/>
      <c r="AWD9" s="34"/>
      <c r="AWE9" s="390"/>
      <c r="AWF9" s="515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5"/>
      <c r="AWT9" s="34"/>
      <c r="AWU9" s="390"/>
      <c r="AWV9" s="515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5"/>
      <c r="AXJ9" s="34"/>
      <c r="AXK9" s="390"/>
      <c r="AXL9" s="515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5"/>
      <c r="AXZ9" s="34"/>
      <c r="AYA9" s="390"/>
      <c r="AYB9" s="515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5"/>
      <c r="AYP9" s="34"/>
      <c r="AYQ9" s="390"/>
      <c r="AYR9" s="515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5"/>
      <c r="AZF9" s="34"/>
      <c r="AZG9" s="390"/>
      <c r="AZH9" s="515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5"/>
      <c r="AZV9" s="34"/>
      <c r="AZW9" s="390"/>
      <c r="AZX9" s="515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5"/>
      <c r="BAL9" s="34"/>
      <c r="BAM9" s="390"/>
      <c r="BAN9" s="515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5"/>
      <c r="BBB9" s="34"/>
      <c r="BBC9" s="390"/>
      <c r="BBD9" s="515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5"/>
      <c r="BBR9" s="34"/>
      <c r="BBS9" s="390"/>
      <c r="BBT9" s="515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5"/>
      <c r="BCH9" s="34"/>
      <c r="BCI9" s="390"/>
      <c r="BCJ9" s="515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5"/>
      <c r="BCX9" s="34"/>
      <c r="BCY9" s="390"/>
      <c r="BCZ9" s="515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5"/>
      <c r="BDN9" s="34"/>
      <c r="BDO9" s="390"/>
      <c r="BDP9" s="515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5"/>
      <c r="BED9" s="34"/>
      <c r="BEE9" s="390"/>
      <c r="BEF9" s="515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5"/>
      <c r="BET9" s="34"/>
      <c r="BEU9" s="390"/>
      <c r="BEV9" s="515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5"/>
      <c r="BFJ9" s="34"/>
      <c r="BFK9" s="390"/>
      <c r="BFL9" s="515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5"/>
      <c r="BFZ9" s="34"/>
      <c r="BGA9" s="390"/>
      <c r="BGB9" s="515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5"/>
      <c r="BGP9" s="34"/>
      <c r="BGQ9" s="390"/>
      <c r="BGR9" s="515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5"/>
      <c r="BHF9" s="34"/>
      <c r="BHG9" s="390"/>
      <c r="BHH9" s="515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5"/>
      <c r="BHV9" s="34"/>
      <c r="BHW9" s="390"/>
      <c r="BHX9" s="515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5"/>
      <c r="BIL9" s="34"/>
      <c r="BIM9" s="390"/>
      <c r="BIN9" s="515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5"/>
      <c r="BJB9" s="34"/>
      <c r="BJC9" s="390"/>
      <c r="BJD9" s="515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5"/>
      <c r="BJR9" s="34"/>
      <c r="BJS9" s="390"/>
      <c r="BJT9" s="515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5"/>
      <c r="BKH9" s="34"/>
      <c r="BKI9" s="390"/>
      <c r="BKJ9" s="515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5"/>
      <c r="BKX9" s="34"/>
      <c r="BKY9" s="390"/>
      <c r="BKZ9" s="515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5"/>
      <c r="BLN9" s="34"/>
      <c r="BLO9" s="390"/>
      <c r="BLP9" s="515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5"/>
      <c r="BMD9" s="34"/>
      <c r="BME9" s="390"/>
      <c r="BMF9" s="515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5"/>
      <c r="BMT9" s="34"/>
      <c r="BMU9" s="390"/>
      <c r="BMV9" s="515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5"/>
      <c r="BNJ9" s="34"/>
      <c r="BNK9" s="390"/>
      <c r="BNL9" s="515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5"/>
      <c r="BNZ9" s="34"/>
      <c r="BOA9" s="390"/>
      <c r="BOB9" s="515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5"/>
      <c r="BOP9" s="34"/>
      <c r="BOQ9" s="390"/>
      <c r="BOR9" s="515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5"/>
      <c r="BPF9" s="34"/>
      <c r="BPG9" s="390"/>
      <c r="BPH9" s="515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5"/>
      <c r="BPV9" s="34"/>
      <c r="BPW9" s="390"/>
      <c r="BPX9" s="515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5"/>
      <c r="BQL9" s="34"/>
      <c r="BQM9" s="390"/>
      <c r="BQN9" s="515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5"/>
      <c r="BRB9" s="34"/>
      <c r="BRC9" s="390"/>
      <c r="BRD9" s="515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5"/>
      <c r="BRR9" s="34"/>
      <c r="BRS9" s="390"/>
      <c r="BRT9" s="515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5"/>
      <c r="BSH9" s="34"/>
      <c r="BSI9" s="390"/>
      <c r="BSJ9" s="515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5"/>
      <c r="BSX9" s="34"/>
      <c r="BSY9" s="390"/>
      <c r="BSZ9" s="515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5"/>
      <c r="BTN9" s="34"/>
      <c r="BTO9" s="390"/>
      <c r="BTP9" s="515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5"/>
      <c r="BUD9" s="34"/>
      <c r="BUE9" s="390"/>
      <c r="BUF9" s="515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5"/>
      <c r="BUT9" s="34"/>
      <c r="BUU9" s="390"/>
      <c r="BUV9" s="515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5"/>
      <c r="BVJ9" s="34"/>
      <c r="BVK9" s="390"/>
      <c r="BVL9" s="515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5"/>
      <c r="BVZ9" s="34"/>
      <c r="BWA9" s="390"/>
      <c r="BWB9" s="515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5"/>
      <c r="BWP9" s="34"/>
      <c r="BWQ9" s="390"/>
      <c r="BWR9" s="515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5"/>
      <c r="BXF9" s="34"/>
      <c r="BXG9" s="390"/>
      <c r="BXH9" s="515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5"/>
      <c r="BXV9" s="34"/>
      <c r="BXW9" s="390"/>
      <c r="BXX9" s="515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5"/>
      <c r="BYL9" s="34"/>
      <c r="BYM9" s="390"/>
      <c r="BYN9" s="515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5"/>
      <c r="BZB9" s="34"/>
      <c r="BZC9" s="390"/>
      <c r="BZD9" s="515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5"/>
      <c r="BZR9" s="34"/>
      <c r="BZS9" s="390"/>
      <c r="BZT9" s="515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5"/>
      <c r="CAH9" s="34"/>
      <c r="CAI9" s="390"/>
      <c r="CAJ9" s="515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5"/>
      <c r="CAX9" s="34"/>
      <c r="CAY9" s="390"/>
      <c r="CAZ9" s="515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5"/>
      <c r="CBN9" s="34"/>
      <c r="CBO9" s="390"/>
      <c r="CBP9" s="515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5"/>
      <c r="CCD9" s="34"/>
      <c r="CCE9" s="390"/>
      <c r="CCF9" s="515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5"/>
      <c r="CCT9" s="34"/>
      <c r="CCU9" s="390"/>
      <c r="CCV9" s="515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5"/>
      <c r="CDJ9" s="34"/>
      <c r="CDK9" s="390"/>
      <c r="CDL9" s="515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5"/>
      <c r="CDZ9" s="34"/>
      <c r="CEA9" s="390"/>
      <c r="CEB9" s="515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5"/>
      <c r="CEP9" s="34"/>
      <c r="CEQ9" s="390"/>
      <c r="CER9" s="515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5"/>
      <c r="CFF9" s="34"/>
      <c r="CFG9" s="390"/>
      <c r="CFH9" s="515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5"/>
      <c r="CFV9" s="34"/>
      <c r="CFW9" s="390"/>
      <c r="CFX9" s="515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5"/>
      <c r="CGL9" s="34"/>
      <c r="CGM9" s="390"/>
      <c r="CGN9" s="515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5"/>
      <c r="CHB9" s="34"/>
      <c r="CHC9" s="390"/>
      <c r="CHD9" s="515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5"/>
      <c r="CHR9" s="34"/>
      <c r="CHS9" s="390"/>
      <c r="CHT9" s="515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5"/>
      <c r="CIH9" s="34"/>
      <c r="CII9" s="390"/>
      <c r="CIJ9" s="515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5"/>
      <c r="CIX9" s="34"/>
      <c r="CIY9" s="390"/>
      <c r="CIZ9" s="515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5"/>
      <c r="CJN9" s="34"/>
      <c r="CJO9" s="390"/>
      <c r="CJP9" s="515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5"/>
      <c r="CKD9" s="34"/>
      <c r="CKE9" s="390"/>
      <c r="CKF9" s="515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5"/>
      <c r="CKT9" s="34"/>
      <c r="CKU9" s="390"/>
      <c r="CKV9" s="515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5"/>
      <c r="CLJ9" s="34"/>
      <c r="CLK9" s="390"/>
      <c r="CLL9" s="515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5"/>
      <c r="CLZ9" s="34"/>
      <c r="CMA9" s="390"/>
      <c r="CMB9" s="515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5"/>
      <c r="CMP9" s="34"/>
      <c r="CMQ9" s="390"/>
      <c r="CMR9" s="515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5"/>
      <c r="CNF9" s="34"/>
      <c r="CNG9" s="390"/>
      <c r="CNH9" s="515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5"/>
      <c r="CNV9" s="34"/>
      <c r="CNW9" s="390"/>
      <c r="CNX9" s="515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5"/>
      <c r="COL9" s="34"/>
      <c r="COM9" s="390"/>
      <c r="CON9" s="515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5"/>
      <c r="CPB9" s="34"/>
      <c r="CPC9" s="390"/>
      <c r="CPD9" s="515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5"/>
      <c r="CPR9" s="34"/>
      <c r="CPS9" s="390"/>
      <c r="CPT9" s="515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5"/>
      <c r="CQH9" s="34"/>
      <c r="CQI9" s="390"/>
      <c r="CQJ9" s="515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5"/>
      <c r="CQX9" s="34"/>
      <c r="CQY9" s="390"/>
      <c r="CQZ9" s="515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5"/>
      <c r="CRN9" s="34"/>
      <c r="CRO9" s="390"/>
      <c r="CRP9" s="515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5"/>
      <c r="CSD9" s="34"/>
      <c r="CSE9" s="390"/>
      <c r="CSF9" s="515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5"/>
      <c r="CST9" s="34"/>
      <c r="CSU9" s="390"/>
      <c r="CSV9" s="515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5"/>
      <c r="CTJ9" s="34"/>
      <c r="CTK9" s="390"/>
      <c r="CTL9" s="515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5"/>
      <c r="CTZ9" s="34"/>
      <c r="CUA9" s="390"/>
      <c r="CUB9" s="515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5"/>
      <c r="CUP9" s="34"/>
      <c r="CUQ9" s="390"/>
      <c r="CUR9" s="515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5"/>
      <c r="CVF9" s="34"/>
      <c r="CVG9" s="390"/>
      <c r="CVH9" s="515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5"/>
      <c r="CVV9" s="34"/>
      <c r="CVW9" s="390"/>
      <c r="CVX9" s="515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5"/>
      <c r="CWL9" s="34"/>
      <c r="CWM9" s="390"/>
      <c r="CWN9" s="515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5"/>
      <c r="CXB9" s="34"/>
      <c r="CXC9" s="390"/>
      <c r="CXD9" s="515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5"/>
      <c r="CXR9" s="34"/>
      <c r="CXS9" s="390"/>
      <c r="CXT9" s="515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5"/>
      <c r="CYH9" s="34"/>
      <c r="CYI9" s="390"/>
      <c r="CYJ9" s="515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5"/>
      <c r="CYX9" s="34"/>
      <c r="CYY9" s="390"/>
      <c r="CYZ9" s="515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5"/>
      <c r="CZN9" s="34"/>
      <c r="CZO9" s="390"/>
      <c r="CZP9" s="515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5"/>
      <c r="DAD9" s="34"/>
      <c r="DAE9" s="390"/>
      <c r="DAF9" s="515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5"/>
      <c r="DAT9" s="34"/>
      <c r="DAU9" s="390"/>
      <c r="DAV9" s="515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5"/>
      <c r="DBJ9" s="34"/>
      <c r="DBK9" s="390"/>
      <c r="DBL9" s="515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5"/>
      <c r="DBZ9" s="34"/>
      <c r="DCA9" s="390"/>
      <c r="DCB9" s="515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5"/>
      <c r="DCP9" s="34"/>
      <c r="DCQ9" s="390"/>
      <c r="DCR9" s="515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5"/>
      <c r="DDF9" s="34"/>
      <c r="DDG9" s="390"/>
      <c r="DDH9" s="515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5"/>
      <c r="DDV9" s="34"/>
      <c r="DDW9" s="390"/>
      <c r="DDX9" s="515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5"/>
      <c r="DEL9" s="34"/>
      <c r="DEM9" s="390"/>
      <c r="DEN9" s="515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5"/>
      <c r="DFB9" s="34"/>
      <c r="DFC9" s="390"/>
      <c r="DFD9" s="515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5"/>
      <c r="DFR9" s="34"/>
      <c r="DFS9" s="390"/>
      <c r="DFT9" s="515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5"/>
      <c r="DGH9" s="34"/>
      <c r="DGI9" s="390"/>
      <c r="DGJ9" s="515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5"/>
      <c r="DGX9" s="34"/>
      <c r="DGY9" s="390"/>
      <c r="DGZ9" s="515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5"/>
      <c r="DHN9" s="34"/>
      <c r="DHO9" s="390"/>
      <c r="DHP9" s="515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5"/>
      <c r="DID9" s="34"/>
      <c r="DIE9" s="390"/>
      <c r="DIF9" s="515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5"/>
      <c r="DIT9" s="34"/>
      <c r="DIU9" s="390"/>
      <c r="DIV9" s="515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5"/>
      <c r="DJJ9" s="34"/>
      <c r="DJK9" s="390"/>
      <c r="DJL9" s="515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5"/>
      <c r="DJZ9" s="34"/>
      <c r="DKA9" s="390"/>
      <c r="DKB9" s="515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5"/>
      <c r="DKP9" s="34"/>
      <c r="DKQ9" s="390"/>
      <c r="DKR9" s="515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5"/>
      <c r="DLF9" s="34"/>
      <c r="DLG9" s="390"/>
      <c r="DLH9" s="515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5"/>
      <c r="DLV9" s="34"/>
      <c r="DLW9" s="390"/>
      <c r="DLX9" s="515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5"/>
      <c r="DML9" s="34"/>
      <c r="DMM9" s="390"/>
      <c r="DMN9" s="515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5"/>
      <c r="DNB9" s="34"/>
      <c r="DNC9" s="390"/>
      <c r="DND9" s="515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5"/>
      <c r="DNR9" s="34"/>
      <c r="DNS9" s="390"/>
      <c r="DNT9" s="515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5"/>
      <c r="DOH9" s="34"/>
      <c r="DOI9" s="390"/>
      <c r="DOJ9" s="515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5"/>
      <c r="DOX9" s="34"/>
      <c r="DOY9" s="390"/>
      <c r="DOZ9" s="515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5"/>
      <c r="DPN9" s="34"/>
      <c r="DPO9" s="390"/>
      <c r="DPP9" s="515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5"/>
      <c r="DQD9" s="34"/>
      <c r="DQE9" s="390"/>
      <c r="DQF9" s="515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5"/>
      <c r="DQT9" s="34"/>
      <c r="DQU9" s="390"/>
      <c r="DQV9" s="515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5"/>
      <c r="DRJ9" s="34"/>
      <c r="DRK9" s="390"/>
      <c r="DRL9" s="515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5"/>
      <c r="DRZ9" s="34"/>
      <c r="DSA9" s="390"/>
      <c r="DSB9" s="515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5"/>
      <c r="DSP9" s="34"/>
      <c r="DSQ9" s="390"/>
      <c r="DSR9" s="515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5"/>
      <c r="DTF9" s="34"/>
      <c r="DTG9" s="390"/>
      <c r="DTH9" s="515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5"/>
      <c r="DTV9" s="34"/>
      <c r="DTW9" s="390"/>
      <c r="DTX9" s="515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5"/>
      <c r="DUL9" s="34"/>
      <c r="DUM9" s="390"/>
      <c r="DUN9" s="515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5"/>
      <c r="DVB9" s="34"/>
      <c r="DVC9" s="390"/>
      <c r="DVD9" s="515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5"/>
      <c r="DVR9" s="34"/>
      <c r="DVS9" s="390"/>
      <c r="DVT9" s="515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5"/>
      <c r="DWH9" s="34"/>
      <c r="DWI9" s="390"/>
      <c r="DWJ9" s="515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5"/>
      <c r="DWX9" s="34"/>
      <c r="DWY9" s="390"/>
      <c r="DWZ9" s="515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5"/>
      <c r="DXN9" s="34"/>
      <c r="DXO9" s="390"/>
      <c r="DXP9" s="515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5"/>
      <c r="DYD9" s="34"/>
      <c r="DYE9" s="390"/>
      <c r="DYF9" s="515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5"/>
      <c r="DYT9" s="34"/>
      <c r="DYU9" s="390"/>
      <c r="DYV9" s="515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5"/>
      <c r="DZJ9" s="34"/>
      <c r="DZK9" s="390"/>
      <c r="DZL9" s="515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5"/>
      <c r="DZZ9" s="34"/>
      <c r="EAA9" s="390"/>
      <c r="EAB9" s="515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5"/>
      <c r="EAP9" s="34"/>
      <c r="EAQ9" s="390"/>
      <c r="EAR9" s="515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5"/>
      <c r="EBF9" s="34"/>
      <c r="EBG9" s="390"/>
      <c r="EBH9" s="515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5"/>
      <c r="EBV9" s="34"/>
      <c r="EBW9" s="390"/>
      <c r="EBX9" s="515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5"/>
      <c r="ECL9" s="34"/>
      <c r="ECM9" s="390"/>
      <c r="ECN9" s="515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5"/>
      <c r="EDB9" s="34"/>
      <c r="EDC9" s="390"/>
      <c r="EDD9" s="515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5"/>
      <c r="EDR9" s="34"/>
      <c r="EDS9" s="390"/>
      <c r="EDT9" s="515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5"/>
      <c r="EEH9" s="34"/>
      <c r="EEI9" s="390"/>
      <c r="EEJ9" s="515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5"/>
      <c r="EEX9" s="34"/>
      <c r="EEY9" s="390"/>
      <c r="EEZ9" s="515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5"/>
      <c r="EFN9" s="34"/>
      <c r="EFO9" s="390"/>
      <c r="EFP9" s="515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5"/>
      <c r="EGD9" s="34"/>
      <c r="EGE9" s="390"/>
      <c r="EGF9" s="515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5"/>
      <c r="EGT9" s="34"/>
      <c r="EGU9" s="390"/>
      <c r="EGV9" s="515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5"/>
      <c r="EHJ9" s="34"/>
      <c r="EHK9" s="390"/>
      <c r="EHL9" s="515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5"/>
      <c r="EHZ9" s="34"/>
      <c r="EIA9" s="390"/>
      <c r="EIB9" s="515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5"/>
      <c r="EIP9" s="34"/>
      <c r="EIQ9" s="390"/>
      <c r="EIR9" s="515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5"/>
      <c r="EJF9" s="34"/>
      <c r="EJG9" s="390"/>
      <c r="EJH9" s="515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5"/>
      <c r="EJV9" s="34"/>
      <c r="EJW9" s="390"/>
      <c r="EJX9" s="515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5"/>
      <c r="EKL9" s="34"/>
      <c r="EKM9" s="390"/>
      <c r="EKN9" s="515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5"/>
      <c r="ELB9" s="34"/>
      <c r="ELC9" s="390"/>
      <c r="ELD9" s="515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5"/>
      <c r="ELR9" s="34"/>
      <c r="ELS9" s="390"/>
      <c r="ELT9" s="515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5"/>
      <c r="EMH9" s="34"/>
      <c r="EMI9" s="390"/>
      <c r="EMJ9" s="515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5"/>
      <c r="EMX9" s="34"/>
      <c r="EMY9" s="390"/>
      <c r="EMZ9" s="515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5"/>
      <c r="ENN9" s="34"/>
      <c r="ENO9" s="390"/>
      <c r="ENP9" s="515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5"/>
      <c r="EOD9" s="34"/>
      <c r="EOE9" s="390"/>
      <c r="EOF9" s="515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5"/>
      <c r="EOT9" s="34"/>
      <c r="EOU9" s="390"/>
      <c r="EOV9" s="515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5"/>
      <c r="EPJ9" s="34"/>
      <c r="EPK9" s="390"/>
      <c r="EPL9" s="515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5"/>
      <c r="EPZ9" s="34"/>
      <c r="EQA9" s="390"/>
      <c r="EQB9" s="515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5"/>
      <c r="EQP9" s="34"/>
      <c r="EQQ9" s="390"/>
      <c r="EQR9" s="515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5"/>
      <c r="ERF9" s="34"/>
      <c r="ERG9" s="390"/>
      <c r="ERH9" s="515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5"/>
      <c r="ERV9" s="34"/>
      <c r="ERW9" s="390"/>
      <c r="ERX9" s="515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5"/>
      <c r="ESL9" s="34"/>
      <c r="ESM9" s="390"/>
      <c r="ESN9" s="515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5"/>
      <c r="ETB9" s="34"/>
      <c r="ETC9" s="390"/>
      <c r="ETD9" s="515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5"/>
      <c r="ETR9" s="34"/>
      <c r="ETS9" s="390"/>
      <c r="ETT9" s="515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5"/>
      <c r="EUH9" s="34"/>
      <c r="EUI9" s="390"/>
      <c r="EUJ9" s="515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5"/>
      <c r="EUX9" s="34"/>
      <c r="EUY9" s="390"/>
      <c r="EUZ9" s="515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5"/>
      <c r="EVN9" s="34"/>
      <c r="EVO9" s="390"/>
      <c r="EVP9" s="515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5"/>
      <c r="EWD9" s="34"/>
      <c r="EWE9" s="390"/>
      <c r="EWF9" s="515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5"/>
      <c r="EWT9" s="34"/>
      <c r="EWU9" s="390"/>
      <c r="EWV9" s="515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5"/>
      <c r="EXJ9" s="34"/>
      <c r="EXK9" s="390"/>
      <c r="EXL9" s="515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5"/>
      <c r="EXZ9" s="34"/>
      <c r="EYA9" s="390"/>
      <c r="EYB9" s="515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5"/>
      <c r="EYP9" s="34"/>
      <c r="EYQ9" s="390"/>
      <c r="EYR9" s="515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5"/>
      <c r="EZF9" s="34"/>
      <c r="EZG9" s="390"/>
      <c r="EZH9" s="515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5"/>
      <c r="EZV9" s="34"/>
      <c r="EZW9" s="390"/>
      <c r="EZX9" s="515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5"/>
      <c r="FAL9" s="34"/>
      <c r="FAM9" s="390"/>
      <c r="FAN9" s="515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5"/>
      <c r="FBB9" s="34"/>
      <c r="FBC9" s="390"/>
      <c r="FBD9" s="515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5"/>
      <c r="FBR9" s="34"/>
      <c r="FBS9" s="390"/>
      <c r="FBT9" s="515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5"/>
      <c r="FCH9" s="34"/>
      <c r="FCI9" s="390"/>
      <c r="FCJ9" s="515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5"/>
      <c r="FCX9" s="34"/>
      <c r="FCY9" s="390"/>
      <c r="FCZ9" s="515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5"/>
      <c r="FDN9" s="34"/>
      <c r="FDO9" s="390"/>
      <c r="FDP9" s="515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5"/>
      <c r="FED9" s="34"/>
      <c r="FEE9" s="390"/>
      <c r="FEF9" s="515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5"/>
      <c r="FET9" s="34"/>
      <c r="FEU9" s="390"/>
      <c r="FEV9" s="515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5"/>
      <c r="FFJ9" s="34"/>
      <c r="FFK9" s="390"/>
      <c r="FFL9" s="515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5"/>
      <c r="FFZ9" s="34"/>
      <c r="FGA9" s="390"/>
      <c r="FGB9" s="515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5"/>
      <c r="FGP9" s="34"/>
      <c r="FGQ9" s="390"/>
      <c r="FGR9" s="515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5"/>
      <c r="FHF9" s="34"/>
      <c r="FHG9" s="390"/>
      <c r="FHH9" s="515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5"/>
      <c r="FHV9" s="34"/>
      <c r="FHW9" s="390"/>
      <c r="FHX9" s="515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5"/>
      <c r="FIL9" s="34"/>
      <c r="FIM9" s="390"/>
      <c r="FIN9" s="515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5"/>
      <c r="FJB9" s="34"/>
      <c r="FJC9" s="390"/>
      <c r="FJD9" s="515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5"/>
      <c r="FJR9" s="34"/>
      <c r="FJS9" s="390"/>
      <c r="FJT9" s="515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5"/>
      <c r="FKH9" s="34"/>
      <c r="FKI9" s="390"/>
      <c r="FKJ9" s="515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5"/>
      <c r="FKX9" s="34"/>
      <c r="FKY9" s="390"/>
      <c r="FKZ9" s="515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5"/>
      <c r="FLN9" s="34"/>
      <c r="FLO9" s="390"/>
      <c r="FLP9" s="515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5"/>
      <c r="FMD9" s="34"/>
      <c r="FME9" s="390"/>
      <c r="FMF9" s="515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5"/>
      <c r="FMT9" s="34"/>
      <c r="FMU9" s="390"/>
      <c r="FMV9" s="515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5"/>
      <c r="FNJ9" s="34"/>
      <c r="FNK9" s="390"/>
      <c r="FNL9" s="515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5"/>
      <c r="FNZ9" s="34"/>
      <c r="FOA9" s="390"/>
      <c r="FOB9" s="515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5"/>
      <c r="FOP9" s="34"/>
      <c r="FOQ9" s="390"/>
      <c r="FOR9" s="515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5"/>
      <c r="FPF9" s="34"/>
      <c r="FPG9" s="390"/>
      <c r="FPH9" s="515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5"/>
      <c r="FPV9" s="34"/>
      <c r="FPW9" s="390"/>
      <c r="FPX9" s="515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5"/>
      <c r="FQL9" s="34"/>
      <c r="FQM9" s="390"/>
      <c r="FQN9" s="515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5"/>
      <c r="FRB9" s="34"/>
      <c r="FRC9" s="390"/>
      <c r="FRD9" s="515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5"/>
      <c r="FRR9" s="34"/>
      <c r="FRS9" s="390"/>
      <c r="FRT9" s="515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5"/>
      <c r="FSH9" s="34"/>
      <c r="FSI9" s="390"/>
      <c r="FSJ9" s="515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5"/>
      <c r="FSX9" s="34"/>
      <c r="FSY9" s="390"/>
      <c r="FSZ9" s="515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5"/>
      <c r="FTN9" s="34"/>
      <c r="FTO9" s="390"/>
      <c r="FTP9" s="515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5"/>
      <c r="FUD9" s="34"/>
      <c r="FUE9" s="390"/>
      <c r="FUF9" s="515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5"/>
      <c r="FUT9" s="34"/>
      <c r="FUU9" s="390"/>
      <c r="FUV9" s="515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5"/>
      <c r="FVJ9" s="34"/>
      <c r="FVK9" s="390"/>
      <c r="FVL9" s="515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5"/>
      <c r="FVZ9" s="34"/>
      <c r="FWA9" s="390"/>
      <c r="FWB9" s="515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5"/>
      <c r="FWP9" s="34"/>
      <c r="FWQ9" s="390"/>
      <c r="FWR9" s="515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5"/>
      <c r="FXF9" s="34"/>
      <c r="FXG9" s="390"/>
      <c r="FXH9" s="515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5"/>
      <c r="FXV9" s="34"/>
      <c r="FXW9" s="390"/>
      <c r="FXX9" s="515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5"/>
      <c r="FYL9" s="34"/>
      <c r="FYM9" s="390"/>
      <c r="FYN9" s="515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5"/>
      <c r="FZB9" s="34"/>
      <c r="FZC9" s="390"/>
      <c r="FZD9" s="515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5"/>
      <c r="FZR9" s="34"/>
      <c r="FZS9" s="390"/>
      <c r="FZT9" s="515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5"/>
      <c r="GAH9" s="34"/>
      <c r="GAI9" s="390"/>
      <c r="GAJ9" s="515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5"/>
      <c r="GAX9" s="34"/>
      <c r="GAY9" s="390"/>
      <c r="GAZ9" s="515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5"/>
      <c r="GBN9" s="34"/>
      <c r="GBO9" s="390"/>
      <c r="GBP9" s="515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5"/>
      <c r="GCD9" s="34"/>
      <c r="GCE9" s="390"/>
      <c r="GCF9" s="515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5"/>
      <c r="GCT9" s="34"/>
      <c r="GCU9" s="390"/>
      <c r="GCV9" s="515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5"/>
      <c r="GDJ9" s="34"/>
      <c r="GDK9" s="390"/>
      <c r="GDL9" s="515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5"/>
      <c r="GDZ9" s="34"/>
      <c r="GEA9" s="390"/>
      <c r="GEB9" s="515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5"/>
      <c r="GEP9" s="34"/>
      <c r="GEQ9" s="390"/>
      <c r="GER9" s="515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5"/>
      <c r="GFF9" s="34"/>
      <c r="GFG9" s="390"/>
      <c r="GFH9" s="515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5"/>
      <c r="GFV9" s="34"/>
      <c r="GFW9" s="390"/>
      <c r="GFX9" s="515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5"/>
      <c r="GGL9" s="34"/>
      <c r="GGM9" s="390"/>
      <c r="GGN9" s="515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5"/>
      <c r="GHB9" s="34"/>
      <c r="GHC9" s="390"/>
      <c r="GHD9" s="515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5"/>
      <c r="GHR9" s="34"/>
      <c r="GHS9" s="390"/>
      <c r="GHT9" s="515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5"/>
      <c r="GIH9" s="34"/>
      <c r="GII9" s="390"/>
      <c r="GIJ9" s="515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5"/>
      <c r="GIX9" s="34"/>
      <c r="GIY9" s="390"/>
      <c r="GIZ9" s="515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5"/>
      <c r="GJN9" s="34"/>
      <c r="GJO9" s="390"/>
      <c r="GJP9" s="515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5"/>
      <c r="GKD9" s="34"/>
      <c r="GKE9" s="390"/>
      <c r="GKF9" s="515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5"/>
      <c r="GKT9" s="34"/>
      <c r="GKU9" s="390"/>
      <c r="GKV9" s="515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5"/>
      <c r="GLJ9" s="34"/>
      <c r="GLK9" s="390"/>
      <c r="GLL9" s="515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5"/>
      <c r="GLZ9" s="34"/>
      <c r="GMA9" s="390"/>
      <c r="GMB9" s="515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5"/>
      <c r="GMP9" s="34"/>
      <c r="GMQ9" s="390"/>
      <c r="GMR9" s="515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5"/>
      <c r="GNF9" s="34"/>
      <c r="GNG9" s="390"/>
      <c r="GNH9" s="515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5"/>
      <c r="GNV9" s="34"/>
      <c r="GNW9" s="390"/>
      <c r="GNX9" s="515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5"/>
      <c r="GOL9" s="34"/>
      <c r="GOM9" s="390"/>
      <c r="GON9" s="515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5"/>
      <c r="GPB9" s="34"/>
      <c r="GPC9" s="390"/>
      <c r="GPD9" s="515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5"/>
      <c r="GPR9" s="34"/>
      <c r="GPS9" s="390"/>
      <c r="GPT9" s="515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5"/>
      <c r="GQH9" s="34"/>
      <c r="GQI9" s="390"/>
      <c r="GQJ9" s="515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5"/>
      <c r="GQX9" s="34"/>
      <c r="GQY9" s="390"/>
      <c r="GQZ9" s="515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5"/>
      <c r="GRN9" s="34"/>
      <c r="GRO9" s="390"/>
      <c r="GRP9" s="515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5"/>
      <c r="GSD9" s="34"/>
      <c r="GSE9" s="390"/>
      <c r="GSF9" s="515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5"/>
      <c r="GST9" s="34"/>
      <c r="GSU9" s="390"/>
      <c r="GSV9" s="515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5"/>
      <c r="GTJ9" s="34"/>
      <c r="GTK9" s="390"/>
      <c r="GTL9" s="515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5"/>
      <c r="GTZ9" s="34"/>
      <c r="GUA9" s="390"/>
      <c r="GUB9" s="515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5"/>
      <c r="GUP9" s="34"/>
      <c r="GUQ9" s="390"/>
      <c r="GUR9" s="515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5"/>
      <c r="GVF9" s="34"/>
      <c r="GVG9" s="390"/>
      <c r="GVH9" s="515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5"/>
      <c r="GVV9" s="34"/>
      <c r="GVW9" s="390"/>
      <c r="GVX9" s="515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5"/>
      <c r="GWL9" s="34"/>
      <c r="GWM9" s="390"/>
      <c r="GWN9" s="515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5"/>
      <c r="GXB9" s="34"/>
      <c r="GXC9" s="390"/>
      <c r="GXD9" s="515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5"/>
      <c r="GXR9" s="34"/>
      <c r="GXS9" s="390"/>
      <c r="GXT9" s="515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5"/>
      <c r="GYH9" s="34"/>
      <c r="GYI9" s="390"/>
      <c r="GYJ9" s="515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5"/>
      <c r="GYX9" s="34"/>
      <c r="GYY9" s="390"/>
      <c r="GYZ9" s="515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5"/>
      <c r="GZN9" s="34"/>
      <c r="GZO9" s="390"/>
      <c r="GZP9" s="515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5"/>
      <c r="HAD9" s="34"/>
      <c r="HAE9" s="390"/>
      <c r="HAF9" s="515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5"/>
      <c r="HAT9" s="34"/>
      <c r="HAU9" s="390"/>
      <c r="HAV9" s="515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5"/>
      <c r="HBJ9" s="34"/>
      <c r="HBK9" s="390"/>
      <c r="HBL9" s="515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5"/>
      <c r="HBZ9" s="34"/>
      <c r="HCA9" s="390"/>
      <c r="HCB9" s="515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5"/>
      <c r="HCP9" s="34"/>
      <c r="HCQ9" s="390"/>
      <c r="HCR9" s="515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5"/>
      <c r="HDF9" s="34"/>
      <c r="HDG9" s="390"/>
      <c r="HDH9" s="515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5"/>
      <c r="HDV9" s="34"/>
      <c r="HDW9" s="390"/>
      <c r="HDX9" s="515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5"/>
      <c r="HEL9" s="34"/>
      <c r="HEM9" s="390"/>
      <c r="HEN9" s="515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5"/>
      <c r="HFB9" s="34"/>
      <c r="HFC9" s="390"/>
      <c r="HFD9" s="515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5"/>
      <c r="HFR9" s="34"/>
      <c r="HFS9" s="390"/>
      <c r="HFT9" s="515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5"/>
      <c r="HGH9" s="34"/>
      <c r="HGI9" s="390"/>
      <c r="HGJ9" s="515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5"/>
      <c r="HGX9" s="34"/>
      <c r="HGY9" s="390"/>
      <c r="HGZ9" s="515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5"/>
      <c r="HHN9" s="34"/>
      <c r="HHO9" s="390"/>
      <c r="HHP9" s="515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5"/>
      <c r="HID9" s="34"/>
      <c r="HIE9" s="390"/>
      <c r="HIF9" s="515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5"/>
      <c r="HIT9" s="34"/>
      <c r="HIU9" s="390"/>
      <c r="HIV9" s="515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5"/>
      <c r="HJJ9" s="34"/>
      <c r="HJK9" s="390"/>
      <c r="HJL9" s="515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5"/>
      <c r="HJZ9" s="34"/>
      <c r="HKA9" s="390"/>
      <c r="HKB9" s="515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5"/>
      <c r="HKP9" s="34"/>
      <c r="HKQ9" s="390"/>
      <c r="HKR9" s="515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5"/>
      <c r="HLF9" s="34"/>
      <c r="HLG9" s="390"/>
      <c r="HLH9" s="515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5"/>
      <c r="HLV9" s="34"/>
      <c r="HLW9" s="390"/>
      <c r="HLX9" s="515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5"/>
      <c r="HML9" s="34"/>
      <c r="HMM9" s="390"/>
      <c r="HMN9" s="515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5"/>
      <c r="HNB9" s="34"/>
      <c r="HNC9" s="390"/>
      <c r="HND9" s="515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5"/>
      <c r="HNR9" s="34"/>
      <c r="HNS9" s="390"/>
      <c r="HNT9" s="515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5"/>
      <c r="HOH9" s="34"/>
      <c r="HOI9" s="390"/>
      <c r="HOJ9" s="515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5"/>
      <c r="HOX9" s="34"/>
      <c r="HOY9" s="390"/>
      <c r="HOZ9" s="515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5"/>
      <c r="HPN9" s="34"/>
      <c r="HPO9" s="390"/>
      <c r="HPP9" s="515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5"/>
      <c r="HQD9" s="34"/>
      <c r="HQE9" s="390"/>
      <c r="HQF9" s="515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5"/>
      <c r="HQT9" s="34"/>
      <c r="HQU9" s="390"/>
      <c r="HQV9" s="515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5"/>
      <c r="HRJ9" s="34"/>
      <c r="HRK9" s="390"/>
      <c r="HRL9" s="515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5"/>
      <c r="HRZ9" s="34"/>
      <c r="HSA9" s="390"/>
      <c r="HSB9" s="515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5"/>
      <c r="HSP9" s="34"/>
      <c r="HSQ9" s="390"/>
      <c r="HSR9" s="515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5"/>
      <c r="HTF9" s="34"/>
      <c r="HTG9" s="390"/>
      <c r="HTH9" s="515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5"/>
      <c r="HTV9" s="34"/>
      <c r="HTW9" s="390"/>
      <c r="HTX9" s="515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5"/>
      <c r="HUL9" s="34"/>
      <c r="HUM9" s="390"/>
      <c r="HUN9" s="515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5"/>
      <c r="HVB9" s="34"/>
      <c r="HVC9" s="390"/>
      <c r="HVD9" s="515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5"/>
      <c r="HVR9" s="34"/>
      <c r="HVS9" s="390"/>
      <c r="HVT9" s="515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5"/>
      <c r="HWH9" s="34"/>
      <c r="HWI9" s="390"/>
      <c r="HWJ9" s="515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5"/>
      <c r="HWX9" s="34"/>
      <c r="HWY9" s="390"/>
      <c r="HWZ9" s="515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5"/>
      <c r="HXN9" s="34"/>
      <c r="HXO9" s="390"/>
      <c r="HXP9" s="515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5"/>
      <c r="HYD9" s="34"/>
      <c r="HYE9" s="390"/>
      <c r="HYF9" s="515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5"/>
      <c r="HYT9" s="34"/>
      <c r="HYU9" s="390"/>
      <c r="HYV9" s="515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5"/>
      <c r="HZJ9" s="34"/>
      <c r="HZK9" s="390"/>
      <c r="HZL9" s="515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5"/>
      <c r="HZZ9" s="34"/>
      <c r="IAA9" s="390"/>
      <c r="IAB9" s="515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5"/>
      <c r="IAP9" s="34"/>
      <c r="IAQ9" s="390"/>
      <c r="IAR9" s="515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5"/>
      <c r="IBF9" s="34"/>
      <c r="IBG9" s="390"/>
      <c r="IBH9" s="515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5"/>
      <c r="IBV9" s="34"/>
      <c r="IBW9" s="390"/>
      <c r="IBX9" s="515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5"/>
      <c r="ICL9" s="34"/>
      <c r="ICM9" s="390"/>
      <c r="ICN9" s="515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5"/>
      <c r="IDB9" s="34"/>
      <c r="IDC9" s="390"/>
      <c r="IDD9" s="515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5"/>
      <c r="IDR9" s="34"/>
      <c r="IDS9" s="390"/>
      <c r="IDT9" s="515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5"/>
      <c r="IEH9" s="34"/>
      <c r="IEI9" s="390"/>
      <c r="IEJ9" s="515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5"/>
      <c r="IEX9" s="34"/>
      <c r="IEY9" s="390"/>
      <c r="IEZ9" s="515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5"/>
      <c r="IFN9" s="34"/>
      <c r="IFO9" s="390"/>
      <c r="IFP9" s="515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5"/>
      <c r="IGD9" s="34"/>
      <c r="IGE9" s="390"/>
      <c r="IGF9" s="515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5"/>
      <c r="IGT9" s="34"/>
      <c r="IGU9" s="390"/>
      <c r="IGV9" s="515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5"/>
      <c r="IHJ9" s="34"/>
      <c r="IHK9" s="390"/>
      <c r="IHL9" s="515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5"/>
      <c r="IHZ9" s="34"/>
      <c r="IIA9" s="390"/>
      <c r="IIB9" s="515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5"/>
      <c r="IIP9" s="34"/>
      <c r="IIQ9" s="390"/>
      <c r="IIR9" s="515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5"/>
      <c r="IJF9" s="34"/>
      <c r="IJG9" s="390"/>
      <c r="IJH9" s="515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5"/>
      <c r="IJV9" s="34"/>
      <c r="IJW9" s="390"/>
      <c r="IJX9" s="515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5"/>
      <c r="IKL9" s="34"/>
      <c r="IKM9" s="390"/>
      <c r="IKN9" s="515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5"/>
      <c r="ILB9" s="34"/>
      <c r="ILC9" s="390"/>
      <c r="ILD9" s="515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5"/>
      <c r="ILR9" s="34"/>
      <c r="ILS9" s="390"/>
      <c r="ILT9" s="515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5"/>
      <c r="IMH9" s="34"/>
      <c r="IMI9" s="390"/>
      <c r="IMJ9" s="515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5"/>
      <c r="IMX9" s="34"/>
      <c r="IMY9" s="390"/>
      <c r="IMZ9" s="515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5"/>
      <c r="INN9" s="34"/>
      <c r="INO9" s="390"/>
      <c r="INP9" s="515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5"/>
      <c r="IOD9" s="34"/>
      <c r="IOE9" s="390"/>
      <c r="IOF9" s="515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5"/>
      <c r="IOT9" s="34"/>
      <c r="IOU9" s="390"/>
      <c r="IOV9" s="515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5"/>
      <c r="IPJ9" s="34"/>
      <c r="IPK9" s="390"/>
      <c r="IPL9" s="515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5"/>
      <c r="IPZ9" s="34"/>
      <c r="IQA9" s="390"/>
      <c r="IQB9" s="515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5"/>
      <c r="IQP9" s="34"/>
      <c r="IQQ9" s="390"/>
      <c r="IQR9" s="515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5"/>
      <c r="IRF9" s="34"/>
      <c r="IRG9" s="390"/>
      <c r="IRH9" s="515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5"/>
      <c r="IRV9" s="34"/>
      <c r="IRW9" s="390"/>
      <c r="IRX9" s="515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5"/>
      <c r="ISL9" s="34"/>
      <c r="ISM9" s="390"/>
      <c r="ISN9" s="515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5"/>
      <c r="ITB9" s="34"/>
      <c r="ITC9" s="390"/>
      <c r="ITD9" s="515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5"/>
      <c r="ITR9" s="34"/>
      <c r="ITS9" s="390"/>
      <c r="ITT9" s="515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5"/>
      <c r="IUH9" s="34"/>
      <c r="IUI9" s="390"/>
      <c r="IUJ9" s="515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5"/>
      <c r="IUX9" s="34"/>
      <c r="IUY9" s="390"/>
      <c r="IUZ9" s="515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5"/>
      <c r="IVN9" s="34"/>
      <c r="IVO9" s="390"/>
      <c r="IVP9" s="515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5"/>
      <c r="IWD9" s="34"/>
      <c r="IWE9" s="390"/>
      <c r="IWF9" s="515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5"/>
      <c r="IWT9" s="34"/>
      <c r="IWU9" s="390"/>
      <c r="IWV9" s="515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5"/>
      <c r="IXJ9" s="34"/>
      <c r="IXK9" s="390"/>
      <c r="IXL9" s="515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5"/>
      <c r="IXZ9" s="34"/>
      <c r="IYA9" s="390"/>
      <c r="IYB9" s="515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5"/>
      <c r="IYP9" s="34"/>
      <c r="IYQ9" s="390"/>
      <c r="IYR9" s="515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5"/>
      <c r="IZF9" s="34"/>
      <c r="IZG9" s="390"/>
      <c r="IZH9" s="515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5"/>
      <c r="IZV9" s="34"/>
      <c r="IZW9" s="390"/>
      <c r="IZX9" s="515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5"/>
      <c r="JAL9" s="34"/>
      <c r="JAM9" s="390"/>
      <c r="JAN9" s="515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5"/>
      <c r="JBB9" s="34"/>
      <c r="JBC9" s="390"/>
      <c r="JBD9" s="515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5"/>
      <c r="JBR9" s="34"/>
      <c r="JBS9" s="390"/>
      <c r="JBT9" s="515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5"/>
      <c r="JCH9" s="34"/>
      <c r="JCI9" s="390"/>
      <c r="JCJ9" s="515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5"/>
      <c r="JCX9" s="34"/>
      <c r="JCY9" s="390"/>
      <c r="JCZ9" s="515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5"/>
      <c r="JDN9" s="34"/>
      <c r="JDO9" s="390"/>
      <c r="JDP9" s="515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5"/>
      <c r="JED9" s="34"/>
      <c r="JEE9" s="390"/>
      <c r="JEF9" s="515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5"/>
      <c r="JET9" s="34"/>
      <c r="JEU9" s="390"/>
      <c r="JEV9" s="515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5"/>
      <c r="JFJ9" s="34"/>
      <c r="JFK9" s="390"/>
      <c r="JFL9" s="515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5"/>
      <c r="JFZ9" s="34"/>
      <c r="JGA9" s="390"/>
      <c r="JGB9" s="515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5"/>
      <c r="JGP9" s="34"/>
      <c r="JGQ9" s="390"/>
      <c r="JGR9" s="515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5"/>
      <c r="JHF9" s="34"/>
      <c r="JHG9" s="390"/>
      <c r="JHH9" s="515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5"/>
      <c r="JHV9" s="34"/>
      <c r="JHW9" s="390"/>
      <c r="JHX9" s="515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5"/>
      <c r="JIL9" s="34"/>
      <c r="JIM9" s="390"/>
      <c r="JIN9" s="515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5"/>
      <c r="JJB9" s="34"/>
      <c r="JJC9" s="390"/>
      <c r="JJD9" s="515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5"/>
      <c r="JJR9" s="34"/>
      <c r="JJS9" s="390"/>
      <c r="JJT9" s="515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5"/>
      <c r="JKH9" s="34"/>
      <c r="JKI9" s="390"/>
      <c r="JKJ9" s="515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5"/>
      <c r="JKX9" s="34"/>
      <c r="JKY9" s="390"/>
      <c r="JKZ9" s="515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5"/>
      <c r="JLN9" s="34"/>
      <c r="JLO9" s="390"/>
      <c r="JLP9" s="515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5"/>
      <c r="JMD9" s="34"/>
      <c r="JME9" s="390"/>
      <c r="JMF9" s="515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5"/>
      <c r="JMT9" s="34"/>
      <c r="JMU9" s="390"/>
      <c r="JMV9" s="515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5"/>
      <c r="JNJ9" s="34"/>
      <c r="JNK9" s="390"/>
      <c r="JNL9" s="515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5"/>
      <c r="JNZ9" s="34"/>
      <c r="JOA9" s="390"/>
      <c r="JOB9" s="515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5"/>
      <c r="JOP9" s="34"/>
      <c r="JOQ9" s="390"/>
      <c r="JOR9" s="515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5"/>
      <c r="JPF9" s="34"/>
      <c r="JPG9" s="390"/>
      <c r="JPH9" s="515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5"/>
      <c r="JPV9" s="34"/>
      <c r="JPW9" s="390"/>
      <c r="JPX9" s="515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5"/>
      <c r="JQL9" s="34"/>
      <c r="JQM9" s="390"/>
      <c r="JQN9" s="515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5"/>
      <c r="JRB9" s="34"/>
      <c r="JRC9" s="390"/>
      <c r="JRD9" s="515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5"/>
      <c r="JRR9" s="34"/>
      <c r="JRS9" s="390"/>
      <c r="JRT9" s="515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5"/>
      <c r="JSH9" s="34"/>
      <c r="JSI9" s="390"/>
      <c r="JSJ9" s="515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5"/>
      <c r="JSX9" s="34"/>
      <c r="JSY9" s="390"/>
      <c r="JSZ9" s="515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5"/>
      <c r="JTN9" s="34"/>
      <c r="JTO9" s="390"/>
      <c r="JTP9" s="515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5"/>
      <c r="JUD9" s="34"/>
      <c r="JUE9" s="390"/>
      <c r="JUF9" s="515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5"/>
      <c r="JUT9" s="34"/>
      <c r="JUU9" s="390"/>
      <c r="JUV9" s="515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5"/>
      <c r="JVJ9" s="34"/>
      <c r="JVK9" s="390"/>
      <c r="JVL9" s="515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5"/>
      <c r="JVZ9" s="34"/>
      <c r="JWA9" s="390"/>
      <c r="JWB9" s="515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5"/>
      <c r="JWP9" s="34"/>
      <c r="JWQ9" s="390"/>
      <c r="JWR9" s="515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5"/>
      <c r="JXF9" s="34"/>
      <c r="JXG9" s="390"/>
      <c r="JXH9" s="515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5"/>
      <c r="JXV9" s="34"/>
      <c r="JXW9" s="390"/>
      <c r="JXX9" s="515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5"/>
      <c r="JYL9" s="34"/>
      <c r="JYM9" s="390"/>
      <c r="JYN9" s="515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5"/>
      <c r="JZB9" s="34"/>
      <c r="JZC9" s="390"/>
      <c r="JZD9" s="515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5"/>
      <c r="JZR9" s="34"/>
      <c r="JZS9" s="390"/>
      <c r="JZT9" s="515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5"/>
      <c r="KAH9" s="34"/>
      <c r="KAI9" s="390"/>
      <c r="KAJ9" s="515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5"/>
      <c r="KAX9" s="34"/>
      <c r="KAY9" s="390"/>
      <c r="KAZ9" s="515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5"/>
      <c r="KBN9" s="34"/>
      <c r="KBO9" s="390"/>
      <c r="KBP9" s="515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5"/>
      <c r="KCD9" s="34"/>
      <c r="KCE9" s="390"/>
      <c r="KCF9" s="515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5"/>
      <c r="KCT9" s="34"/>
      <c r="KCU9" s="390"/>
      <c r="KCV9" s="515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5"/>
      <c r="KDJ9" s="34"/>
      <c r="KDK9" s="390"/>
      <c r="KDL9" s="515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5"/>
      <c r="KDZ9" s="34"/>
      <c r="KEA9" s="390"/>
      <c r="KEB9" s="515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5"/>
      <c r="KEP9" s="34"/>
      <c r="KEQ9" s="390"/>
      <c r="KER9" s="515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5"/>
      <c r="KFF9" s="34"/>
      <c r="KFG9" s="390"/>
      <c r="KFH9" s="515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5"/>
      <c r="KFV9" s="34"/>
      <c r="KFW9" s="390"/>
      <c r="KFX9" s="515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5"/>
      <c r="KGL9" s="34"/>
      <c r="KGM9" s="390"/>
      <c r="KGN9" s="515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5"/>
      <c r="KHB9" s="34"/>
      <c r="KHC9" s="390"/>
      <c r="KHD9" s="515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5"/>
      <c r="KHR9" s="34"/>
      <c r="KHS9" s="390"/>
      <c r="KHT9" s="515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5"/>
      <c r="KIH9" s="34"/>
      <c r="KII9" s="390"/>
      <c r="KIJ9" s="515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5"/>
      <c r="KIX9" s="34"/>
      <c r="KIY9" s="390"/>
      <c r="KIZ9" s="515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5"/>
      <c r="KJN9" s="34"/>
      <c r="KJO9" s="390"/>
      <c r="KJP9" s="515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5"/>
      <c r="KKD9" s="34"/>
      <c r="KKE9" s="390"/>
      <c r="KKF9" s="515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5"/>
      <c r="KKT9" s="34"/>
      <c r="KKU9" s="390"/>
      <c r="KKV9" s="515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5"/>
      <c r="KLJ9" s="34"/>
      <c r="KLK9" s="390"/>
      <c r="KLL9" s="515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5"/>
      <c r="KLZ9" s="34"/>
      <c r="KMA9" s="390"/>
      <c r="KMB9" s="515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5"/>
      <c r="KMP9" s="34"/>
      <c r="KMQ9" s="390"/>
      <c r="KMR9" s="515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5"/>
      <c r="KNF9" s="34"/>
      <c r="KNG9" s="390"/>
      <c r="KNH9" s="515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5"/>
      <c r="KNV9" s="34"/>
      <c r="KNW9" s="390"/>
      <c r="KNX9" s="515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5"/>
      <c r="KOL9" s="34"/>
      <c r="KOM9" s="390"/>
      <c r="KON9" s="515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5"/>
      <c r="KPB9" s="34"/>
      <c r="KPC9" s="390"/>
      <c r="KPD9" s="515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5"/>
      <c r="KPR9" s="34"/>
      <c r="KPS9" s="390"/>
      <c r="KPT9" s="515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5"/>
      <c r="KQH9" s="34"/>
      <c r="KQI9" s="390"/>
      <c r="KQJ9" s="515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5"/>
      <c r="KQX9" s="34"/>
      <c r="KQY9" s="390"/>
      <c r="KQZ9" s="515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5"/>
      <c r="KRN9" s="34"/>
      <c r="KRO9" s="390"/>
      <c r="KRP9" s="515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5"/>
      <c r="KSD9" s="34"/>
      <c r="KSE9" s="390"/>
      <c r="KSF9" s="515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5"/>
      <c r="KST9" s="34"/>
      <c r="KSU9" s="390"/>
      <c r="KSV9" s="515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5"/>
      <c r="KTJ9" s="34"/>
      <c r="KTK9" s="390"/>
      <c r="KTL9" s="515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5"/>
      <c r="KTZ9" s="34"/>
      <c r="KUA9" s="390"/>
      <c r="KUB9" s="515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5"/>
      <c r="KUP9" s="34"/>
      <c r="KUQ9" s="390"/>
      <c r="KUR9" s="515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5"/>
      <c r="KVF9" s="34"/>
      <c r="KVG9" s="390"/>
      <c r="KVH9" s="515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5"/>
      <c r="KVV9" s="34"/>
      <c r="KVW9" s="390"/>
      <c r="KVX9" s="515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5"/>
      <c r="KWL9" s="34"/>
      <c r="KWM9" s="390"/>
      <c r="KWN9" s="515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5"/>
      <c r="KXB9" s="34"/>
      <c r="KXC9" s="390"/>
      <c r="KXD9" s="515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5"/>
      <c r="KXR9" s="34"/>
      <c r="KXS9" s="390"/>
      <c r="KXT9" s="515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5"/>
      <c r="KYH9" s="34"/>
      <c r="KYI9" s="390"/>
      <c r="KYJ9" s="515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5"/>
      <c r="KYX9" s="34"/>
      <c r="KYY9" s="390"/>
      <c r="KYZ9" s="515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5"/>
      <c r="KZN9" s="34"/>
      <c r="KZO9" s="390"/>
      <c r="KZP9" s="515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5"/>
      <c r="LAD9" s="34"/>
      <c r="LAE9" s="390"/>
      <c r="LAF9" s="515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5"/>
      <c r="LAT9" s="34"/>
      <c r="LAU9" s="390"/>
      <c r="LAV9" s="515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5"/>
      <c r="LBJ9" s="34"/>
      <c r="LBK9" s="390"/>
      <c r="LBL9" s="515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5"/>
      <c r="LBZ9" s="34"/>
      <c r="LCA9" s="390"/>
      <c r="LCB9" s="515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5"/>
      <c r="LCP9" s="34"/>
      <c r="LCQ9" s="390"/>
      <c r="LCR9" s="515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5"/>
      <c r="LDF9" s="34"/>
      <c r="LDG9" s="390"/>
      <c r="LDH9" s="515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5"/>
      <c r="LDV9" s="34"/>
      <c r="LDW9" s="390"/>
      <c r="LDX9" s="515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5"/>
      <c r="LEL9" s="34"/>
      <c r="LEM9" s="390"/>
      <c r="LEN9" s="515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5"/>
      <c r="LFB9" s="34"/>
      <c r="LFC9" s="390"/>
      <c r="LFD9" s="515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5"/>
      <c r="LFR9" s="34"/>
      <c r="LFS9" s="390"/>
      <c r="LFT9" s="515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5"/>
      <c r="LGH9" s="34"/>
      <c r="LGI9" s="390"/>
      <c r="LGJ9" s="515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5"/>
      <c r="LGX9" s="34"/>
      <c r="LGY9" s="390"/>
      <c r="LGZ9" s="515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5"/>
      <c r="LHN9" s="34"/>
      <c r="LHO9" s="390"/>
      <c r="LHP9" s="515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5"/>
      <c r="LID9" s="34"/>
      <c r="LIE9" s="390"/>
      <c r="LIF9" s="515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5"/>
      <c r="LIT9" s="34"/>
      <c r="LIU9" s="390"/>
      <c r="LIV9" s="515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5"/>
      <c r="LJJ9" s="34"/>
      <c r="LJK9" s="390"/>
      <c r="LJL9" s="515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5"/>
      <c r="LJZ9" s="34"/>
      <c r="LKA9" s="390"/>
      <c r="LKB9" s="515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5"/>
      <c r="LKP9" s="34"/>
      <c r="LKQ9" s="390"/>
      <c r="LKR9" s="515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5"/>
      <c r="LLF9" s="34"/>
      <c r="LLG9" s="390"/>
      <c r="LLH9" s="515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5"/>
      <c r="LLV9" s="34"/>
      <c r="LLW9" s="390"/>
      <c r="LLX9" s="515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5"/>
      <c r="LML9" s="34"/>
      <c r="LMM9" s="390"/>
      <c r="LMN9" s="515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5"/>
      <c r="LNB9" s="34"/>
      <c r="LNC9" s="390"/>
      <c r="LND9" s="515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5"/>
      <c r="LNR9" s="34"/>
      <c r="LNS9" s="390"/>
      <c r="LNT9" s="515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5"/>
      <c r="LOH9" s="34"/>
      <c r="LOI9" s="390"/>
      <c r="LOJ9" s="515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5"/>
      <c r="LOX9" s="34"/>
      <c r="LOY9" s="390"/>
      <c r="LOZ9" s="515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5"/>
      <c r="LPN9" s="34"/>
      <c r="LPO9" s="390"/>
      <c r="LPP9" s="515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5"/>
      <c r="LQD9" s="34"/>
      <c r="LQE9" s="390"/>
      <c r="LQF9" s="515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5"/>
      <c r="LQT9" s="34"/>
      <c r="LQU9" s="390"/>
      <c r="LQV9" s="515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5"/>
      <c r="LRJ9" s="34"/>
      <c r="LRK9" s="390"/>
      <c r="LRL9" s="515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5"/>
      <c r="LRZ9" s="34"/>
      <c r="LSA9" s="390"/>
      <c r="LSB9" s="515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5"/>
      <c r="LSP9" s="34"/>
      <c r="LSQ9" s="390"/>
      <c r="LSR9" s="515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5"/>
      <c r="LTF9" s="34"/>
      <c r="LTG9" s="390"/>
      <c r="LTH9" s="515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5"/>
      <c r="LTV9" s="34"/>
      <c r="LTW9" s="390"/>
      <c r="LTX9" s="515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5"/>
      <c r="LUL9" s="34"/>
      <c r="LUM9" s="390"/>
      <c r="LUN9" s="515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5"/>
      <c r="LVB9" s="34"/>
      <c r="LVC9" s="390"/>
      <c r="LVD9" s="515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5"/>
      <c r="LVR9" s="34"/>
      <c r="LVS9" s="390"/>
      <c r="LVT9" s="515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5"/>
      <c r="LWH9" s="34"/>
      <c r="LWI9" s="390"/>
      <c r="LWJ9" s="515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5"/>
      <c r="LWX9" s="34"/>
      <c r="LWY9" s="390"/>
      <c r="LWZ9" s="515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5"/>
      <c r="LXN9" s="34"/>
      <c r="LXO9" s="390"/>
      <c r="LXP9" s="515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5"/>
      <c r="LYD9" s="34"/>
      <c r="LYE9" s="390"/>
      <c r="LYF9" s="515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5"/>
      <c r="LYT9" s="34"/>
      <c r="LYU9" s="390"/>
      <c r="LYV9" s="515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5"/>
      <c r="LZJ9" s="34"/>
      <c r="LZK9" s="390"/>
      <c r="LZL9" s="515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5"/>
      <c r="LZZ9" s="34"/>
      <c r="MAA9" s="390"/>
      <c r="MAB9" s="515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5"/>
      <c r="MAP9" s="34"/>
      <c r="MAQ9" s="390"/>
      <c r="MAR9" s="515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5"/>
      <c r="MBF9" s="34"/>
      <c r="MBG9" s="390"/>
      <c r="MBH9" s="515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5"/>
      <c r="MBV9" s="34"/>
      <c r="MBW9" s="390"/>
      <c r="MBX9" s="515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5"/>
      <c r="MCL9" s="34"/>
      <c r="MCM9" s="390"/>
      <c r="MCN9" s="515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5"/>
      <c r="MDB9" s="34"/>
      <c r="MDC9" s="390"/>
      <c r="MDD9" s="515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5"/>
      <c r="MDR9" s="34"/>
      <c r="MDS9" s="390"/>
      <c r="MDT9" s="515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5"/>
      <c r="MEH9" s="34"/>
      <c r="MEI9" s="390"/>
      <c r="MEJ9" s="515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5"/>
      <c r="MEX9" s="34"/>
      <c r="MEY9" s="390"/>
      <c r="MEZ9" s="515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5"/>
      <c r="MFN9" s="34"/>
      <c r="MFO9" s="390"/>
      <c r="MFP9" s="515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5"/>
      <c r="MGD9" s="34"/>
      <c r="MGE9" s="390"/>
      <c r="MGF9" s="515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5"/>
      <c r="MGT9" s="34"/>
      <c r="MGU9" s="390"/>
      <c r="MGV9" s="515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5"/>
      <c r="MHJ9" s="34"/>
      <c r="MHK9" s="390"/>
      <c r="MHL9" s="515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5"/>
      <c r="MHZ9" s="34"/>
      <c r="MIA9" s="390"/>
      <c r="MIB9" s="515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5"/>
      <c r="MIP9" s="34"/>
      <c r="MIQ9" s="390"/>
      <c r="MIR9" s="515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5"/>
      <c r="MJF9" s="34"/>
      <c r="MJG9" s="390"/>
      <c r="MJH9" s="515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5"/>
      <c r="MJV9" s="34"/>
      <c r="MJW9" s="390"/>
      <c r="MJX9" s="515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5"/>
      <c r="MKL9" s="34"/>
      <c r="MKM9" s="390"/>
      <c r="MKN9" s="515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5"/>
      <c r="MLB9" s="34"/>
      <c r="MLC9" s="390"/>
      <c r="MLD9" s="515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5"/>
      <c r="MLR9" s="34"/>
      <c r="MLS9" s="390"/>
      <c r="MLT9" s="515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5"/>
      <c r="MMH9" s="34"/>
      <c r="MMI9" s="390"/>
      <c r="MMJ9" s="515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5"/>
      <c r="MMX9" s="34"/>
      <c r="MMY9" s="390"/>
      <c r="MMZ9" s="515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5"/>
      <c r="MNN9" s="34"/>
      <c r="MNO9" s="390"/>
      <c r="MNP9" s="515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5"/>
      <c r="MOD9" s="34"/>
      <c r="MOE9" s="390"/>
      <c r="MOF9" s="515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5"/>
      <c r="MOT9" s="34"/>
      <c r="MOU9" s="390"/>
      <c r="MOV9" s="515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5"/>
      <c r="MPJ9" s="34"/>
      <c r="MPK9" s="390"/>
      <c r="MPL9" s="515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5"/>
      <c r="MPZ9" s="34"/>
      <c r="MQA9" s="390"/>
      <c r="MQB9" s="515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5"/>
      <c r="MQP9" s="34"/>
      <c r="MQQ9" s="390"/>
      <c r="MQR9" s="515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5"/>
      <c r="MRF9" s="34"/>
      <c r="MRG9" s="390"/>
      <c r="MRH9" s="515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5"/>
      <c r="MRV9" s="34"/>
      <c r="MRW9" s="390"/>
      <c r="MRX9" s="515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5"/>
      <c r="MSL9" s="34"/>
      <c r="MSM9" s="390"/>
      <c r="MSN9" s="515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5"/>
      <c r="MTB9" s="34"/>
      <c r="MTC9" s="390"/>
      <c r="MTD9" s="515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5"/>
      <c r="MTR9" s="34"/>
      <c r="MTS9" s="390"/>
      <c r="MTT9" s="515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5"/>
      <c r="MUH9" s="34"/>
      <c r="MUI9" s="390"/>
      <c r="MUJ9" s="515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5"/>
      <c r="MUX9" s="34"/>
      <c r="MUY9" s="390"/>
      <c r="MUZ9" s="515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5"/>
      <c r="MVN9" s="34"/>
      <c r="MVO9" s="390"/>
      <c r="MVP9" s="515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5"/>
      <c r="MWD9" s="34"/>
      <c r="MWE9" s="390"/>
      <c r="MWF9" s="515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5"/>
      <c r="MWT9" s="34"/>
      <c r="MWU9" s="390"/>
      <c r="MWV9" s="515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5"/>
      <c r="MXJ9" s="34"/>
      <c r="MXK9" s="390"/>
      <c r="MXL9" s="515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5"/>
      <c r="MXZ9" s="34"/>
      <c r="MYA9" s="390"/>
      <c r="MYB9" s="515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5"/>
      <c r="MYP9" s="34"/>
      <c r="MYQ9" s="390"/>
      <c r="MYR9" s="515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5"/>
      <c r="MZF9" s="34"/>
      <c r="MZG9" s="390"/>
      <c r="MZH9" s="515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5"/>
      <c r="MZV9" s="34"/>
      <c r="MZW9" s="390"/>
      <c r="MZX9" s="515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5"/>
      <c r="NAL9" s="34"/>
      <c r="NAM9" s="390"/>
      <c r="NAN9" s="515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5"/>
      <c r="NBB9" s="34"/>
      <c r="NBC9" s="390"/>
      <c r="NBD9" s="515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5"/>
      <c r="NBR9" s="34"/>
      <c r="NBS9" s="390"/>
      <c r="NBT9" s="515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5"/>
      <c r="NCH9" s="34"/>
      <c r="NCI9" s="390"/>
      <c r="NCJ9" s="515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5"/>
      <c r="NCX9" s="34"/>
      <c r="NCY9" s="390"/>
      <c r="NCZ9" s="515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5"/>
      <c r="NDN9" s="34"/>
      <c r="NDO9" s="390"/>
      <c r="NDP9" s="515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5"/>
      <c r="NED9" s="34"/>
      <c r="NEE9" s="390"/>
      <c r="NEF9" s="515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5"/>
      <c r="NET9" s="34"/>
      <c r="NEU9" s="390"/>
      <c r="NEV9" s="515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5"/>
      <c r="NFJ9" s="34"/>
      <c r="NFK9" s="390"/>
      <c r="NFL9" s="515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5"/>
      <c r="NFZ9" s="34"/>
      <c r="NGA9" s="390"/>
      <c r="NGB9" s="515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5"/>
      <c r="NGP9" s="34"/>
      <c r="NGQ9" s="390"/>
      <c r="NGR9" s="515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5"/>
      <c r="NHF9" s="34"/>
      <c r="NHG9" s="390"/>
      <c r="NHH9" s="515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5"/>
      <c r="NHV9" s="34"/>
      <c r="NHW9" s="390"/>
      <c r="NHX9" s="515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5"/>
      <c r="NIL9" s="34"/>
      <c r="NIM9" s="390"/>
      <c r="NIN9" s="515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5"/>
      <c r="NJB9" s="34"/>
      <c r="NJC9" s="390"/>
      <c r="NJD9" s="515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5"/>
      <c r="NJR9" s="34"/>
      <c r="NJS9" s="390"/>
      <c r="NJT9" s="515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5"/>
      <c r="NKH9" s="34"/>
      <c r="NKI9" s="390"/>
      <c r="NKJ9" s="515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5"/>
      <c r="NKX9" s="34"/>
      <c r="NKY9" s="390"/>
      <c r="NKZ9" s="515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5"/>
      <c r="NLN9" s="34"/>
      <c r="NLO9" s="390"/>
      <c r="NLP9" s="515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5"/>
      <c r="NMD9" s="34"/>
      <c r="NME9" s="390"/>
      <c r="NMF9" s="515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5"/>
      <c r="NMT9" s="34"/>
      <c r="NMU9" s="390"/>
      <c r="NMV9" s="515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5"/>
      <c r="NNJ9" s="34"/>
      <c r="NNK9" s="390"/>
      <c r="NNL9" s="515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5"/>
      <c r="NNZ9" s="34"/>
      <c r="NOA9" s="390"/>
      <c r="NOB9" s="515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5"/>
      <c r="NOP9" s="34"/>
      <c r="NOQ9" s="390"/>
      <c r="NOR9" s="515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5"/>
      <c r="NPF9" s="34"/>
      <c r="NPG9" s="390"/>
      <c r="NPH9" s="515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5"/>
      <c r="NPV9" s="34"/>
      <c r="NPW9" s="390"/>
      <c r="NPX9" s="515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5"/>
      <c r="NQL9" s="34"/>
      <c r="NQM9" s="390"/>
      <c r="NQN9" s="515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5"/>
      <c r="NRB9" s="34"/>
      <c r="NRC9" s="390"/>
      <c r="NRD9" s="515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5"/>
      <c r="NRR9" s="34"/>
      <c r="NRS9" s="390"/>
      <c r="NRT9" s="515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5"/>
      <c r="NSH9" s="34"/>
      <c r="NSI9" s="390"/>
      <c r="NSJ9" s="515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5"/>
      <c r="NSX9" s="34"/>
      <c r="NSY9" s="390"/>
      <c r="NSZ9" s="515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5"/>
      <c r="NTN9" s="34"/>
      <c r="NTO9" s="390"/>
      <c r="NTP9" s="515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5"/>
      <c r="NUD9" s="34"/>
      <c r="NUE9" s="390"/>
      <c r="NUF9" s="515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5"/>
      <c r="NUT9" s="34"/>
      <c r="NUU9" s="390"/>
      <c r="NUV9" s="515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5"/>
      <c r="NVJ9" s="34"/>
      <c r="NVK9" s="390"/>
      <c r="NVL9" s="515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5"/>
      <c r="NVZ9" s="34"/>
      <c r="NWA9" s="390"/>
      <c r="NWB9" s="515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5"/>
      <c r="NWP9" s="34"/>
      <c r="NWQ9" s="390"/>
      <c r="NWR9" s="515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5"/>
      <c r="NXF9" s="34"/>
      <c r="NXG9" s="390"/>
      <c r="NXH9" s="515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5"/>
      <c r="NXV9" s="34"/>
      <c r="NXW9" s="390"/>
      <c r="NXX9" s="515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5"/>
      <c r="NYL9" s="34"/>
      <c r="NYM9" s="390"/>
      <c r="NYN9" s="515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5"/>
      <c r="NZB9" s="34"/>
      <c r="NZC9" s="390"/>
      <c r="NZD9" s="515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5"/>
      <c r="NZR9" s="34"/>
      <c r="NZS9" s="390"/>
      <c r="NZT9" s="515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5"/>
      <c r="OAH9" s="34"/>
      <c r="OAI9" s="390"/>
      <c r="OAJ9" s="515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5"/>
      <c r="OAX9" s="34"/>
      <c r="OAY9" s="390"/>
      <c r="OAZ9" s="515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5"/>
      <c r="OBN9" s="34"/>
      <c r="OBO9" s="390"/>
      <c r="OBP9" s="515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5"/>
      <c r="OCD9" s="34"/>
      <c r="OCE9" s="390"/>
      <c r="OCF9" s="515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5"/>
      <c r="OCT9" s="34"/>
      <c r="OCU9" s="390"/>
      <c r="OCV9" s="515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5"/>
      <c r="ODJ9" s="34"/>
      <c r="ODK9" s="390"/>
      <c r="ODL9" s="515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5"/>
      <c r="ODZ9" s="34"/>
      <c r="OEA9" s="390"/>
      <c r="OEB9" s="515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5"/>
      <c r="OEP9" s="34"/>
      <c r="OEQ9" s="390"/>
      <c r="OER9" s="515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5"/>
      <c r="OFF9" s="34"/>
      <c r="OFG9" s="390"/>
      <c r="OFH9" s="515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5"/>
      <c r="OFV9" s="34"/>
      <c r="OFW9" s="390"/>
      <c r="OFX9" s="515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5"/>
      <c r="OGL9" s="34"/>
      <c r="OGM9" s="390"/>
      <c r="OGN9" s="515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5"/>
      <c r="OHB9" s="34"/>
      <c r="OHC9" s="390"/>
      <c r="OHD9" s="515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5"/>
      <c r="OHR9" s="34"/>
      <c r="OHS9" s="390"/>
      <c r="OHT9" s="515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5"/>
      <c r="OIH9" s="34"/>
      <c r="OII9" s="390"/>
      <c r="OIJ9" s="515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5"/>
      <c r="OIX9" s="34"/>
      <c r="OIY9" s="390"/>
      <c r="OIZ9" s="515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5"/>
      <c r="OJN9" s="34"/>
      <c r="OJO9" s="390"/>
      <c r="OJP9" s="515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5"/>
      <c r="OKD9" s="34"/>
      <c r="OKE9" s="390"/>
      <c r="OKF9" s="515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5"/>
      <c r="OKT9" s="34"/>
      <c r="OKU9" s="390"/>
      <c r="OKV9" s="515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5"/>
      <c r="OLJ9" s="34"/>
      <c r="OLK9" s="390"/>
      <c r="OLL9" s="515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5"/>
      <c r="OLZ9" s="34"/>
      <c r="OMA9" s="390"/>
      <c r="OMB9" s="515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5"/>
      <c r="OMP9" s="34"/>
      <c r="OMQ9" s="390"/>
      <c r="OMR9" s="515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5"/>
      <c r="ONF9" s="34"/>
      <c r="ONG9" s="390"/>
      <c r="ONH9" s="515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5"/>
      <c r="ONV9" s="34"/>
      <c r="ONW9" s="390"/>
      <c r="ONX9" s="515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5"/>
      <c r="OOL9" s="34"/>
      <c r="OOM9" s="390"/>
      <c r="OON9" s="515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5"/>
      <c r="OPB9" s="34"/>
      <c r="OPC9" s="390"/>
      <c r="OPD9" s="515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5"/>
      <c r="OPR9" s="34"/>
      <c r="OPS9" s="390"/>
      <c r="OPT9" s="515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5"/>
      <c r="OQH9" s="34"/>
      <c r="OQI9" s="390"/>
      <c r="OQJ9" s="515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5"/>
      <c r="OQX9" s="34"/>
      <c r="OQY9" s="390"/>
      <c r="OQZ9" s="515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5"/>
      <c r="ORN9" s="34"/>
      <c r="ORO9" s="390"/>
      <c r="ORP9" s="515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5"/>
      <c r="OSD9" s="34"/>
      <c r="OSE9" s="390"/>
      <c r="OSF9" s="515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5"/>
      <c r="OST9" s="34"/>
      <c r="OSU9" s="390"/>
      <c r="OSV9" s="515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5"/>
      <c r="OTJ9" s="34"/>
      <c r="OTK9" s="390"/>
      <c r="OTL9" s="515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5"/>
      <c r="OTZ9" s="34"/>
      <c r="OUA9" s="390"/>
      <c r="OUB9" s="515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5"/>
      <c r="OUP9" s="34"/>
      <c r="OUQ9" s="390"/>
      <c r="OUR9" s="515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5"/>
      <c r="OVF9" s="34"/>
      <c r="OVG9" s="390"/>
      <c r="OVH9" s="515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5"/>
      <c r="OVV9" s="34"/>
      <c r="OVW9" s="390"/>
      <c r="OVX9" s="515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5"/>
      <c r="OWL9" s="34"/>
      <c r="OWM9" s="390"/>
      <c r="OWN9" s="515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5"/>
      <c r="OXB9" s="34"/>
      <c r="OXC9" s="390"/>
      <c r="OXD9" s="515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5"/>
      <c r="OXR9" s="34"/>
      <c r="OXS9" s="390"/>
      <c r="OXT9" s="515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5"/>
      <c r="OYH9" s="34"/>
      <c r="OYI9" s="390"/>
      <c r="OYJ9" s="515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5"/>
      <c r="OYX9" s="34"/>
      <c r="OYY9" s="390"/>
      <c r="OYZ9" s="515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5"/>
      <c r="OZN9" s="34"/>
      <c r="OZO9" s="390"/>
      <c r="OZP9" s="515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5"/>
      <c r="PAD9" s="34"/>
      <c r="PAE9" s="390"/>
      <c r="PAF9" s="515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5"/>
      <c r="PAT9" s="34"/>
      <c r="PAU9" s="390"/>
      <c r="PAV9" s="515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5"/>
      <c r="PBJ9" s="34"/>
      <c r="PBK9" s="390"/>
      <c r="PBL9" s="515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5"/>
      <c r="PBZ9" s="34"/>
      <c r="PCA9" s="390"/>
      <c r="PCB9" s="515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5"/>
      <c r="PCP9" s="34"/>
      <c r="PCQ9" s="390"/>
      <c r="PCR9" s="515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5"/>
      <c r="PDF9" s="34"/>
      <c r="PDG9" s="390"/>
      <c r="PDH9" s="515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5"/>
      <c r="PDV9" s="34"/>
      <c r="PDW9" s="390"/>
      <c r="PDX9" s="515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5"/>
      <c r="PEL9" s="34"/>
      <c r="PEM9" s="390"/>
      <c r="PEN9" s="515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5"/>
      <c r="PFB9" s="34"/>
      <c r="PFC9" s="390"/>
      <c r="PFD9" s="515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5"/>
      <c r="PFR9" s="34"/>
      <c r="PFS9" s="390"/>
      <c r="PFT9" s="515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5"/>
      <c r="PGH9" s="34"/>
      <c r="PGI9" s="390"/>
      <c r="PGJ9" s="515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5"/>
      <c r="PGX9" s="34"/>
      <c r="PGY9" s="390"/>
      <c r="PGZ9" s="515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5"/>
      <c r="PHN9" s="34"/>
      <c r="PHO9" s="390"/>
      <c r="PHP9" s="515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5"/>
      <c r="PID9" s="34"/>
      <c r="PIE9" s="390"/>
      <c r="PIF9" s="515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5"/>
      <c r="PIT9" s="34"/>
      <c r="PIU9" s="390"/>
      <c r="PIV9" s="515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5"/>
      <c r="PJJ9" s="34"/>
      <c r="PJK9" s="390"/>
      <c r="PJL9" s="515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5"/>
      <c r="PJZ9" s="34"/>
      <c r="PKA9" s="390"/>
      <c r="PKB9" s="515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5"/>
      <c r="PKP9" s="34"/>
      <c r="PKQ9" s="390"/>
      <c r="PKR9" s="515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5"/>
      <c r="PLF9" s="34"/>
      <c r="PLG9" s="390"/>
      <c r="PLH9" s="515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5"/>
      <c r="PLV9" s="34"/>
      <c r="PLW9" s="390"/>
      <c r="PLX9" s="515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5"/>
      <c r="PML9" s="34"/>
      <c r="PMM9" s="390"/>
      <c r="PMN9" s="515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5"/>
      <c r="PNB9" s="34"/>
      <c r="PNC9" s="390"/>
      <c r="PND9" s="515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5"/>
      <c r="PNR9" s="34"/>
      <c r="PNS9" s="390"/>
      <c r="PNT9" s="515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5"/>
      <c r="POH9" s="34"/>
      <c r="POI9" s="390"/>
      <c r="POJ9" s="515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5"/>
      <c r="POX9" s="34"/>
      <c r="POY9" s="390"/>
      <c r="POZ9" s="515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5"/>
      <c r="PPN9" s="34"/>
      <c r="PPO9" s="390"/>
      <c r="PPP9" s="515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5"/>
      <c r="PQD9" s="34"/>
      <c r="PQE9" s="390"/>
      <c r="PQF9" s="515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5"/>
      <c r="PQT9" s="34"/>
      <c r="PQU9" s="390"/>
      <c r="PQV9" s="515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5"/>
      <c r="PRJ9" s="34"/>
      <c r="PRK9" s="390"/>
      <c r="PRL9" s="515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5"/>
      <c r="PRZ9" s="34"/>
      <c r="PSA9" s="390"/>
      <c r="PSB9" s="515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5"/>
      <c r="PSP9" s="34"/>
      <c r="PSQ9" s="390"/>
      <c r="PSR9" s="515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5"/>
      <c r="PTF9" s="34"/>
      <c r="PTG9" s="390"/>
      <c r="PTH9" s="515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5"/>
      <c r="PTV9" s="34"/>
      <c r="PTW9" s="390"/>
      <c r="PTX9" s="515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5"/>
      <c r="PUL9" s="34"/>
      <c r="PUM9" s="390"/>
      <c r="PUN9" s="515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5"/>
      <c r="PVB9" s="34"/>
      <c r="PVC9" s="390"/>
      <c r="PVD9" s="515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5"/>
      <c r="PVR9" s="34"/>
      <c r="PVS9" s="390"/>
      <c r="PVT9" s="515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5"/>
      <c r="PWH9" s="34"/>
      <c r="PWI9" s="390"/>
      <c r="PWJ9" s="515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5"/>
      <c r="PWX9" s="34"/>
      <c r="PWY9" s="390"/>
      <c r="PWZ9" s="515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5"/>
      <c r="PXN9" s="34"/>
      <c r="PXO9" s="390"/>
      <c r="PXP9" s="515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5"/>
      <c r="PYD9" s="34"/>
      <c r="PYE9" s="390"/>
      <c r="PYF9" s="515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5"/>
      <c r="PYT9" s="34"/>
      <c r="PYU9" s="390"/>
      <c r="PYV9" s="515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5"/>
      <c r="PZJ9" s="34"/>
      <c r="PZK9" s="390"/>
      <c r="PZL9" s="515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5"/>
      <c r="PZZ9" s="34"/>
      <c r="QAA9" s="390"/>
      <c r="QAB9" s="515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5"/>
      <c r="QAP9" s="34"/>
      <c r="QAQ9" s="390"/>
      <c r="QAR9" s="515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5"/>
      <c r="QBF9" s="34"/>
      <c r="QBG9" s="390"/>
      <c r="QBH9" s="515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5"/>
      <c r="QBV9" s="34"/>
      <c r="QBW9" s="390"/>
      <c r="QBX9" s="515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5"/>
      <c r="QCL9" s="34"/>
      <c r="QCM9" s="390"/>
      <c r="QCN9" s="515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5"/>
      <c r="QDB9" s="34"/>
      <c r="QDC9" s="390"/>
      <c r="QDD9" s="515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5"/>
      <c r="QDR9" s="34"/>
      <c r="QDS9" s="390"/>
      <c r="QDT9" s="515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5"/>
      <c r="QEH9" s="34"/>
      <c r="QEI9" s="390"/>
      <c r="QEJ9" s="515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5"/>
      <c r="QEX9" s="34"/>
      <c r="QEY9" s="390"/>
      <c r="QEZ9" s="515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5"/>
      <c r="QFN9" s="34"/>
      <c r="QFO9" s="390"/>
      <c r="QFP9" s="515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5"/>
      <c r="QGD9" s="34"/>
      <c r="QGE9" s="390"/>
      <c r="QGF9" s="515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5"/>
      <c r="QGT9" s="34"/>
      <c r="QGU9" s="390"/>
      <c r="QGV9" s="515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5"/>
      <c r="QHJ9" s="34"/>
      <c r="QHK9" s="390"/>
      <c r="QHL9" s="515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5"/>
      <c r="QHZ9" s="34"/>
      <c r="QIA9" s="390"/>
      <c r="QIB9" s="515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5"/>
      <c r="QIP9" s="34"/>
      <c r="QIQ9" s="390"/>
      <c r="QIR9" s="515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5"/>
      <c r="QJF9" s="34"/>
      <c r="QJG9" s="390"/>
      <c r="QJH9" s="515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5"/>
      <c r="QJV9" s="34"/>
      <c r="QJW9" s="390"/>
      <c r="QJX9" s="515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5"/>
      <c r="QKL9" s="34"/>
      <c r="QKM9" s="390"/>
      <c r="QKN9" s="515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5"/>
      <c r="QLB9" s="34"/>
      <c r="QLC9" s="390"/>
      <c r="QLD9" s="515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5"/>
      <c r="QLR9" s="34"/>
      <c r="QLS9" s="390"/>
      <c r="QLT9" s="515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5"/>
      <c r="QMH9" s="34"/>
      <c r="QMI9" s="390"/>
      <c r="QMJ9" s="515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5"/>
      <c r="QMX9" s="34"/>
      <c r="QMY9" s="390"/>
      <c r="QMZ9" s="515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5"/>
      <c r="QNN9" s="34"/>
      <c r="QNO9" s="390"/>
      <c r="QNP9" s="515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5"/>
      <c r="QOD9" s="34"/>
      <c r="QOE9" s="390"/>
      <c r="QOF9" s="515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5"/>
      <c r="QOT9" s="34"/>
      <c r="QOU9" s="390"/>
      <c r="QOV9" s="515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5"/>
      <c r="QPJ9" s="34"/>
      <c r="QPK9" s="390"/>
      <c r="QPL9" s="515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5"/>
      <c r="QPZ9" s="34"/>
      <c r="QQA9" s="390"/>
      <c r="QQB9" s="515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5"/>
      <c r="QQP9" s="34"/>
      <c r="QQQ9" s="390"/>
      <c r="QQR9" s="515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5"/>
      <c r="QRF9" s="34"/>
      <c r="QRG9" s="390"/>
      <c r="QRH9" s="515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5"/>
      <c r="QRV9" s="34"/>
      <c r="QRW9" s="390"/>
      <c r="QRX9" s="515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5"/>
      <c r="QSL9" s="34"/>
      <c r="QSM9" s="390"/>
      <c r="QSN9" s="515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5"/>
      <c r="QTB9" s="34"/>
      <c r="QTC9" s="390"/>
      <c r="QTD9" s="515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5"/>
      <c r="QTR9" s="34"/>
      <c r="QTS9" s="390"/>
      <c r="QTT9" s="515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5"/>
      <c r="QUH9" s="34"/>
      <c r="QUI9" s="390"/>
      <c r="QUJ9" s="515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5"/>
      <c r="QUX9" s="34"/>
      <c r="QUY9" s="390"/>
      <c r="QUZ9" s="515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5"/>
      <c r="QVN9" s="34"/>
      <c r="QVO9" s="390"/>
      <c r="QVP9" s="515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5"/>
      <c r="QWD9" s="34"/>
      <c r="QWE9" s="390"/>
      <c r="QWF9" s="515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5"/>
      <c r="QWT9" s="34"/>
      <c r="QWU9" s="390"/>
      <c r="QWV9" s="515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5"/>
      <c r="QXJ9" s="34"/>
      <c r="QXK9" s="390"/>
      <c r="QXL9" s="515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5"/>
      <c r="QXZ9" s="34"/>
      <c r="QYA9" s="390"/>
      <c r="QYB9" s="515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5"/>
      <c r="QYP9" s="34"/>
      <c r="QYQ9" s="390"/>
      <c r="QYR9" s="515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5"/>
      <c r="QZF9" s="34"/>
      <c r="QZG9" s="390"/>
      <c r="QZH9" s="515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5"/>
      <c r="QZV9" s="34"/>
      <c r="QZW9" s="390"/>
      <c r="QZX9" s="515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5"/>
      <c r="RAL9" s="34"/>
      <c r="RAM9" s="390"/>
      <c r="RAN9" s="515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5"/>
      <c r="RBB9" s="34"/>
      <c r="RBC9" s="390"/>
      <c r="RBD9" s="515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5"/>
      <c r="RBR9" s="34"/>
      <c r="RBS9" s="390"/>
      <c r="RBT9" s="515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5"/>
      <c r="RCH9" s="34"/>
      <c r="RCI9" s="390"/>
      <c r="RCJ9" s="515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5"/>
      <c r="RCX9" s="34"/>
      <c r="RCY9" s="390"/>
      <c r="RCZ9" s="515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5"/>
      <c r="RDN9" s="34"/>
      <c r="RDO9" s="390"/>
      <c r="RDP9" s="515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5"/>
      <c r="RED9" s="34"/>
      <c r="REE9" s="390"/>
      <c r="REF9" s="515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5"/>
      <c r="RET9" s="34"/>
      <c r="REU9" s="390"/>
      <c r="REV9" s="515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5"/>
      <c r="RFJ9" s="34"/>
      <c r="RFK9" s="390"/>
      <c r="RFL9" s="515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5"/>
      <c r="RFZ9" s="34"/>
      <c r="RGA9" s="390"/>
      <c r="RGB9" s="515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5"/>
      <c r="RGP9" s="34"/>
      <c r="RGQ9" s="390"/>
      <c r="RGR9" s="515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5"/>
      <c r="RHF9" s="34"/>
      <c r="RHG9" s="390"/>
      <c r="RHH9" s="515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5"/>
      <c r="RHV9" s="34"/>
      <c r="RHW9" s="390"/>
      <c r="RHX9" s="515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5"/>
      <c r="RIL9" s="34"/>
      <c r="RIM9" s="390"/>
      <c r="RIN9" s="515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5"/>
      <c r="RJB9" s="34"/>
      <c r="RJC9" s="390"/>
      <c r="RJD9" s="515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5"/>
      <c r="RJR9" s="34"/>
      <c r="RJS9" s="390"/>
      <c r="RJT9" s="515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5"/>
      <c r="RKH9" s="34"/>
      <c r="RKI9" s="390"/>
      <c r="RKJ9" s="515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5"/>
      <c r="RKX9" s="34"/>
      <c r="RKY9" s="390"/>
      <c r="RKZ9" s="515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5"/>
      <c r="RLN9" s="34"/>
      <c r="RLO9" s="390"/>
      <c r="RLP9" s="515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5"/>
      <c r="RMD9" s="34"/>
      <c r="RME9" s="390"/>
      <c r="RMF9" s="515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5"/>
      <c r="RMT9" s="34"/>
      <c r="RMU9" s="390"/>
      <c r="RMV9" s="515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5"/>
      <c r="RNJ9" s="34"/>
      <c r="RNK9" s="390"/>
      <c r="RNL9" s="515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5"/>
      <c r="RNZ9" s="34"/>
      <c r="ROA9" s="390"/>
      <c r="ROB9" s="515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5"/>
      <c r="ROP9" s="34"/>
      <c r="ROQ9" s="390"/>
      <c r="ROR9" s="515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5"/>
      <c r="RPF9" s="34"/>
      <c r="RPG9" s="390"/>
      <c r="RPH9" s="515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5"/>
      <c r="RPV9" s="34"/>
      <c r="RPW9" s="390"/>
      <c r="RPX9" s="515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5"/>
      <c r="RQL9" s="34"/>
      <c r="RQM9" s="390"/>
      <c r="RQN9" s="515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5"/>
      <c r="RRB9" s="34"/>
      <c r="RRC9" s="390"/>
      <c r="RRD9" s="515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5"/>
      <c r="RRR9" s="34"/>
      <c r="RRS9" s="390"/>
      <c r="RRT9" s="515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5"/>
      <c r="RSH9" s="34"/>
      <c r="RSI9" s="390"/>
      <c r="RSJ9" s="515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5"/>
      <c r="RSX9" s="34"/>
      <c r="RSY9" s="390"/>
      <c r="RSZ9" s="515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5"/>
      <c r="RTN9" s="34"/>
      <c r="RTO9" s="390"/>
      <c r="RTP9" s="515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5"/>
      <c r="RUD9" s="34"/>
      <c r="RUE9" s="390"/>
      <c r="RUF9" s="515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5"/>
      <c r="RUT9" s="34"/>
      <c r="RUU9" s="390"/>
      <c r="RUV9" s="515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5"/>
      <c r="RVJ9" s="34"/>
      <c r="RVK9" s="390"/>
      <c r="RVL9" s="515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5"/>
      <c r="RVZ9" s="34"/>
      <c r="RWA9" s="390"/>
      <c r="RWB9" s="515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5"/>
      <c r="RWP9" s="34"/>
      <c r="RWQ9" s="390"/>
      <c r="RWR9" s="515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5"/>
      <c r="RXF9" s="34"/>
      <c r="RXG9" s="390"/>
      <c r="RXH9" s="515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5"/>
      <c r="RXV9" s="34"/>
      <c r="RXW9" s="390"/>
      <c r="RXX9" s="515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5"/>
      <c r="RYL9" s="34"/>
      <c r="RYM9" s="390"/>
      <c r="RYN9" s="515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5"/>
      <c r="RZB9" s="34"/>
      <c r="RZC9" s="390"/>
      <c r="RZD9" s="515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5"/>
      <c r="RZR9" s="34"/>
      <c r="RZS9" s="390"/>
      <c r="RZT9" s="515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5"/>
      <c r="SAH9" s="34"/>
      <c r="SAI9" s="390"/>
      <c r="SAJ9" s="515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5"/>
      <c r="SAX9" s="34"/>
      <c r="SAY9" s="390"/>
      <c r="SAZ9" s="515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5"/>
      <c r="SBN9" s="34"/>
      <c r="SBO9" s="390"/>
      <c r="SBP9" s="515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5"/>
      <c r="SCD9" s="34"/>
      <c r="SCE9" s="390"/>
      <c r="SCF9" s="515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5"/>
      <c r="SCT9" s="34"/>
      <c r="SCU9" s="390"/>
      <c r="SCV9" s="515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5"/>
      <c r="SDJ9" s="34"/>
      <c r="SDK9" s="390"/>
      <c r="SDL9" s="515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5"/>
      <c r="SDZ9" s="34"/>
      <c r="SEA9" s="390"/>
      <c r="SEB9" s="515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5"/>
      <c r="SEP9" s="34"/>
      <c r="SEQ9" s="390"/>
      <c r="SER9" s="515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5"/>
      <c r="SFF9" s="34"/>
      <c r="SFG9" s="390"/>
      <c r="SFH9" s="515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5"/>
      <c r="SFV9" s="34"/>
      <c r="SFW9" s="390"/>
      <c r="SFX9" s="515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5"/>
      <c r="SGL9" s="34"/>
      <c r="SGM9" s="390"/>
      <c r="SGN9" s="515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5"/>
      <c r="SHB9" s="34"/>
      <c r="SHC9" s="390"/>
      <c r="SHD9" s="515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5"/>
      <c r="SHR9" s="34"/>
      <c r="SHS9" s="390"/>
      <c r="SHT9" s="515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5"/>
      <c r="SIH9" s="34"/>
      <c r="SII9" s="390"/>
      <c r="SIJ9" s="515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5"/>
      <c r="SIX9" s="34"/>
      <c r="SIY9" s="390"/>
      <c r="SIZ9" s="515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5"/>
      <c r="SJN9" s="34"/>
      <c r="SJO9" s="390"/>
      <c r="SJP9" s="515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5"/>
      <c r="SKD9" s="34"/>
      <c r="SKE9" s="390"/>
      <c r="SKF9" s="515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5"/>
      <c r="SKT9" s="34"/>
      <c r="SKU9" s="390"/>
      <c r="SKV9" s="515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5"/>
      <c r="SLJ9" s="34"/>
      <c r="SLK9" s="390"/>
      <c r="SLL9" s="515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5"/>
      <c r="SLZ9" s="34"/>
      <c r="SMA9" s="390"/>
      <c r="SMB9" s="515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5"/>
      <c r="SMP9" s="34"/>
      <c r="SMQ9" s="390"/>
      <c r="SMR9" s="515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5"/>
      <c r="SNF9" s="34"/>
      <c r="SNG9" s="390"/>
      <c r="SNH9" s="515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5"/>
      <c r="SNV9" s="34"/>
      <c r="SNW9" s="390"/>
      <c r="SNX9" s="515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5"/>
      <c r="SOL9" s="34"/>
      <c r="SOM9" s="390"/>
      <c r="SON9" s="515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5"/>
      <c r="SPB9" s="34"/>
      <c r="SPC9" s="390"/>
      <c r="SPD9" s="515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5"/>
      <c r="SPR9" s="34"/>
      <c r="SPS9" s="390"/>
      <c r="SPT9" s="515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5"/>
      <c r="SQH9" s="34"/>
      <c r="SQI9" s="390"/>
      <c r="SQJ9" s="515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5"/>
      <c r="SQX9" s="34"/>
      <c r="SQY9" s="390"/>
      <c r="SQZ9" s="515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5"/>
      <c r="SRN9" s="34"/>
      <c r="SRO9" s="390"/>
      <c r="SRP9" s="515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5"/>
      <c r="SSD9" s="34"/>
      <c r="SSE9" s="390"/>
      <c r="SSF9" s="515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5"/>
      <c r="SST9" s="34"/>
      <c r="SSU9" s="390"/>
      <c r="SSV9" s="515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5"/>
      <c r="STJ9" s="34"/>
      <c r="STK9" s="390"/>
      <c r="STL9" s="515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5"/>
      <c r="STZ9" s="34"/>
      <c r="SUA9" s="390"/>
      <c r="SUB9" s="515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5"/>
      <c r="SUP9" s="34"/>
      <c r="SUQ9" s="390"/>
      <c r="SUR9" s="515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5"/>
      <c r="SVF9" s="34"/>
      <c r="SVG9" s="390"/>
      <c r="SVH9" s="515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5"/>
      <c r="SVV9" s="34"/>
      <c r="SVW9" s="390"/>
      <c r="SVX9" s="515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5"/>
      <c r="SWL9" s="34"/>
      <c r="SWM9" s="390"/>
      <c r="SWN9" s="515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5"/>
      <c r="SXB9" s="34"/>
      <c r="SXC9" s="390"/>
      <c r="SXD9" s="515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5"/>
      <c r="SXR9" s="34"/>
      <c r="SXS9" s="390"/>
      <c r="SXT9" s="515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5"/>
      <c r="SYH9" s="34"/>
      <c r="SYI9" s="390"/>
      <c r="SYJ9" s="515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5"/>
      <c r="SYX9" s="34"/>
      <c r="SYY9" s="390"/>
      <c r="SYZ9" s="515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5"/>
      <c r="SZN9" s="34"/>
      <c r="SZO9" s="390"/>
      <c r="SZP9" s="515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5"/>
      <c r="TAD9" s="34"/>
      <c r="TAE9" s="390"/>
      <c r="TAF9" s="515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5"/>
      <c r="TAT9" s="34"/>
      <c r="TAU9" s="390"/>
      <c r="TAV9" s="515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5"/>
      <c r="TBJ9" s="34"/>
      <c r="TBK9" s="390"/>
      <c r="TBL9" s="515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5"/>
      <c r="TBZ9" s="34"/>
      <c r="TCA9" s="390"/>
      <c r="TCB9" s="515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5"/>
      <c r="TCP9" s="34"/>
      <c r="TCQ9" s="390"/>
      <c r="TCR9" s="515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5"/>
      <c r="TDF9" s="34"/>
      <c r="TDG9" s="390"/>
      <c r="TDH9" s="515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5"/>
      <c r="TDV9" s="34"/>
      <c r="TDW9" s="390"/>
      <c r="TDX9" s="515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5"/>
      <c r="TEL9" s="34"/>
      <c r="TEM9" s="390"/>
      <c r="TEN9" s="515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5"/>
      <c r="TFB9" s="34"/>
      <c r="TFC9" s="390"/>
      <c r="TFD9" s="515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5"/>
      <c r="TFR9" s="34"/>
      <c r="TFS9" s="390"/>
      <c r="TFT9" s="515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5"/>
      <c r="TGH9" s="34"/>
      <c r="TGI9" s="390"/>
      <c r="TGJ9" s="515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5"/>
      <c r="TGX9" s="34"/>
      <c r="TGY9" s="390"/>
      <c r="TGZ9" s="515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5"/>
      <c r="THN9" s="34"/>
      <c r="THO9" s="390"/>
      <c r="THP9" s="515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5"/>
      <c r="TID9" s="34"/>
      <c r="TIE9" s="390"/>
      <c r="TIF9" s="515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5"/>
      <c r="TIT9" s="34"/>
      <c r="TIU9" s="390"/>
      <c r="TIV9" s="515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5"/>
      <c r="TJJ9" s="34"/>
      <c r="TJK9" s="390"/>
      <c r="TJL9" s="515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5"/>
      <c r="TJZ9" s="34"/>
      <c r="TKA9" s="390"/>
      <c r="TKB9" s="515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5"/>
      <c r="TKP9" s="34"/>
      <c r="TKQ9" s="390"/>
      <c r="TKR9" s="515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5"/>
      <c r="TLF9" s="34"/>
      <c r="TLG9" s="390"/>
      <c r="TLH9" s="515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5"/>
      <c r="TLV9" s="34"/>
      <c r="TLW9" s="390"/>
      <c r="TLX9" s="515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5"/>
      <c r="TML9" s="34"/>
      <c r="TMM9" s="390"/>
      <c r="TMN9" s="515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5"/>
      <c r="TNB9" s="34"/>
      <c r="TNC9" s="390"/>
      <c r="TND9" s="515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5"/>
      <c r="TNR9" s="34"/>
      <c r="TNS9" s="390"/>
      <c r="TNT9" s="515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5"/>
      <c r="TOH9" s="34"/>
      <c r="TOI9" s="390"/>
      <c r="TOJ9" s="515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5"/>
      <c r="TOX9" s="34"/>
      <c r="TOY9" s="390"/>
      <c r="TOZ9" s="515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5"/>
      <c r="TPN9" s="34"/>
      <c r="TPO9" s="390"/>
      <c r="TPP9" s="515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5"/>
      <c r="TQD9" s="34"/>
      <c r="TQE9" s="390"/>
      <c r="TQF9" s="515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5"/>
      <c r="TQT9" s="34"/>
      <c r="TQU9" s="390"/>
      <c r="TQV9" s="515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5"/>
      <c r="TRJ9" s="34"/>
      <c r="TRK9" s="390"/>
      <c r="TRL9" s="515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5"/>
      <c r="TRZ9" s="34"/>
      <c r="TSA9" s="390"/>
      <c r="TSB9" s="515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5"/>
      <c r="TSP9" s="34"/>
      <c r="TSQ9" s="390"/>
      <c r="TSR9" s="515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5"/>
      <c r="TTF9" s="34"/>
      <c r="TTG9" s="390"/>
      <c r="TTH9" s="515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5"/>
      <c r="TTV9" s="34"/>
      <c r="TTW9" s="390"/>
      <c r="TTX9" s="515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5"/>
      <c r="TUL9" s="34"/>
      <c r="TUM9" s="390"/>
      <c r="TUN9" s="515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5"/>
      <c r="TVB9" s="34"/>
      <c r="TVC9" s="390"/>
      <c r="TVD9" s="515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5"/>
      <c r="TVR9" s="34"/>
      <c r="TVS9" s="390"/>
      <c r="TVT9" s="515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5"/>
      <c r="TWH9" s="34"/>
      <c r="TWI9" s="390"/>
      <c r="TWJ9" s="515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5"/>
      <c r="TWX9" s="34"/>
      <c r="TWY9" s="390"/>
      <c r="TWZ9" s="515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5"/>
      <c r="TXN9" s="34"/>
      <c r="TXO9" s="390"/>
      <c r="TXP9" s="515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5"/>
      <c r="TYD9" s="34"/>
      <c r="TYE9" s="390"/>
      <c r="TYF9" s="515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5"/>
      <c r="TYT9" s="34"/>
      <c r="TYU9" s="390"/>
      <c r="TYV9" s="515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5"/>
      <c r="TZJ9" s="34"/>
      <c r="TZK9" s="390"/>
      <c r="TZL9" s="515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5"/>
      <c r="TZZ9" s="34"/>
      <c r="UAA9" s="390"/>
      <c r="UAB9" s="515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5"/>
      <c r="UAP9" s="34"/>
      <c r="UAQ9" s="390"/>
      <c r="UAR9" s="515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5"/>
      <c r="UBF9" s="34"/>
      <c r="UBG9" s="390"/>
      <c r="UBH9" s="515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5"/>
      <c r="UBV9" s="34"/>
      <c r="UBW9" s="390"/>
      <c r="UBX9" s="515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5"/>
      <c r="UCL9" s="34"/>
      <c r="UCM9" s="390"/>
      <c r="UCN9" s="515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5"/>
      <c r="UDB9" s="34"/>
      <c r="UDC9" s="390"/>
      <c r="UDD9" s="515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5"/>
      <c r="UDR9" s="34"/>
      <c r="UDS9" s="390"/>
      <c r="UDT9" s="515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5"/>
      <c r="UEH9" s="34"/>
      <c r="UEI9" s="390"/>
      <c r="UEJ9" s="515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5"/>
      <c r="UEX9" s="34"/>
      <c r="UEY9" s="390"/>
      <c r="UEZ9" s="515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5"/>
      <c r="UFN9" s="34"/>
      <c r="UFO9" s="390"/>
      <c r="UFP9" s="515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5"/>
      <c r="UGD9" s="34"/>
      <c r="UGE9" s="390"/>
      <c r="UGF9" s="515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5"/>
      <c r="UGT9" s="34"/>
      <c r="UGU9" s="390"/>
      <c r="UGV9" s="515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5"/>
      <c r="UHJ9" s="34"/>
      <c r="UHK9" s="390"/>
      <c r="UHL9" s="515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5"/>
      <c r="UHZ9" s="34"/>
      <c r="UIA9" s="390"/>
      <c r="UIB9" s="515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5"/>
      <c r="UIP9" s="34"/>
      <c r="UIQ9" s="390"/>
      <c r="UIR9" s="515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5"/>
      <c r="UJF9" s="34"/>
      <c r="UJG9" s="390"/>
      <c r="UJH9" s="515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5"/>
      <c r="UJV9" s="34"/>
      <c r="UJW9" s="390"/>
      <c r="UJX9" s="515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5"/>
      <c r="UKL9" s="34"/>
      <c r="UKM9" s="390"/>
      <c r="UKN9" s="515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5"/>
      <c r="ULB9" s="34"/>
      <c r="ULC9" s="390"/>
      <c r="ULD9" s="515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5"/>
      <c r="ULR9" s="34"/>
      <c r="ULS9" s="390"/>
      <c r="ULT9" s="515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5"/>
      <c r="UMH9" s="34"/>
      <c r="UMI9" s="390"/>
      <c r="UMJ9" s="515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5"/>
      <c r="UMX9" s="34"/>
      <c r="UMY9" s="390"/>
      <c r="UMZ9" s="515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5"/>
      <c r="UNN9" s="34"/>
      <c r="UNO9" s="390"/>
      <c r="UNP9" s="515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5"/>
      <c r="UOD9" s="34"/>
      <c r="UOE9" s="390"/>
      <c r="UOF9" s="515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5"/>
      <c r="UOT9" s="34"/>
      <c r="UOU9" s="390"/>
      <c r="UOV9" s="515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5"/>
      <c r="UPJ9" s="34"/>
      <c r="UPK9" s="390"/>
      <c r="UPL9" s="515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5"/>
      <c r="UPZ9" s="34"/>
      <c r="UQA9" s="390"/>
      <c r="UQB9" s="515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5"/>
      <c r="UQP9" s="34"/>
      <c r="UQQ9" s="390"/>
      <c r="UQR9" s="515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5"/>
      <c r="URF9" s="34"/>
      <c r="URG9" s="390"/>
      <c r="URH9" s="515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5"/>
      <c r="URV9" s="34"/>
      <c r="URW9" s="390"/>
      <c r="URX9" s="515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5"/>
      <c r="USL9" s="34"/>
      <c r="USM9" s="390"/>
      <c r="USN9" s="515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5"/>
      <c r="UTB9" s="34"/>
      <c r="UTC9" s="390"/>
      <c r="UTD9" s="515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5"/>
      <c r="UTR9" s="34"/>
      <c r="UTS9" s="390"/>
      <c r="UTT9" s="515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5"/>
      <c r="UUH9" s="34"/>
      <c r="UUI9" s="390"/>
      <c r="UUJ9" s="515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5"/>
      <c r="UUX9" s="34"/>
      <c r="UUY9" s="390"/>
      <c r="UUZ9" s="515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5"/>
      <c r="UVN9" s="34"/>
      <c r="UVO9" s="390"/>
      <c r="UVP9" s="515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5"/>
      <c r="UWD9" s="34"/>
      <c r="UWE9" s="390"/>
      <c r="UWF9" s="515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5"/>
      <c r="UWT9" s="34"/>
      <c r="UWU9" s="390"/>
      <c r="UWV9" s="515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5"/>
      <c r="UXJ9" s="34"/>
      <c r="UXK9" s="390"/>
      <c r="UXL9" s="515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5"/>
      <c r="UXZ9" s="34"/>
      <c r="UYA9" s="390"/>
      <c r="UYB9" s="515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5"/>
      <c r="UYP9" s="34"/>
      <c r="UYQ9" s="390"/>
      <c r="UYR9" s="515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5"/>
      <c r="UZF9" s="34"/>
      <c r="UZG9" s="390"/>
      <c r="UZH9" s="515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5"/>
      <c r="UZV9" s="34"/>
      <c r="UZW9" s="390"/>
      <c r="UZX9" s="515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5"/>
      <c r="VAL9" s="34"/>
      <c r="VAM9" s="390"/>
      <c r="VAN9" s="515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5"/>
      <c r="VBB9" s="34"/>
      <c r="VBC9" s="390"/>
      <c r="VBD9" s="515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5"/>
      <c r="VBR9" s="34"/>
      <c r="VBS9" s="390"/>
      <c r="VBT9" s="515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5"/>
      <c r="VCH9" s="34"/>
      <c r="VCI9" s="390"/>
      <c r="VCJ9" s="515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5"/>
      <c r="VCX9" s="34"/>
      <c r="VCY9" s="390"/>
      <c r="VCZ9" s="515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5"/>
      <c r="VDN9" s="34"/>
      <c r="VDO9" s="390"/>
      <c r="VDP9" s="515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5"/>
      <c r="VED9" s="34"/>
      <c r="VEE9" s="390"/>
      <c r="VEF9" s="515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5"/>
      <c r="VET9" s="34"/>
      <c r="VEU9" s="390"/>
      <c r="VEV9" s="515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5"/>
      <c r="VFJ9" s="34"/>
      <c r="VFK9" s="390"/>
      <c r="VFL9" s="515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5"/>
      <c r="VFZ9" s="34"/>
      <c r="VGA9" s="390"/>
      <c r="VGB9" s="515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5"/>
      <c r="VGP9" s="34"/>
      <c r="VGQ9" s="390"/>
      <c r="VGR9" s="515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5"/>
      <c r="VHF9" s="34"/>
      <c r="VHG9" s="390"/>
      <c r="VHH9" s="515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5"/>
      <c r="VHV9" s="34"/>
      <c r="VHW9" s="390"/>
      <c r="VHX9" s="515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5"/>
      <c r="VIL9" s="34"/>
      <c r="VIM9" s="390"/>
      <c r="VIN9" s="515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5"/>
      <c r="VJB9" s="34"/>
      <c r="VJC9" s="390"/>
      <c r="VJD9" s="515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5"/>
      <c r="VJR9" s="34"/>
      <c r="VJS9" s="390"/>
      <c r="VJT9" s="515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5"/>
      <c r="VKH9" s="34"/>
      <c r="VKI9" s="390"/>
      <c r="VKJ9" s="515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5"/>
      <c r="VKX9" s="34"/>
      <c r="VKY9" s="390"/>
      <c r="VKZ9" s="515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5"/>
      <c r="VLN9" s="34"/>
      <c r="VLO9" s="390"/>
      <c r="VLP9" s="515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5"/>
      <c r="VMD9" s="34"/>
      <c r="VME9" s="390"/>
      <c r="VMF9" s="515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5"/>
      <c r="VMT9" s="34"/>
      <c r="VMU9" s="390"/>
      <c r="VMV9" s="515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5"/>
      <c r="VNJ9" s="34"/>
      <c r="VNK9" s="390"/>
      <c r="VNL9" s="515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5"/>
      <c r="VNZ9" s="34"/>
      <c r="VOA9" s="390"/>
      <c r="VOB9" s="515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5"/>
      <c r="VOP9" s="34"/>
      <c r="VOQ9" s="390"/>
      <c r="VOR9" s="515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5"/>
      <c r="VPF9" s="34"/>
      <c r="VPG9" s="390"/>
      <c r="VPH9" s="515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5"/>
      <c r="VPV9" s="34"/>
      <c r="VPW9" s="390"/>
      <c r="VPX9" s="515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5"/>
      <c r="VQL9" s="34"/>
      <c r="VQM9" s="390"/>
      <c r="VQN9" s="515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5"/>
      <c r="VRB9" s="34"/>
      <c r="VRC9" s="390"/>
      <c r="VRD9" s="515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5"/>
      <c r="VRR9" s="34"/>
      <c r="VRS9" s="390"/>
      <c r="VRT9" s="515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5"/>
      <c r="VSH9" s="34"/>
      <c r="VSI9" s="390"/>
      <c r="VSJ9" s="515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5"/>
      <c r="VSX9" s="34"/>
      <c r="VSY9" s="390"/>
      <c r="VSZ9" s="515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5"/>
      <c r="VTN9" s="34"/>
      <c r="VTO9" s="390"/>
      <c r="VTP9" s="515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5"/>
      <c r="VUD9" s="34"/>
      <c r="VUE9" s="390"/>
      <c r="VUF9" s="515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5"/>
      <c r="VUT9" s="34"/>
      <c r="VUU9" s="390"/>
      <c r="VUV9" s="515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5"/>
      <c r="VVJ9" s="34"/>
      <c r="VVK9" s="390"/>
      <c r="VVL9" s="515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5"/>
      <c r="VVZ9" s="34"/>
      <c r="VWA9" s="390"/>
      <c r="VWB9" s="515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5"/>
      <c r="VWP9" s="34"/>
      <c r="VWQ9" s="390"/>
      <c r="VWR9" s="515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5"/>
      <c r="VXF9" s="34"/>
      <c r="VXG9" s="390"/>
      <c r="VXH9" s="515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5"/>
      <c r="VXV9" s="34"/>
      <c r="VXW9" s="390"/>
      <c r="VXX9" s="515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5"/>
      <c r="VYL9" s="34"/>
      <c r="VYM9" s="390"/>
      <c r="VYN9" s="515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5"/>
      <c r="VZB9" s="34"/>
      <c r="VZC9" s="390"/>
      <c r="VZD9" s="515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5"/>
      <c r="VZR9" s="34"/>
      <c r="VZS9" s="390"/>
      <c r="VZT9" s="515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5"/>
      <c r="WAH9" s="34"/>
      <c r="WAI9" s="390"/>
      <c r="WAJ9" s="515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5"/>
      <c r="WAX9" s="34"/>
      <c r="WAY9" s="390"/>
      <c r="WAZ9" s="515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5"/>
      <c r="WBN9" s="34"/>
      <c r="WBO9" s="390"/>
      <c r="WBP9" s="515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5"/>
      <c r="WCD9" s="34"/>
      <c r="WCE9" s="390"/>
      <c r="WCF9" s="515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5"/>
      <c r="WCT9" s="34"/>
      <c r="WCU9" s="390"/>
      <c r="WCV9" s="515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5"/>
      <c r="WDJ9" s="34"/>
      <c r="WDK9" s="390"/>
      <c r="WDL9" s="515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5"/>
      <c r="WDZ9" s="34"/>
      <c r="WEA9" s="390"/>
      <c r="WEB9" s="515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5"/>
      <c r="WEP9" s="34"/>
      <c r="WEQ9" s="390"/>
      <c r="WER9" s="515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5"/>
      <c r="WFF9" s="34"/>
      <c r="WFG9" s="390"/>
      <c r="WFH9" s="515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5"/>
      <c r="WFV9" s="34"/>
      <c r="WFW9" s="390"/>
      <c r="WFX9" s="515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5"/>
      <c r="WGL9" s="34"/>
      <c r="WGM9" s="390"/>
      <c r="WGN9" s="515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5"/>
      <c r="WHB9" s="34"/>
      <c r="WHC9" s="390"/>
      <c r="WHD9" s="515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5"/>
      <c r="WHR9" s="34"/>
      <c r="WHS9" s="390"/>
      <c r="WHT9" s="515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5"/>
      <c r="WIH9" s="34"/>
      <c r="WII9" s="390"/>
      <c r="WIJ9" s="515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5"/>
      <c r="WIX9" s="34"/>
      <c r="WIY9" s="390"/>
      <c r="WIZ9" s="515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5"/>
      <c r="WJN9" s="34"/>
      <c r="WJO9" s="390"/>
      <c r="WJP9" s="515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5"/>
      <c r="WKD9" s="34"/>
      <c r="WKE9" s="390"/>
      <c r="WKF9" s="515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5"/>
      <c r="WKT9" s="34"/>
      <c r="WKU9" s="390"/>
      <c r="WKV9" s="515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5"/>
      <c r="WLJ9" s="34"/>
      <c r="WLK9" s="390"/>
      <c r="WLL9" s="515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5"/>
      <c r="WLZ9" s="34"/>
      <c r="WMA9" s="390"/>
      <c r="WMB9" s="515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5"/>
      <c r="WMP9" s="34"/>
      <c r="WMQ9" s="390"/>
      <c r="WMR9" s="515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5"/>
      <c r="WNF9" s="34"/>
      <c r="WNG9" s="390"/>
      <c r="WNH9" s="515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5"/>
      <c r="WNV9" s="34"/>
      <c r="WNW9" s="390"/>
      <c r="WNX9" s="515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5"/>
      <c r="WOL9" s="34"/>
      <c r="WOM9" s="390"/>
      <c r="WON9" s="515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5"/>
      <c r="WPB9" s="34"/>
      <c r="WPC9" s="390"/>
      <c r="WPD9" s="515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5"/>
      <c r="WPR9" s="34"/>
      <c r="WPS9" s="390"/>
      <c r="WPT9" s="515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5"/>
      <c r="WQH9" s="34"/>
      <c r="WQI9" s="390"/>
      <c r="WQJ9" s="515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5"/>
      <c r="WQX9" s="34"/>
      <c r="WQY9" s="390"/>
      <c r="WQZ9" s="515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5"/>
      <c r="WRN9" s="34"/>
      <c r="WRO9" s="390"/>
      <c r="WRP9" s="515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5"/>
      <c r="WSD9" s="34"/>
      <c r="WSE9" s="390"/>
      <c r="WSF9" s="515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5"/>
      <c r="WST9" s="34"/>
      <c r="WSU9" s="390"/>
      <c r="WSV9" s="515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5"/>
      <c r="WTJ9" s="34"/>
      <c r="WTK9" s="390"/>
      <c r="WTL9" s="515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5"/>
      <c r="WTZ9" s="34"/>
      <c r="WUA9" s="390"/>
      <c r="WUB9" s="515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5"/>
      <c r="WUP9" s="34"/>
      <c r="WUQ9" s="390"/>
      <c r="WUR9" s="515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5"/>
      <c r="WVF9" s="34"/>
      <c r="WVG9" s="390"/>
      <c r="WVH9" s="515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5"/>
      <c r="WVV9" s="34"/>
      <c r="WVW9" s="390"/>
      <c r="WVX9" s="515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5"/>
      <c r="WWL9" s="34"/>
      <c r="WWM9" s="390"/>
      <c r="WWN9" s="515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5"/>
      <c r="WXB9" s="34"/>
      <c r="WXC9" s="390"/>
      <c r="WXD9" s="515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5"/>
      <c r="WXR9" s="34"/>
      <c r="WXS9" s="390"/>
      <c r="WXT9" s="515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5"/>
      <c r="WYH9" s="34"/>
      <c r="WYI9" s="390"/>
      <c r="WYJ9" s="515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5"/>
      <c r="WYX9" s="34"/>
      <c r="WYY9" s="390"/>
      <c r="WYZ9" s="515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5"/>
      <c r="WZN9" s="34"/>
      <c r="WZO9" s="390"/>
      <c r="WZP9" s="515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5"/>
      <c r="XAD9" s="34"/>
      <c r="XAE9" s="390"/>
      <c r="XAF9" s="515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5"/>
      <c r="XAT9" s="34"/>
      <c r="XAU9" s="390"/>
      <c r="XAV9" s="515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5"/>
      <c r="XBJ9" s="34"/>
      <c r="XBK9" s="390"/>
      <c r="XBL9" s="515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5"/>
      <c r="XBZ9" s="34"/>
      <c r="XCA9" s="390"/>
      <c r="XCB9" s="515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5"/>
      <c r="XCP9" s="34"/>
      <c r="XCQ9" s="390"/>
      <c r="XCR9" s="515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5"/>
      <c r="XDF9" s="34"/>
      <c r="XDG9" s="390"/>
      <c r="XDH9" s="515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5"/>
      <c r="XDV9" s="34"/>
      <c r="XDW9" s="390"/>
      <c r="XDX9" s="515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5"/>
      <c r="XEL9" s="34"/>
      <c r="XEM9" s="390"/>
      <c r="XEN9" s="515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5"/>
      <c r="XFB9" s="34"/>
      <c r="XFC9" s="390"/>
      <c r="XFD9" s="515"/>
    </row>
    <row r="10" spans="1:16384" ht="15" customHeight="1" x14ac:dyDescent="0.2">
      <c r="A10" s="9"/>
      <c r="B10" s="513" t="s">
        <v>4</v>
      </c>
      <c r="C10" s="510">
        <f>SUM(C5:C9)</f>
        <v>328129038.38</v>
      </c>
      <c r="D10" s="152">
        <f>SUM(D5:D9)</f>
        <v>336245828.99000001</v>
      </c>
      <c r="E10" s="84">
        <f>SUM(E5:E9)</f>
        <v>319346408.19</v>
      </c>
      <c r="F10" s="90">
        <f>E10/D10</f>
        <v>0.94974087604071777</v>
      </c>
      <c r="G10" s="84">
        <f>SUM(G5:G9)</f>
        <v>316325601.03000003</v>
      </c>
      <c r="H10" s="90">
        <f>G10/D10</f>
        <v>0.94075695148446759</v>
      </c>
      <c r="I10" s="84">
        <f>SUM(I5:I9)</f>
        <v>249842816.00999999</v>
      </c>
      <c r="J10" s="170">
        <f>I10/D10</f>
        <v>0.74303617909690223</v>
      </c>
      <c r="K10" s="152">
        <f>SUM(K5:K9)</f>
        <v>308640970.32999998</v>
      </c>
      <c r="L10" s="90">
        <v>0.93980878230009257</v>
      </c>
      <c r="M10" s="213">
        <f t="shared" ref="M10" si="0">+G10/K10-1</f>
        <v>2.4898284540071369E-2</v>
      </c>
      <c r="N10" s="693">
        <f>SUM(N5:N9)</f>
        <v>247385639.72999999</v>
      </c>
      <c r="O10" s="90">
        <v>0.75328689054015097</v>
      </c>
      <c r="P10" s="213">
        <f>+I10/N10-1</f>
        <v>9.9325744318943254E-3</v>
      </c>
    </row>
    <row r="11" spans="1:16384" ht="15" customHeight="1" x14ac:dyDescent="0.2">
      <c r="A11" s="21">
        <v>6</v>
      </c>
      <c r="B11" s="21" t="s">
        <v>5</v>
      </c>
      <c r="C11" s="159">
        <v>7197998.3799999999</v>
      </c>
      <c r="D11" s="511">
        <v>16945138.690000001</v>
      </c>
      <c r="E11" s="180">
        <v>12016576.07</v>
      </c>
      <c r="F11" s="48">
        <f>E11/D11</f>
        <v>0.70914592614644445</v>
      </c>
      <c r="G11" s="56">
        <v>11103680.01</v>
      </c>
      <c r="H11" s="48">
        <f>G11/D11</f>
        <v>0.65527230040039286</v>
      </c>
      <c r="I11" s="30">
        <v>4432902.5</v>
      </c>
      <c r="J11" s="153">
        <f>I11/D11</f>
        <v>0.26160319966079898</v>
      </c>
      <c r="K11" s="150">
        <v>12100516.619999999</v>
      </c>
      <c r="L11" s="48">
        <v>0.55341711572013741</v>
      </c>
      <c r="M11" s="210">
        <f>+G11/K11-1</f>
        <v>-8.2379673637438366E-2</v>
      </c>
      <c r="N11" s="682">
        <v>5571634.8200000003</v>
      </c>
      <c r="O11" s="48">
        <v>0.25481871301543546</v>
      </c>
      <c r="P11" s="210">
        <f>+I11/N11-1</f>
        <v>-0.2043802863591121</v>
      </c>
    </row>
    <row r="12" spans="1:16384" ht="15" customHeight="1" x14ac:dyDescent="0.2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213192</v>
      </c>
      <c r="J12" s="153">
        <f>I12/D12</f>
        <v>1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17158330.690000001</v>
      </c>
      <c r="E13" s="84">
        <f t="shared" si="1"/>
        <v>12229768.07</v>
      </c>
      <c r="F13" s="90">
        <f>E13/D13</f>
        <v>0.71275978362671355</v>
      </c>
      <c r="G13" s="84">
        <f t="shared" si="1"/>
        <v>11316872.01</v>
      </c>
      <c r="H13" s="90">
        <f>G13/D13</f>
        <v>0.65955553686790491</v>
      </c>
      <c r="I13" s="84">
        <f t="shared" si="1"/>
        <v>4646094.5</v>
      </c>
      <c r="J13" s="170">
        <f>I13/D13</f>
        <v>0.27077776876673543</v>
      </c>
      <c r="K13" s="84">
        <f t="shared" ref="K13" si="2">SUM(K11:K12)</f>
        <v>12100516.619999999</v>
      </c>
      <c r="L13" s="90">
        <v>0.55341711572013741</v>
      </c>
      <c r="M13" s="213">
        <f t="shared" ref="M13" si="3">+G13/K13-1</f>
        <v>-6.4761252317506401E-2</v>
      </c>
      <c r="N13" s="84">
        <f t="shared" ref="N13" si="4">SUM(N11:N12)</f>
        <v>5571634.8200000003</v>
      </c>
      <c r="O13" s="90">
        <v>0.25481871301543546</v>
      </c>
      <c r="P13" s="213">
        <f>+I13/N13-1</f>
        <v>-0.16611647207704117</v>
      </c>
    </row>
    <row r="14" spans="1:16384" ht="15" customHeight="1" x14ac:dyDescent="0.2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34" t="s">
        <v>129</v>
      </c>
      <c r="N16" s="84">
        <f t="shared" ref="N16" si="7">SUM(N14:N15)</f>
        <v>0</v>
      </c>
      <c r="O16" s="263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353404159.68000001</v>
      </c>
      <c r="E17" s="155">
        <f t="shared" si="8"/>
        <v>331576176.25999999</v>
      </c>
      <c r="F17" s="181">
        <f>E17/D17</f>
        <v>0.93823506933318279</v>
      </c>
      <c r="G17" s="155">
        <f t="shared" si="8"/>
        <v>327642473.04000002</v>
      </c>
      <c r="H17" s="181">
        <f>G17/D17</f>
        <v>0.92710417822097324</v>
      </c>
      <c r="I17" s="155">
        <f t="shared" si="8"/>
        <v>254488910.50999999</v>
      </c>
      <c r="J17" s="173">
        <f>I17/D17</f>
        <v>0.72010728662739654</v>
      </c>
      <c r="K17" s="155">
        <f t="shared" ref="K17" si="9">+K10+K13+K16</f>
        <v>320741486.94999999</v>
      </c>
      <c r="L17" s="181">
        <v>0.91568907833122792</v>
      </c>
      <c r="M17" s="600">
        <f>+G17/K17-1</f>
        <v>2.1515726436336591E-2</v>
      </c>
      <c r="N17" s="155">
        <f t="shared" ref="N17" si="10">+N10+N13+N16</f>
        <v>252957274.54999998</v>
      </c>
      <c r="O17" s="181">
        <v>0.72217104120982467</v>
      </c>
      <c r="P17" s="600">
        <f>+I17/N17-1</f>
        <v>6.0549196014414441E-3</v>
      </c>
    </row>
    <row r="19" spans="1:16" x14ac:dyDescent="0.2">
      <c r="C19" t="s">
        <v>777</v>
      </c>
    </row>
    <row r="20" spans="1:16" x14ac:dyDescent="0.2">
      <c r="D20" s="46">
        <f>D17-D5</f>
        <v>306476741.78000003</v>
      </c>
      <c r="E20" s="46">
        <f t="shared" ref="E20:I20" si="11">E17-E5</f>
        <v>293384654.86000001</v>
      </c>
      <c r="F20" s="46">
        <f t="shared" si="11"/>
        <v>0.12439269084595728</v>
      </c>
      <c r="G20" s="46">
        <f t="shared" si="11"/>
        <v>289450951.64000005</v>
      </c>
      <c r="H20" s="46">
        <f t="shared" si="11"/>
        <v>0.11326179973374773</v>
      </c>
      <c r="I20" s="46">
        <f t="shared" si="11"/>
        <v>216299131.50999999</v>
      </c>
      <c r="J20" s="719">
        <f>I20/D20</f>
        <v>0.70576034662123643</v>
      </c>
      <c r="N20" s="46">
        <f>N17-N5</f>
        <v>213428590.04999998</v>
      </c>
      <c r="O20" s="442">
        <f>N20/(343704354.25-47230135.33)</f>
        <v>0.71988920597372785</v>
      </c>
      <c r="P20" s="442">
        <f>I20/N20-1</f>
        <v>1.3449657608324728E-2</v>
      </c>
    </row>
    <row r="21" spans="1:16" x14ac:dyDescent="0.2">
      <c r="D21" s="46">
        <f>D10-D5</f>
        <v>289318411.09000003</v>
      </c>
      <c r="E21" s="46">
        <f t="shared" ref="E21:I21" si="12">E10-E5</f>
        <v>281154886.79000002</v>
      </c>
      <c r="F21" s="46">
        <f t="shared" si="12"/>
        <v>0.13589849755349226</v>
      </c>
      <c r="G21" s="46">
        <f t="shared" si="12"/>
        <v>278134079.63000005</v>
      </c>
      <c r="H21" s="46">
        <f t="shared" si="12"/>
        <v>0.12691457299724207</v>
      </c>
      <c r="I21" s="46">
        <f t="shared" si="12"/>
        <v>211653037.00999999</v>
      </c>
      <c r="J21" s="719">
        <f>I21/D21</f>
        <v>0.73155744293148284</v>
      </c>
      <c r="N21" s="46">
        <f>N10-N5</f>
        <v>207856955.22999999</v>
      </c>
      <c r="O21" s="442">
        <f>N21/(327147637.74-47230135.33)</f>
        <v>0.74256505377626691</v>
      </c>
      <c r="P21" s="442">
        <f>I21/N21-1</f>
        <v>1.826295288410984E-2</v>
      </c>
    </row>
    <row r="137" spans="12:12" x14ac:dyDescent="0.2">
      <c r="L137" s="679"/>
    </row>
    <row r="138" spans="12:12" x14ac:dyDescent="0.2">
      <c r="L138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1" zoomScaleNormal="100" workbookViewId="0">
      <selection activeCell="M16" sqref="M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2" bestFit="1" customWidth="1"/>
    <col min="13" max="13" width="9" style="97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746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4754082.8899999997</v>
      </c>
      <c r="D5" s="204">
        <v>5418252.3200000003</v>
      </c>
      <c r="E5" s="30">
        <v>4348540.93</v>
      </c>
      <c r="F5" s="48">
        <f>E5/D5</f>
        <v>0.80257261441084005</v>
      </c>
      <c r="G5" s="30">
        <v>4348540.93</v>
      </c>
      <c r="H5" s="48">
        <f>G5/D5</f>
        <v>0.80257261441084005</v>
      </c>
      <c r="I5" s="30">
        <v>4348540.93</v>
      </c>
      <c r="J5" s="153">
        <f>I5/D5</f>
        <v>0.80257261441084005</v>
      </c>
      <c r="K5" s="571">
        <v>4253059.9800000004</v>
      </c>
      <c r="L5" s="48">
        <v>0.82932113472251956</v>
      </c>
      <c r="M5" s="210">
        <f>+G5/K5-1</f>
        <v>2.2449942029738157E-2</v>
      </c>
      <c r="N5" s="571">
        <v>4253059.9800000004</v>
      </c>
      <c r="O5" s="48">
        <v>0.82932113472251956</v>
      </c>
      <c r="P5" s="210">
        <f>+I5/N5-1</f>
        <v>2.2449942029738157E-2</v>
      </c>
    </row>
    <row r="6" spans="1:16" ht="15" customHeight="1" x14ac:dyDescent="0.2">
      <c r="A6" s="23">
        <v>2</v>
      </c>
      <c r="B6" s="23" t="s">
        <v>1</v>
      </c>
      <c r="C6" s="159">
        <v>30657961.309999999</v>
      </c>
      <c r="D6" s="204">
        <v>31138258.879999999</v>
      </c>
      <c r="E6" s="30">
        <v>30564069.809999999</v>
      </c>
      <c r="F6" s="48">
        <f t="shared" ref="F6:F17" si="0">E6/D6</f>
        <v>0.98156001360857081</v>
      </c>
      <c r="G6" s="30">
        <v>30247522</v>
      </c>
      <c r="H6" s="280">
        <f t="shared" ref="H6:H17" si="1">G6/D6</f>
        <v>0.97139413338964442</v>
      </c>
      <c r="I6" s="30">
        <v>20283085.850000001</v>
      </c>
      <c r="J6" s="178">
        <f t="shared" ref="J6:J17" si="2">I6/D6</f>
        <v>0.65138792532256073</v>
      </c>
      <c r="K6" s="572">
        <v>29175998.870000001</v>
      </c>
      <c r="L6" s="412">
        <v>0.9781709096897313</v>
      </c>
      <c r="M6" s="210">
        <f t="shared" ref="M6:M17" si="3">+G6/K6-1</f>
        <v>3.6726184929414263E-2</v>
      </c>
      <c r="N6" s="572">
        <v>19283396</v>
      </c>
      <c r="O6" s="412">
        <v>0.64650595481831141</v>
      </c>
      <c r="P6" s="210">
        <f>+I6/N6-1</f>
        <v>5.1842001792630432E-2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12984740.82</v>
      </c>
      <c r="D8" s="204">
        <v>13084218.52</v>
      </c>
      <c r="E8" s="30">
        <v>12988734.300000001</v>
      </c>
      <c r="F8" s="48">
        <f t="shared" si="0"/>
        <v>0.99270233679955389</v>
      </c>
      <c r="G8" s="30">
        <v>12979434.300000001</v>
      </c>
      <c r="H8" s="48">
        <f t="shared" si="1"/>
        <v>0.99199155686372631</v>
      </c>
      <c r="I8" s="30">
        <v>12710278.390000001</v>
      </c>
      <c r="J8" s="178">
        <f t="shared" si="2"/>
        <v>0.97142052240808963</v>
      </c>
      <c r="K8" s="628">
        <v>12947325.189999999</v>
      </c>
      <c r="L8" s="414">
        <v>0.99416107629746675</v>
      </c>
      <c r="M8" s="443">
        <f t="shared" si="3"/>
        <v>2.4799801911827846E-3</v>
      </c>
      <c r="N8" s="628">
        <v>12642030.949999999</v>
      </c>
      <c r="O8" s="414">
        <v>0.97071904130013476</v>
      </c>
      <c r="P8" s="443">
        <f t="shared" ref="P8:P17" si="4">+I8/N8-1</f>
        <v>5.3984553803043678E-3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48396785.019999996</v>
      </c>
      <c r="D10" s="152">
        <f t="shared" ref="D10:E10" si="5">SUM(D5:D9)</f>
        <v>49640729.719999999</v>
      </c>
      <c r="E10" s="84">
        <f t="shared" si="5"/>
        <v>47901345.039999992</v>
      </c>
      <c r="F10" s="90">
        <f t="shared" si="0"/>
        <v>0.9649605336220668</v>
      </c>
      <c r="G10" s="84">
        <f>SUM(G5:G9)</f>
        <v>47575497.230000004</v>
      </c>
      <c r="H10" s="90">
        <f t="shared" si="1"/>
        <v>0.95839641154251765</v>
      </c>
      <c r="I10" s="84">
        <f>SUM(I5:I9)</f>
        <v>37341905.170000002</v>
      </c>
      <c r="J10" s="170">
        <f t="shared" si="2"/>
        <v>0.75224327645117472</v>
      </c>
      <c r="K10" s="561">
        <f>SUM(K5:K9)</f>
        <v>46376384.039999999</v>
      </c>
      <c r="L10" s="90">
        <v>0.96660101708486701</v>
      </c>
      <c r="M10" s="213">
        <f t="shared" si="3"/>
        <v>2.5856116530468709E-2</v>
      </c>
      <c r="N10" s="561">
        <f>SUM(N5:N9)</f>
        <v>36178486.93</v>
      </c>
      <c r="O10" s="90">
        <v>0.75405107549927841</v>
      </c>
      <c r="P10" s="213">
        <f t="shared" si="4"/>
        <v>3.2157736232890199E-2</v>
      </c>
    </row>
    <row r="11" spans="1:16" ht="15" customHeight="1" x14ac:dyDescent="0.2">
      <c r="A11" s="21">
        <v>6</v>
      </c>
      <c r="B11" s="21" t="s">
        <v>5</v>
      </c>
      <c r="C11" s="159">
        <v>338636.56</v>
      </c>
      <c r="D11" s="204">
        <v>3041203.12</v>
      </c>
      <c r="E11" s="30">
        <v>1233282.49</v>
      </c>
      <c r="F11" s="48">
        <f t="shared" si="0"/>
        <v>0.40552453793352677</v>
      </c>
      <c r="G11" s="30">
        <v>869516.57</v>
      </c>
      <c r="H11" s="48">
        <f t="shared" si="1"/>
        <v>0.28591203405052401</v>
      </c>
      <c r="I11" s="30">
        <v>335421.17</v>
      </c>
      <c r="J11" s="153">
        <f t="shared" si="2"/>
        <v>0.11029226157048003</v>
      </c>
      <c r="K11" s="558">
        <v>614721.89</v>
      </c>
      <c r="L11" s="48">
        <v>0.18856110771506662</v>
      </c>
      <c r="M11" s="224">
        <f t="shared" si="3"/>
        <v>0.41448772875161466</v>
      </c>
      <c r="N11" s="558">
        <v>280878.5</v>
      </c>
      <c r="O11" s="48">
        <v>8.6157272019947662E-2</v>
      </c>
      <c r="P11" s="224">
        <f t="shared" si="4"/>
        <v>0.19418599145181981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390" t="s">
        <v>129</v>
      </c>
      <c r="M12" s="224" t="s">
        <v>129</v>
      </c>
      <c r="N12" s="562"/>
      <c r="O12" s="390" t="s">
        <v>129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338636.56</v>
      </c>
      <c r="D13" s="152">
        <f t="shared" ref="D13:I13" si="6">SUM(D11:D12)</f>
        <v>3041203.12</v>
      </c>
      <c r="E13" s="84">
        <f t="shared" si="6"/>
        <v>1233282.49</v>
      </c>
      <c r="F13" s="90">
        <f t="shared" si="0"/>
        <v>0.40552453793352677</v>
      </c>
      <c r="G13" s="84">
        <f t="shared" si="6"/>
        <v>869516.57</v>
      </c>
      <c r="H13" s="90">
        <f t="shared" si="1"/>
        <v>0.28591203405052401</v>
      </c>
      <c r="I13" s="84">
        <f t="shared" si="6"/>
        <v>335421.17</v>
      </c>
      <c r="J13" s="170">
        <f t="shared" si="2"/>
        <v>0.11029226157048003</v>
      </c>
      <c r="K13" s="561">
        <f>SUM(K11:K12)</f>
        <v>614721.89</v>
      </c>
      <c r="L13" s="90">
        <v>0.18856110771506662</v>
      </c>
      <c r="M13" s="213">
        <f t="shared" si="3"/>
        <v>0.41448772875161466</v>
      </c>
      <c r="N13" s="561">
        <f>SUM(N11:N12)</f>
        <v>280878.5</v>
      </c>
      <c r="O13" s="90">
        <v>8.6157272019947662E-2</v>
      </c>
      <c r="P13" s="213">
        <f t="shared" si="4"/>
        <v>0.19418599145181981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52681932.839999996</v>
      </c>
      <c r="E17" s="155">
        <f t="shared" si="8"/>
        <v>49134627.529999994</v>
      </c>
      <c r="F17" s="181">
        <f t="shared" si="0"/>
        <v>0.93266561952513205</v>
      </c>
      <c r="G17" s="155">
        <f t="shared" si="8"/>
        <v>48445013.800000004</v>
      </c>
      <c r="H17" s="181">
        <f t="shared" si="1"/>
        <v>0.91957548230305231</v>
      </c>
      <c r="I17" s="155">
        <f t="shared" si="8"/>
        <v>37677326.340000004</v>
      </c>
      <c r="J17" s="173">
        <f t="shared" si="2"/>
        <v>0.71518496586732305</v>
      </c>
      <c r="K17" s="569">
        <f>K10+K13+K16</f>
        <v>46991105.93</v>
      </c>
      <c r="L17" s="181">
        <v>0.91709834137107293</v>
      </c>
      <c r="M17" s="600">
        <f t="shared" si="3"/>
        <v>3.0940064959650293E-2</v>
      </c>
      <c r="N17" s="569">
        <f>N10+N13+N16</f>
        <v>36459365.43</v>
      </c>
      <c r="O17" s="181">
        <v>0.71155642970190536</v>
      </c>
      <c r="P17" s="600">
        <f t="shared" si="4"/>
        <v>3.3405982129294687E-2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Octubre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D1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747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5116553.01</v>
      </c>
      <c r="D5" s="204">
        <v>6131861.4299999997</v>
      </c>
      <c r="E5" s="30">
        <v>5051084.76</v>
      </c>
      <c r="F5" s="48">
        <f>E5/D5</f>
        <v>0.82374411386527369</v>
      </c>
      <c r="G5" s="30">
        <v>5051084.76</v>
      </c>
      <c r="H5" s="48">
        <f>G5/D5</f>
        <v>0.82374411386527369</v>
      </c>
      <c r="I5" s="30">
        <v>5051084.76</v>
      </c>
      <c r="J5" s="153">
        <f>I5/D5</f>
        <v>0.82374411386527369</v>
      </c>
      <c r="K5" s="204">
        <v>4677189.2</v>
      </c>
      <c r="L5" s="48">
        <v>0.83649720190753707</v>
      </c>
      <c r="M5" s="210">
        <f>+G5/K5-1</f>
        <v>7.9940225638081897E-2</v>
      </c>
      <c r="N5" s="30">
        <v>4677189.2</v>
      </c>
      <c r="O5" s="48">
        <v>0.83649720190753707</v>
      </c>
      <c r="P5" s="210">
        <f>+I5/N5-1</f>
        <v>7.9940225638081897E-2</v>
      </c>
    </row>
    <row r="6" spans="1:16" ht="15" customHeight="1" x14ac:dyDescent="0.2">
      <c r="A6" s="23">
        <v>2</v>
      </c>
      <c r="B6" s="23" t="s">
        <v>1</v>
      </c>
      <c r="C6" s="159">
        <v>23638411.449999999</v>
      </c>
      <c r="D6" s="204">
        <v>24237601.079999998</v>
      </c>
      <c r="E6" s="30">
        <v>23272555.039999999</v>
      </c>
      <c r="F6" s="48">
        <f t="shared" ref="F6:F17" si="0">E6/D6</f>
        <v>0.96018392922572193</v>
      </c>
      <c r="G6" s="30">
        <v>23068805.34</v>
      </c>
      <c r="H6" s="280">
        <f t="shared" ref="H6:H17" si="1">G6/D6</f>
        <v>0.95177758161204962</v>
      </c>
      <c r="I6" s="30">
        <v>15109161.289999999</v>
      </c>
      <c r="J6" s="178">
        <f t="shared" ref="J6:J17" si="2">I6/D6</f>
        <v>0.62337692744962037</v>
      </c>
      <c r="K6" s="204">
        <v>21974435.300000001</v>
      </c>
      <c r="L6" s="412">
        <v>0.93887653906354329</v>
      </c>
      <c r="M6" s="210">
        <f t="shared" ref="M6:M17" si="3">+G6/K6-1</f>
        <v>4.9801964194274406E-2</v>
      </c>
      <c r="N6" s="30">
        <v>14093339.710000001</v>
      </c>
      <c r="O6" s="412">
        <v>0.60214999066536201</v>
      </c>
      <c r="P6" s="210">
        <f>+I6/N6-1</f>
        <v>7.2078130585273348E-2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30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13415073.300000001</v>
      </c>
      <c r="D8" s="204">
        <v>13431144.33</v>
      </c>
      <c r="E8" s="30">
        <v>13340924.08</v>
      </c>
      <c r="F8" s="48">
        <f t="shared" si="0"/>
        <v>0.99328275776186226</v>
      </c>
      <c r="G8" s="30">
        <v>13331524.08</v>
      </c>
      <c r="H8" s="48">
        <f t="shared" si="1"/>
        <v>0.99258289185549986</v>
      </c>
      <c r="I8" s="30">
        <v>13311613.75</v>
      </c>
      <c r="J8" s="178">
        <f t="shared" si="2"/>
        <v>0.99110049173300785</v>
      </c>
      <c r="K8" s="204">
        <v>13205549.17</v>
      </c>
      <c r="L8" s="414">
        <v>0.99145576952617087</v>
      </c>
      <c r="M8" s="443">
        <f t="shared" si="3"/>
        <v>9.5395434433114268E-3</v>
      </c>
      <c r="N8" s="30">
        <v>13044255.119999999</v>
      </c>
      <c r="O8" s="414">
        <v>0.9793460182084418</v>
      </c>
      <c r="P8" s="443">
        <f t="shared" ref="P8:P17" si="4">+I8/N8-1</f>
        <v>2.0496274224970801E-2</v>
      </c>
    </row>
    <row r="9" spans="1:16" ht="15" customHeight="1" x14ac:dyDescent="0.2">
      <c r="A9" s="55">
        <v>5</v>
      </c>
      <c r="B9" s="55" t="s">
        <v>453</v>
      </c>
      <c r="C9" s="176">
        <v>300000</v>
      </c>
      <c r="D9" s="511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42470037.760000005</v>
      </c>
      <c r="D10" s="152">
        <f t="shared" ref="D10:E10" si="5">SUM(D5:D9)</f>
        <v>43800606.839999996</v>
      </c>
      <c r="E10" s="84">
        <f t="shared" si="5"/>
        <v>41664563.879999995</v>
      </c>
      <c r="F10" s="90">
        <f t="shared" si="0"/>
        <v>0.95123257155311136</v>
      </c>
      <c r="G10" s="84">
        <f>SUM(G5:G9)</f>
        <v>41451414.18</v>
      </c>
      <c r="H10" s="90">
        <f t="shared" si="1"/>
        <v>0.94636620746873656</v>
      </c>
      <c r="I10" s="84">
        <f>SUM(I5:I9)</f>
        <v>33471859.799999997</v>
      </c>
      <c r="J10" s="170">
        <f t="shared" si="2"/>
        <v>0.76418712467317951</v>
      </c>
      <c r="K10" s="561">
        <f>SUM(K5:K9)</f>
        <v>39857173.670000002</v>
      </c>
      <c r="L10" s="90">
        <v>0.94189852372894078</v>
      </c>
      <c r="M10" s="213">
        <f t="shared" si="3"/>
        <v>3.9998834919896975E-2</v>
      </c>
      <c r="N10" s="561">
        <f>SUM(N5:N9)</f>
        <v>31814784.030000001</v>
      </c>
      <c r="O10" s="90">
        <v>0.75184202368988695</v>
      </c>
      <c r="P10" s="213">
        <f t="shared" si="4"/>
        <v>5.2085086242843692E-2</v>
      </c>
    </row>
    <row r="11" spans="1:16" ht="15" customHeight="1" x14ac:dyDescent="0.2">
      <c r="A11" s="21">
        <v>6</v>
      </c>
      <c r="B11" s="21" t="s">
        <v>5</v>
      </c>
      <c r="C11" s="159">
        <v>722640</v>
      </c>
      <c r="D11" s="204">
        <v>1126640</v>
      </c>
      <c r="E11" s="30">
        <v>955553.03</v>
      </c>
      <c r="F11" s="48">
        <f t="shared" si="0"/>
        <v>0.84814406554001276</v>
      </c>
      <c r="G11" s="30">
        <v>955553.03</v>
      </c>
      <c r="H11" s="48">
        <f t="shared" si="1"/>
        <v>0.84814406554001276</v>
      </c>
      <c r="I11" s="30">
        <v>280565.86</v>
      </c>
      <c r="J11" s="153">
        <f t="shared" si="2"/>
        <v>0.2490288468366115</v>
      </c>
      <c r="K11" s="558">
        <v>1150969.31</v>
      </c>
      <c r="L11" s="48">
        <v>0.59423841223688367</v>
      </c>
      <c r="M11" s="224">
        <f t="shared" si="3"/>
        <v>-0.16978409267923922</v>
      </c>
      <c r="N11" s="558">
        <v>194381.02</v>
      </c>
      <c r="O11" s="48">
        <v>0.10035773125330849</v>
      </c>
      <c r="P11" s="224">
        <f t="shared" si="4"/>
        <v>0.44338094326287614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516" t="s">
        <v>129</v>
      </c>
      <c r="M12" s="552" t="s">
        <v>129</v>
      </c>
      <c r="N12" s="562"/>
      <c r="O12" s="516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722640</v>
      </c>
      <c r="D13" s="152">
        <f t="shared" ref="D13:I13" si="6">SUM(D11:D12)</f>
        <v>1126640</v>
      </c>
      <c r="E13" s="84">
        <f t="shared" si="6"/>
        <v>955553.03</v>
      </c>
      <c r="F13" s="90" t="s">
        <v>129</v>
      </c>
      <c r="G13" s="84">
        <f t="shared" si="6"/>
        <v>955553.03</v>
      </c>
      <c r="H13" s="90" t="s">
        <v>129</v>
      </c>
      <c r="I13" s="84">
        <f t="shared" si="6"/>
        <v>280565.86</v>
      </c>
      <c r="J13" s="170" t="s">
        <v>129</v>
      </c>
      <c r="K13" s="561">
        <f>SUM(K11:K12)</f>
        <v>1150969.31</v>
      </c>
      <c r="L13" s="90">
        <v>0.59423841223688367</v>
      </c>
      <c r="M13" s="622">
        <f t="shared" si="3"/>
        <v>-0.16978409267923922</v>
      </c>
      <c r="N13" s="561">
        <f>SUM(N11:N12)</f>
        <v>194381.02</v>
      </c>
      <c r="O13" s="90" t="s">
        <v>129</v>
      </c>
      <c r="P13" s="213">
        <f t="shared" si="4"/>
        <v>0.44338094326287614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44927246.839999996</v>
      </c>
      <c r="E17" s="155">
        <f t="shared" si="8"/>
        <v>42620116.909999996</v>
      </c>
      <c r="F17" s="181">
        <f t="shared" si="0"/>
        <v>0.94864742239344391</v>
      </c>
      <c r="G17" s="155">
        <f t="shared" si="8"/>
        <v>42406967.210000001</v>
      </c>
      <c r="H17" s="181">
        <f t="shared" si="1"/>
        <v>0.94390309205958023</v>
      </c>
      <c r="I17" s="155">
        <f t="shared" si="8"/>
        <v>33752425.659999996</v>
      </c>
      <c r="J17" s="173">
        <f t="shared" si="2"/>
        <v>0.75126850706438697</v>
      </c>
      <c r="K17" s="569">
        <f>K10+K13+K16</f>
        <v>41008142.980000004</v>
      </c>
      <c r="L17" s="181">
        <v>0.92668189439153859</v>
      </c>
      <c r="M17" s="600">
        <f t="shared" si="3"/>
        <v>3.4110889407555245E-2</v>
      </c>
      <c r="N17" s="569">
        <f>N10+N13+N16</f>
        <v>32009165.050000001</v>
      </c>
      <c r="O17" s="181">
        <v>0.72332740648343852</v>
      </c>
      <c r="P17" s="600">
        <f t="shared" si="4"/>
        <v>5.446129592186888E-2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Octubre&amp;R&amp;"Arial,Negreta"&amp;8&amp;K03+000Direcció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748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4693686.91</v>
      </c>
      <c r="D5" s="204">
        <v>5153187.4000000004</v>
      </c>
      <c r="E5" s="30">
        <v>4202666.91</v>
      </c>
      <c r="F5" s="48">
        <f>E5/D5</f>
        <v>0.81554707480655564</v>
      </c>
      <c r="G5" s="30">
        <v>4202666.91</v>
      </c>
      <c r="H5" s="48">
        <f>G5/D5</f>
        <v>0.81554707480655564</v>
      </c>
      <c r="I5" s="30">
        <v>4202666.91</v>
      </c>
      <c r="J5" s="153">
        <f>I5/D5</f>
        <v>0.81554707480655564</v>
      </c>
      <c r="K5" s="571">
        <v>4303827.42</v>
      </c>
      <c r="L5" s="48">
        <v>0.82794060311389328</v>
      </c>
      <c r="M5" s="210">
        <f>+G5/K5-1</f>
        <v>-2.3504778451362673E-2</v>
      </c>
      <c r="N5" s="571">
        <v>4303827.42</v>
      </c>
      <c r="O5" s="48">
        <v>0.82794060311389328</v>
      </c>
      <c r="P5" s="210">
        <f>+I5/N5-1</f>
        <v>-2.3504778451362673E-2</v>
      </c>
    </row>
    <row r="6" spans="1:16" ht="15" customHeight="1" x14ac:dyDescent="0.2">
      <c r="A6" s="23">
        <v>2</v>
      </c>
      <c r="B6" s="23" t="s">
        <v>1</v>
      </c>
      <c r="C6" s="159">
        <v>21365328.260000002</v>
      </c>
      <c r="D6" s="204">
        <v>21648390.100000001</v>
      </c>
      <c r="E6" s="30">
        <v>21194284.280000001</v>
      </c>
      <c r="F6" s="48">
        <f t="shared" ref="F6:F17" si="0">E6/D6</f>
        <v>0.97902357552213548</v>
      </c>
      <c r="G6" s="30">
        <v>20808232.800000001</v>
      </c>
      <c r="H6" s="280">
        <f t="shared" ref="H6:H17" si="1">G6/D6</f>
        <v>0.96119077233368955</v>
      </c>
      <c r="I6" s="30">
        <v>13142752.33</v>
      </c>
      <c r="J6" s="178">
        <f t="shared" ref="J6:J17" si="2">I6/D6</f>
        <v>0.6071006790477228</v>
      </c>
      <c r="K6" s="572">
        <v>19781132.780000001</v>
      </c>
      <c r="L6" s="412">
        <v>0.93453700034321485</v>
      </c>
      <c r="M6" s="210">
        <f t="shared" ref="M6:M17" si="3">+G6/K6-1</f>
        <v>5.1923215491403107E-2</v>
      </c>
      <c r="N6" s="572">
        <v>13007881.109999999</v>
      </c>
      <c r="O6" s="412">
        <v>0.61454246976449278</v>
      </c>
      <c r="P6" s="210">
        <f>+I6/N6-1</f>
        <v>1.0368423485691114E-2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10482732.210000001</v>
      </c>
      <c r="D8" s="204">
        <v>10633291.279999999</v>
      </c>
      <c r="E8" s="30">
        <v>10514660.91</v>
      </c>
      <c r="F8" s="48">
        <f t="shared" si="0"/>
        <v>0.98884349474906896</v>
      </c>
      <c r="G8" s="30">
        <v>10512768.83</v>
      </c>
      <c r="H8" s="48">
        <f t="shared" si="1"/>
        <v>0.98866555548735058</v>
      </c>
      <c r="I8" s="30">
        <v>10292409.289999999</v>
      </c>
      <c r="J8" s="178">
        <f t="shared" si="2"/>
        <v>0.96794200581703616</v>
      </c>
      <c r="K8" s="628">
        <v>10042241.189999999</v>
      </c>
      <c r="L8" s="414">
        <v>0.97801463630852947</v>
      </c>
      <c r="M8" s="443">
        <f t="shared" si="3"/>
        <v>4.6854843565054871E-2</v>
      </c>
      <c r="N8" s="628">
        <v>9768207.3300000001</v>
      </c>
      <c r="O8" s="414">
        <v>0.95132645775820701</v>
      </c>
      <c r="P8" s="443">
        <f t="shared" ref="P8:P17" si="4">+I8/N8-1</f>
        <v>5.3664090276838827E-2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36541747.380000003</v>
      </c>
      <c r="D10" s="152">
        <f t="shared" ref="D10:E10" si="5">SUM(D5:D9)</f>
        <v>37434868.780000001</v>
      </c>
      <c r="E10" s="84">
        <f t="shared" si="5"/>
        <v>35911612.100000001</v>
      </c>
      <c r="F10" s="90">
        <f t="shared" si="0"/>
        <v>0.95930914867227168</v>
      </c>
      <c r="G10" s="84">
        <f>SUM(G5:G9)</f>
        <v>35523668.539999999</v>
      </c>
      <c r="H10" s="90">
        <f t="shared" si="1"/>
        <v>0.94894598799766372</v>
      </c>
      <c r="I10" s="84">
        <f>SUM(I5:I9)</f>
        <v>27637828.530000001</v>
      </c>
      <c r="J10" s="170">
        <f t="shared" si="2"/>
        <v>0.73829104871247264</v>
      </c>
      <c r="K10" s="561">
        <f>SUM(K5:K9)</f>
        <v>34127201.390000001</v>
      </c>
      <c r="L10" s="90">
        <v>0.9315974361925965</v>
      </c>
      <c r="M10" s="213">
        <f t="shared" si="3"/>
        <v>4.0919474586896376E-2</v>
      </c>
      <c r="N10" s="561">
        <f>SUM(N5:N9)</f>
        <v>27079915.859999999</v>
      </c>
      <c r="O10" s="90">
        <v>0.73922206216649955</v>
      </c>
      <c r="P10" s="213">
        <f t="shared" si="4"/>
        <v>2.0602452122980841E-2</v>
      </c>
    </row>
    <row r="11" spans="1:16" ht="15" customHeight="1" x14ac:dyDescent="0.2">
      <c r="A11" s="21">
        <v>6</v>
      </c>
      <c r="B11" s="21" t="s">
        <v>5</v>
      </c>
      <c r="C11" s="159">
        <v>633054.47</v>
      </c>
      <c r="D11" s="204">
        <v>1317652.68</v>
      </c>
      <c r="E11" s="30">
        <v>901713.21</v>
      </c>
      <c r="F11" s="48">
        <f t="shared" si="0"/>
        <v>0.68433299889011723</v>
      </c>
      <c r="G11" s="30">
        <v>901713.21</v>
      </c>
      <c r="H11" s="48">
        <f t="shared" si="1"/>
        <v>0.68433299889011723</v>
      </c>
      <c r="I11" s="30">
        <v>213446</v>
      </c>
      <c r="J11" s="153">
        <f t="shared" si="2"/>
        <v>0.16198957679803755</v>
      </c>
      <c r="K11" s="558">
        <v>1169011.3400000001</v>
      </c>
      <c r="L11" s="48">
        <v>0.68280671349374722</v>
      </c>
      <c r="M11" s="224">
        <f t="shared" si="3"/>
        <v>-0.22865315404040487</v>
      </c>
      <c r="N11" s="558">
        <v>850313.28</v>
      </c>
      <c r="O11" s="48">
        <v>0.49665866898852185</v>
      </c>
      <c r="P11" s="224">
        <f t="shared" si="4"/>
        <v>-0.74897957609223753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390" t="s">
        <v>129</v>
      </c>
      <c r="M12" s="224" t="s">
        <v>129</v>
      </c>
      <c r="N12" s="562"/>
      <c r="O12" s="390" t="s">
        <v>129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633054.47</v>
      </c>
      <c r="D13" s="152">
        <f t="shared" ref="D13:I13" si="6">SUM(D11:D12)</f>
        <v>1317652.68</v>
      </c>
      <c r="E13" s="84">
        <f t="shared" si="6"/>
        <v>901713.21</v>
      </c>
      <c r="F13" s="90">
        <f t="shared" si="0"/>
        <v>0.68433299889011723</v>
      </c>
      <c r="G13" s="84">
        <f t="shared" si="6"/>
        <v>901713.21</v>
      </c>
      <c r="H13" s="90">
        <f t="shared" si="1"/>
        <v>0.68433299889011723</v>
      </c>
      <c r="I13" s="84">
        <f t="shared" si="6"/>
        <v>213446</v>
      </c>
      <c r="J13" s="170">
        <f t="shared" si="2"/>
        <v>0.16198957679803755</v>
      </c>
      <c r="K13" s="561">
        <f>SUM(K11:K12)</f>
        <v>1169011.3400000001</v>
      </c>
      <c r="L13" s="90">
        <v>0.68280671349374722</v>
      </c>
      <c r="M13" s="213">
        <f t="shared" si="3"/>
        <v>-0.22865315404040487</v>
      </c>
      <c r="N13" s="561">
        <f>SUM(N11:N12)</f>
        <v>850313.28</v>
      </c>
      <c r="O13" s="90">
        <v>0.49665866898852185</v>
      </c>
      <c r="P13" s="213">
        <v>-1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38752521.460000001</v>
      </c>
      <c r="E17" s="155">
        <f t="shared" si="8"/>
        <v>36813325.310000002</v>
      </c>
      <c r="F17" s="181">
        <f t="shared" si="0"/>
        <v>0.94995948452021062</v>
      </c>
      <c r="G17" s="155">
        <f t="shared" si="8"/>
        <v>36425381.75</v>
      </c>
      <c r="H17" s="181">
        <f t="shared" si="1"/>
        <v>0.93994868921233798</v>
      </c>
      <c r="I17" s="155">
        <f t="shared" si="8"/>
        <v>27851274.530000001</v>
      </c>
      <c r="J17" s="173">
        <f t="shared" si="2"/>
        <v>0.71869580302659353</v>
      </c>
      <c r="K17" s="569">
        <f>K10+K13+K16</f>
        <v>35296212.730000004</v>
      </c>
      <c r="L17" s="181">
        <v>0.92048918466555152</v>
      </c>
      <c r="M17" s="600">
        <f t="shared" si="3"/>
        <v>3.1991223212462616E-2</v>
      </c>
      <c r="N17" s="569">
        <f>N10+N13+N16</f>
        <v>27930229.140000001</v>
      </c>
      <c r="O17" s="181">
        <v>0.72839185453879784</v>
      </c>
      <c r="P17" s="600">
        <f t="shared" si="4"/>
        <v>-2.8268514949963963E-3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C1" sqref="C1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7" customWidth="1"/>
    <col min="7" max="7" width="11.140625" bestFit="1" customWidth="1"/>
    <col min="8" max="8" width="6.140625" style="97" customWidth="1"/>
    <col min="9" max="9" width="11.28515625" customWidth="1"/>
    <col min="10" max="10" width="21.7109375" style="60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39"/>
    </row>
    <row r="3" spans="1:15" x14ac:dyDescent="0.2">
      <c r="F3"/>
      <c r="H3"/>
      <c r="J3"/>
      <c r="M3" s="339"/>
    </row>
    <row r="4" spans="1:15" s="28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">
      <c r="F10"/>
      <c r="H10"/>
      <c r="J10"/>
      <c r="M10" s="456"/>
      <c r="N10" s="287"/>
      <c r="O10" s="287"/>
    </row>
    <row r="11" spans="1:15" s="28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">
      <c r="F13"/>
      <c r="H13"/>
      <c r="J13"/>
      <c r="M13" s="339"/>
      <c r="N13" s="287"/>
      <c r="O13" s="287"/>
    </row>
    <row r="14" spans="1:15" s="28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749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4" t="s">
        <v>17</v>
      </c>
      <c r="O4" s="89" t="s">
        <v>18</v>
      </c>
      <c r="P4" s="580" t="s">
        <v>508</v>
      </c>
    </row>
    <row r="5" spans="1:16" ht="15" customHeight="1" x14ac:dyDescent="0.2">
      <c r="A5" s="21">
        <v>1</v>
      </c>
      <c r="B5" s="21" t="s">
        <v>0</v>
      </c>
      <c r="C5" s="159">
        <v>3433011.42</v>
      </c>
      <c r="D5" s="204">
        <v>3637988.92</v>
      </c>
      <c r="E5" s="30">
        <v>2943809.7</v>
      </c>
      <c r="F5" s="48">
        <f>E5/D5</f>
        <v>0.80918599939001468</v>
      </c>
      <c r="G5" s="30">
        <v>2943809.7</v>
      </c>
      <c r="H5" s="48">
        <f>G5/D5</f>
        <v>0.80918599939001468</v>
      </c>
      <c r="I5" s="30">
        <v>2942067.3</v>
      </c>
      <c r="J5" s="153">
        <f>I5/D5</f>
        <v>0.80870705345633653</v>
      </c>
      <c r="K5" s="571">
        <v>3177239.71</v>
      </c>
      <c r="L5" s="48">
        <v>0.83606134276867761</v>
      </c>
      <c r="M5" s="210">
        <f>+G5/K5-1</f>
        <v>-7.3469436147768574E-2</v>
      </c>
      <c r="N5" s="571">
        <v>3177239.71</v>
      </c>
      <c r="O5" s="48">
        <v>0.83606134276867761</v>
      </c>
      <c r="P5" s="210">
        <f>+I5/N5-1</f>
        <v>-7.401783669636941E-2</v>
      </c>
    </row>
    <row r="6" spans="1:16" ht="15" customHeight="1" x14ac:dyDescent="0.2">
      <c r="A6" s="23">
        <v>2</v>
      </c>
      <c r="B6" s="23" t="s">
        <v>1</v>
      </c>
      <c r="C6" s="159">
        <v>8432957.5999999996</v>
      </c>
      <c r="D6" s="204">
        <v>8854475.7400000002</v>
      </c>
      <c r="E6" s="30">
        <v>8534930.7599999998</v>
      </c>
      <c r="F6" s="48">
        <f t="shared" ref="F6:F17" si="0">E6/D6</f>
        <v>0.96391147376953568</v>
      </c>
      <c r="G6" s="30">
        <v>8192778.6200000001</v>
      </c>
      <c r="H6" s="280">
        <f t="shared" ref="H6:H17" si="1">G6/D6</f>
        <v>0.92526975741649042</v>
      </c>
      <c r="I6" s="30">
        <v>5238820.9000000004</v>
      </c>
      <c r="J6" s="178">
        <f t="shared" ref="J6:J17" si="2">I6/D6</f>
        <v>0.591657942698254</v>
      </c>
      <c r="K6" s="572">
        <v>7805234.4000000004</v>
      </c>
      <c r="L6" s="412">
        <v>0.92320170974140303</v>
      </c>
      <c r="M6" s="210">
        <f t="shared" ref="M6:M17" si="3">+G6/K6-1</f>
        <v>4.9651836208788325E-2</v>
      </c>
      <c r="N6" s="572">
        <v>5151582.22</v>
      </c>
      <c r="O6" s="412">
        <v>0.60932821099868728</v>
      </c>
      <c r="P6" s="210">
        <f>+I6/N6-1</f>
        <v>1.6934346822867985E-2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4060522.45</v>
      </c>
      <c r="D8" s="204">
        <v>3880693.58</v>
      </c>
      <c r="E8" s="30">
        <v>3835244.3</v>
      </c>
      <c r="F8" s="48">
        <f t="shared" si="0"/>
        <v>0.98828836158715727</v>
      </c>
      <c r="G8" s="30">
        <v>3833244.3</v>
      </c>
      <c r="H8" s="48">
        <f t="shared" si="1"/>
        <v>0.98777298979632389</v>
      </c>
      <c r="I8" s="30">
        <v>3609360.12</v>
      </c>
      <c r="J8" s="178">
        <f t="shared" si="2"/>
        <v>0.93008119440339843</v>
      </c>
      <c r="K8" s="628">
        <v>3817782.86</v>
      </c>
      <c r="L8" s="414">
        <v>0.994340065297739</v>
      </c>
      <c r="M8" s="443">
        <f t="shared" si="3"/>
        <v>4.0498479266575238E-3</v>
      </c>
      <c r="N8" s="628">
        <v>3628947.95</v>
      </c>
      <c r="O8" s="414">
        <v>0.94515808622104203</v>
      </c>
      <c r="P8" s="443">
        <f t="shared" ref="P8:P17" si="4">+I8/N8-1</f>
        <v>-5.3976607738339677E-3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15926491.469999999</v>
      </c>
      <c r="D10" s="152">
        <f t="shared" ref="D10:E10" si="5">SUM(D5:D9)</f>
        <v>16373158.24</v>
      </c>
      <c r="E10" s="84">
        <f t="shared" si="5"/>
        <v>15313984.760000002</v>
      </c>
      <c r="F10" s="90">
        <f t="shared" si="0"/>
        <v>0.93531037418227514</v>
      </c>
      <c r="G10" s="84">
        <f>SUM(G5:G9)</f>
        <v>14969832.620000001</v>
      </c>
      <c r="H10" s="90">
        <f t="shared" si="1"/>
        <v>0.91429108548089133</v>
      </c>
      <c r="I10" s="84">
        <f>SUM(I5:I9)</f>
        <v>11790248.32</v>
      </c>
      <c r="J10" s="170">
        <f t="shared" si="2"/>
        <v>0.72009615659831305</v>
      </c>
      <c r="K10" s="561">
        <f>SUM(K5:K9)</f>
        <v>14800256.969999999</v>
      </c>
      <c r="L10" s="90">
        <v>0.9195968162383662</v>
      </c>
      <c r="M10" s="213">
        <f t="shared" si="3"/>
        <v>1.1457615252473685E-2</v>
      </c>
      <c r="N10" s="561">
        <f>SUM(N5:N9)</f>
        <v>11957769.879999999</v>
      </c>
      <c r="O10" s="90">
        <v>0.7429821747857821</v>
      </c>
      <c r="P10" s="213">
        <f t="shared" si="4"/>
        <v>-1.4009431665028771E-2</v>
      </c>
    </row>
    <row r="11" spans="1:16" ht="15" customHeight="1" x14ac:dyDescent="0.2">
      <c r="A11" s="21">
        <v>6</v>
      </c>
      <c r="B11" s="21" t="s">
        <v>5</v>
      </c>
      <c r="C11" s="159">
        <v>232973.89</v>
      </c>
      <c r="D11" s="204">
        <v>971373.89</v>
      </c>
      <c r="E11" s="30">
        <v>657836.15</v>
      </c>
      <c r="F11" s="48">
        <f t="shared" si="0"/>
        <v>0.67722239270812601</v>
      </c>
      <c r="G11" s="30">
        <v>651151.12</v>
      </c>
      <c r="H11" s="48">
        <f t="shared" si="1"/>
        <v>0.67034035679093662</v>
      </c>
      <c r="I11" s="30">
        <v>334826.3</v>
      </c>
      <c r="J11" s="153">
        <f t="shared" si="2"/>
        <v>0.3446935350506487</v>
      </c>
      <c r="K11" s="558">
        <v>1070706.33</v>
      </c>
      <c r="L11" s="48">
        <v>0.64152709580351552</v>
      </c>
      <c r="M11" s="224">
        <f t="shared" si="3"/>
        <v>-0.39184900494610886</v>
      </c>
      <c r="N11" s="558">
        <v>577012.62</v>
      </c>
      <c r="O11" s="48">
        <v>0.34572433166672084</v>
      </c>
      <c r="P11" s="224">
        <f t="shared" si="4"/>
        <v>-0.41972447673674795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516" t="s">
        <v>129</v>
      </c>
      <c r="M12" s="224" t="s">
        <v>129</v>
      </c>
      <c r="N12" s="562"/>
      <c r="O12" s="516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232973.89</v>
      </c>
      <c r="D13" s="152">
        <f t="shared" ref="D13:I13" si="6">SUM(D11:D12)</f>
        <v>971373.89</v>
      </c>
      <c r="E13" s="84">
        <f t="shared" si="6"/>
        <v>657836.15</v>
      </c>
      <c r="F13" s="90">
        <f t="shared" si="0"/>
        <v>0.67722239270812601</v>
      </c>
      <c r="G13" s="84">
        <f t="shared" si="6"/>
        <v>651151.12</v>
      </c>
      <c r="H13" s="90">
        <f>G13/D13</f>
        <v>0.67034035679093662</v>
      </c>
      <c r="I13" s="84">
        <f t="shared" si="6"/>
        <v>334826.3</v>
      </c>
      <c r="J13" s="170">
        <f t="shared" si="2"/>
        <v>0.3446935350506487</v>
      </c>
      <c r="K13" s="561">
        <f>SUM(K11:K12)</f>
        <v>1070706.33</v>
      </c>
      <c r="L13" s="90">
        <v>0.64152709580351552</v>
      </c>
      <c r="M13" s="213">
        <f t="shared" si="3"/>
        <v>-0.39184900494610886</v>
      </c>
      <c r="N13" s="561">
        <f>SUM(N11:N12)</f>
        <v>577012.62</v>
      </c>
      <c r="O13" s="90">
        <v>0.34572433166672084</v>
      </c>
      <c r="P13" s="213">
        <f t="shared" si="4"/>
        <v>-0.41972447673674795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17344532.129999999</v>
      </c>
      <c r="E17" s="155">
        <f t="shared" si="8"/>
        <v>15971820.910000002</v>
      </c>
      <c r="F17" s="181">
        <f t="shared" si="0"/>
        <v>0.92085625546360605</v>
      </c>
      <c r="G17" s="155">
        <f t="shared" si="8"/>
        <v>15620983.74</v>
      </c>
      <c r="H17" s="181">
        <f t="shared" si="1"/>
        <v>0.90062871819881152</v>
      </c>
      <c r="I17" s="155">
        <f t="shared" si="8"/>
        <v>12125074.620000001</v>
      </c>
      <c r="J17" s="173">
        <f t="shared" si="2"/>
        <v>0.69907187631932977</v>
      </c>
      <c r="K17" s="569">
        <f>K10+K13+K16</f>
        <v>15870963.299999999</v>
      </c>
      <c r="L17" s="181">
        <v>0.89347004307421651</v>
      </c>
      <c r="M17" s="600">
        <f t="shared" si="3"/>
        <v>-1.5750749042435119E-2</v>
      </c>
      <c r="N17" s="569">
        <f>N10+N13+N16</f>
        <v>12534782.499999998</v>
      </c>
      <c r="O17" s="181">
        <v>0.70565676755115014</v>
      </c>
      <c r="P17" s="600">
        <f t="shared" si="4"/>
        <v>-3.2685679228977249E-2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Setembre&amp;R&amp;"Arial,Negreta"&amp;8&amp;K03+000Direcció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E15" sqref="E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47" spans="3:3" x14ac:dyDescent="0.2">
      <c r="C47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750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4017719</v>
      </c>
      <c r="D5" s="204">
        <v>4448778.3600000003</v>
      </c>
      <c r="E5" s="30">
        <v>3581868.89</v>
      </c>
      <c r="F5" s="48">
        <f>E5/D5</f>
        <v>0.80513538777418436</v>
      </c>
      <c r="G5" s="30">
        <v>3581868.89</v>
      </c>
      <c r="H5" s="48">
        <f>G5/D5</f>
        <v>0.80513538777418436</v>
      </c>
      <c r="I5" s="30">
        <v>3581868.89</v>
      </c>
      <c r="J5" s="153">
        <f>I5/D5</f>
        <v>0.80513538777418436</v>
      </c>
      <c r="K5" s="571">
        <v>3856638.63</v>
      </c>
      <c r="L5" s="48">
        <v>0.83951697516534873</v>
      </c>
      <c r="M5" s="210">
        <f>+G5/K5-1</f>
        <v>-7.1245912920806842E-2</v>
      </c>
      <c r="N5" s="571">
        <v>3856638.63</v>
      </c>
      <c r="O5" s="48">
        <v>0.83951697516534873</v>
      </c>
      <c r="P5" s="210">
        <f>+I5/N5-1</f>
        <v>-7.1245912920806842E-2</v>
      </c>
    </row>
    <row r="6" spans="1:16" ht="15" customHeight="1" x14ac:dyDescent="0.2">
      <c r="A6" s="23">
        <v>2</v>
      </c>
      <c r="B6" s="23" t="s">
        <v>1</v>
      </c>
      <c r="C6" s="159">
        <v>11569157.5</v>
      </c>
      <c r="D6" s="204">
        <v>12189657.9</v>
      </c>
      <c r="E6" s="30">
        <v>11575903.68</v>
      </c>
      <c r="F6" s="48">
        <f t="shared" ref="F6:F17" si="0">E6/D6</f>
        <v>0.94964959434997753</v>
      </c>
      <c r="G6" s="30">
        <v>11422583.82</v>
      </c>
      <c r="H6" s="280">
        <f t="shared" ref="H6:H17" si="1">G6/D6</f>
        <v>0.93707173029031443</v>
      </c>
      <c r="I6" s="30">
        <v>6745372.5</v>
      </c>
      <c r="J6" s="178">
        <f t="shared" ref="J6:J17" si="2">I6/D6</f>
        <v>0.55336848296620367</v>
      </c>
      <c r="K6" s="572">
        <v>11323445.73</v>
      </c>
      <c r="L6" s="412">
        <v>0.95732184889476502</v>
      </c>
      <c r="M6" s="210">
        <f t="shared" ref="M6:M17" si="3">+G6/K6-1</f>
        <v>8.755116804891605E-3</v>
      </c>
      <c r="N6" s="572">
        <v>7236645.9699999997</v>
      </c>
      <c r="O6" s="412">
        <v>0.61181017377448488</v>
      </c>
      <c r="P6" s="210">
        <f>+I6/N6-1</f>
        <v>-6.7886901202104832E-2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5903469.7199999997</v>
      </c>
      <c r="D8" s="204">
        <v>5689916.0199999996</v>
      </c>
      <c r="E8" s="30">
        <v>5471568.46</v>
      </c>
      <c r="F8" s="48">
        <f t="shared" si="0"/>
        <v>0.96162552149583402</v>
      </c>
      <c r="G8" s="30">
        <v>5470568.46</v>
      </c>
      <c r="H8" s="48">
        <f t="shared" si="1"/>
        <v>0.96144977197747827</v>
      </c>
      <c r="I8" s="30">
        <v>5321353</v>
      </c>
      <c r="J8" s="178">
        <f t="shared" si="2"/>
        <v>0.93522522675123776</v>
      </c>
      <c r="K8" s="628">
        <v>5473637.71</v>
      </c>
      <c r="L8" s="414">
        <v>0.98533065609279169</v>
      </c>
      <c r="M8" s="443">
        <f t="shared" si="3"/>
        <v>-5.6073312897431116E-4</v>
      </c>
      <c r="N8" s="628">
        <v>5407095.5999999996</v>
      </c>
      <c r="O8" s="414">
        <v>0.97335215397448127</v>
      </c>
      <c r="P8" s="443">
        <f t="shared" ref="P8:P17" si="4">+I8/N8-1</f>
        <v>-1.5857422605955018E-2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21490346.219999999</v>
      </c>
      <c r="D10" s="152">
        <f t="shared" ref="D10:E10" si="5">SUM(D5:D9)</f>
        <v>22328352.280000001</v>
      </c>
      <c r="E10" s="84">
        <f t="shared" si="5"/>
        <v>20629341.030000001</v>
      </c>
      <c r="F10" s="90">
        <f t="shared" si="0"/>
        <v>0.92390789841121224</v>
      </c>
      <c r="G10" s="84">
        <f>SUM(G5:G9)</f>
        <v>20475021.170000002</v>
      </c>
      <c r="H10" s="90">
        <f t="shared" si="1"/>
        <v>0.91699651247172098</v>
      </c>
      <c r="I10" s="84">
        <f>SUM(I5:I9)</f>
        <v>15648594.390000001</v>
      </c>
      <c r="J10" s="170">
        <f t="shared" si="2"/>
        <v>0.70083964072963834</v>
      </c>
      <c r="K10" s="561">
        <f>SUM(K5:K9)</f>
        <v>20653722.07</v>
      </c>
      <c r="L10" s="90">
        <v>0.93977695335591338</v>
      </c>
      <c r="M10" s="213">
        <f t="shared" si="3"/>
        <v>-8.6522370831921824E-3</v>
      </c>
      <c r="N10" s="561">
        <f>SUM(N5:N9)</f>
        <v>16500380.199999999</v>
      </c>
      <c r="O10" s="90">
        <v>0.75079334276963261</v>
      </c>
      <c r="P10" s="213">
        <f t="shared" si="4"/>
        <v>-5.1622192923772681E-2</v>
      </c>
    </row>
    <row r="11" spans="1:16" ht="15" customHeight="1" x14ac:dyDescent="0.2">
      <c r="A11" s="21">
        <v>6</v>
      </c>
      <c r="B11" s="21" t="s">
        <v>5</v>
      </c>
      <c r="C11" s="159">
        <v>596115.53</v>
      </c>
      <c r="D11" s="204">
        <v>1286375.31</v>
      </c>
      <c r="E11" s="30">
        <v>759850.86</v>
      </c>
      <c r="F11" s="48">
        <f t="shared" si="0"/>
        <v>0.5906914211529759</v>
      </c>
      <c r="G11" s="30">
        <v>754723.41</v>
      </c>
      <c r="H11" s="48">
        <f t="shared" si="1"/>
        <v>0.58670545379170869</v>
      </c>
      <c r="I11" s="30">
        <v>241130.23</v>
      </c>
      <c r="J11" s="153">
        <f t="shared" si="2"/>
        <v>0.18744936110441984</v>
      </c>
      <c r="K11" s="558">
        <v>872224.97</v>
      </c>
      <c r="L11" s="48">
        <v>0.71471516322813322</v>
      </c>
      <c r="M11" s="224">
        <f t="shared" si="3"/>
        <v>-0.13471473993687655</v>
      </c>
      <c r="N11" s="558">
        <v>264033.68</v>
      </c>
      <c r="O11" s="48">
        <v>0.21635344227639425</v>
      </c>
      <c r="P11" s="224">
        <f t="shared" si="4"/>
        <v>-8.6744425938387826E-2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390" t="s">
        <v>129</v>
      </c>
      <c r="M12" s="224" t="s">
        <v>129</v>
      </c>
      <c r="N12" s="562"/>
      <c r="O12" s="390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596115.53</v>
      </c>
      <c r="D13" s="152">
        <f t="shared" ref="D13:I13" si="6">SUM(D11:D12)</f>
        <v>1286375.31</v>
      </c>
      <c r="E13" s="84">
        <f t="shared" si="6"/>
        <v>759850.86</v>
      </c>
      <c r="F13" s="90">
        <f t="shared" si="0"/>
        <v>0.5906914211529759</v>
      </c>
      <c r="G13" s="84">
        <f t="shared" si="6"/>
        <v>754723.41</v>
      </c>
      <c r="H13" s="90">
        <f t="shared" si="1"/>
        <v>0.58670545379170869</v>
      </c>
      <c r="I13" s="84">
        <f t="shared" si="6"/>
        <v>241130.23</v>
      </c>
      <c r="J13" s="170">
        <f t="shared" si="2"/>
        <v>0.18744936110441984</v>
      </c>
      <c r="K13" s="561">
        <f>SUM(K11:K12)</f>
        <v>872224.97</v>
      </c>
      <c r="L13" s="90">
        <v>0.71471516322813322</v>
      </c>
      <c r="M13" s="213">
        <f t="shared" si="3"/>
        <v>-0.13471473993687655</v>
      </c>
      <c r="N13" s="561">
        <f>SUM(N11:N12)</f>
        <v>264033.68</v>
      </c>
      <c r="O13" s="90">
        <v>0.21635344227639425</v>
      </c>
      <c r="P13" s="213">
        <f t="shared" si="4"/>
        <v>-8.6744425938387826E-2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22086461.75</v>
      </c>
      <c r="D17" s="154">
        <f t="shared" ref="D17:I17" si="8">+D10+D13+D16</f>
        <v>23614727.59</v>
      </c>
      <c r="E17" s="155">
        <f t="shared" si="8"/>
        <v>21389191.890000001</v>
      </c>
      <c r="F17" s="181">
        <f t="shared" si="0"/>
        <v>0.9057564525562245</v>
      </c>
      <c r="G17" s="155">
        <f t="shared" si="8"/>
        <v>21229744.580000002</v>
      </c>
      <c r="H17" s="181">
        <f t="shared" si="1"/>
        <v>0.89900442421322047</v>
      </c>
      <c r="I17" s="155">
        <f t="shared" si="8"/>
        <v>15889724.620000001</v>
      </c>
      <c r="J17" s="173">
        <f t="shared" si="2"/>
        <v>0.67287350910322319</v>
      </c>
      <c r="K17" s="569">
        <f>K10+K13+K16</f>
        <v>21525947.039999999</v>
      </c>
      <c r="L17" s="181">
        <v>0.92793690521158045</v>
      </c>
      <c r="M17" s="600">
        <f t="shared" si="3"/>
        <v>-1.3760252194692568E-2</v>
      </c>
      <c r="N17" s="569">
        <f>N10+N13+N16</f>
        <v>16764413.879999999</v>
      </c>
      <c r="O17" s="181">
        <v>0.72267753444650595</v>
      </c>
      <c r="P17" s="600">
        <f t="shared" si="4"/>
        <v>-5.2175355861591166E-2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751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4102543.82</v>
      </c>
      <c r="D5" s="204">
        <v>4127575.5</v>
      </c>
      <c r="E5" s="30">
        <v>3396416.25</v>
      </c>
      <c r="F5" s="48">
        <f>E5/D5</f>
        <v>0.82285987258137372</v>
      </c>
      <c r="G5" s="30">
        <v>3396416.25</v>
      </c>
      <c r="H5" s="48">
        <f>G5/D5</f>
        <v>0.82285987258137372</v>
      </c>
      <c r="I5" s="30">
        <v>3396416.25</v>
      </c>
      <c r="J5" s="153">
        <f>I5/D5</f>
        <v>0.82285987258137372</v>
      </c>
      <c r="K5" s="571">
        <v>3773733.75</v>
      </c>
      <c r="L5" s="48">
        <v>0.83527195467476023</v>
      </c>
      <c r="M5" s="210">
        <f>+G5/K5-1</f>
        <v>-9.9985193709015596E-2</v>
      </c>
      <c r="N5" s="571">
        <v>3773733.75</v>
      </c>
      <c r="O5" s="48">
        <v>0.83527195467476023</v>
      </c>
      <c r="P5" s="210">
        <f>+I5/N5-1</f>
        <v>-9.9985193709015596E-2</v>
      </c>
    </row>
    <row r="6" spans="1:16" ht="15" customHeight="1" x14ac:dyDescent="0.2">
      <c r="A6" s="23">
        <v>2</v>
      </c>
      <c r="B6" s="23" t="s">
        <v>1</v>
      </c>
      <c r="C6" s="159">
        <v>12035819.98</v>
      </c>
      <c r="D6" s="204">
        <v>12609043.74</v>
      </c>
      <c r="E6" s="30">
        <v>12181349.119999999</v>
      </c>
      <c r="F6" s="48">
        <f t="shared" ref="F6:F17" si="0">E6/D6</f>
        <v>0.9660803286260945</v>
      </c>
      <c r="G6" s="30">
        <v>11990581.050000001</v>
      </c>
      <c r="H6" s="280">
        <f t="shared" ref="H6:H17" si="1">G6/D6</f>
        <v>0.95095086489088509</v>
      </c>
      <c r="I6" s="30">
        <v>8186605.4299999997</v>
      </c>
      <c r="J6" s="178">
        <f t="shared" ref="J6:J17" si="2">I6/D6</f>
        <v>0.64926457539594506</v>
      </c>
      <c r="K6" s="572">
        <v>11290221.58</v>
      </c>
      <c r="L6" s="412">
        <v>0.95335578560081136</v>
      </c>
      <c r="M6" s="210">
        <f t="shared" ref="M6:M17" si="3">+G6/K6-1</f>
        <v>6.2032393699043897E-2</v>
      </c>
      <c r="N6" s="572">
        <v>7459448.79</v>
      </c>
      <c r="O6" s="412">
        <v>0.6298821162143633</v>
      </c>
      <c r="P6" s="210">
        <f>+I6/N6-1</f>
        <v>9.7481283198138202E-2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8849400</v>
      </c>
      <c r="D8" s="204">
        <v>8868205.4600000009</v>
      </c>
      <c r="E8" s="30">
        <v>8776357.0399999991</v>
      </c>
      <c r="F8" s="48">
        <f t="shared" si="0"/>
        <v>0.98964295308512151</v>
      </c>
      <c r="G8" s="30">
        <v>8774157.0399999991</v>
      </c>
      <c r="H8" s="48">
        <f t="shared" si="1"/>
        <v>0.98939487583770958</v>
      </c>
      <c r="I8" s="30">
        <v>8358808.0800000001</v>
      </c>
      <c r="J8" s="178">
        <f t="shared" si="2"/>
        <v>0.94255913642307509</v>
      </c>
      <c r="K8" s="628">
        <v>8776967.5199999996</v>
      </c>
      <c r="L8" s="414">
        <v>0.99701830332452013</v>
      </c>
      <c r="M8" s="443">
        <f t="shared" si="3"/>
        <v>-3.2021082379496413E-4</v>
      </c>
      <c r="N8" s="628">
        <v>8544614.2400000002</v>
      </c>
      <c r="O8" s="414">
        <v>0.97062416748322822</v>
      </c>
      <c r="P8" s="443">
        <f t="shared" ref="P8:P17" si="4">+I8/N8-1</f>
        <v>-2.1745412347602966E-2</v>
      </c>
    </row>
    <row r="9" spans="1:16" ht="15" customHeight="1" x14ac:dyDescent="0.2">
      <c r="A9" s="55">
        <v>5</v>
      </c>
      <c r="B9" s="55" t="s">
        <v>453</v>
      </c>
      <c r="C9" s="176">
        <v>150000</v>
      </c>
      <c r="D9" s="511">
        <v>0</v>
      </c>
      <c r="E9" s="180">
        <v>0</v>
      </c>
      <c r="F9" s="390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25604824.700000003</v>
      </c>
      <c r="E10" s="84">
        <f t="shared" si="5"/>
        <v>24354122.409999996</v>
      </c>
      <c r="F10" s="90">
        <f t="shared" si="0"/>
        <v>0.95115364761704435</v>
      </c>
      <c r="G10" s="84">
        <f>SUM(G5:G9)</f>
        <v>24161154.34</v>
      </c>
      <c r="H10" s="90">
        <f t="shared" si="1"/>
        <v>0.94361725272815467</v>
      </c>
      <c r="I10" s="84">
        <f>SUM(I5:I9)</f>
        <v>19941829.759999998</v>
      </c>
      <c r="J10" s="170">
        <f t="shared" si="2"/>
        <v>0.77883094274806719</v>
      </c>
      <c r="K10" s="561">
        <f>SUM(K5:K9)</f>
        <v>23840922.850000001</v>
      </c>
      <c r="L10" s="90">
        <v>0.94742946829935182</v>
      </c>
      <c r="M10" s="213">
        <f t="shared" si="3"/>
        <v>1.3432008987856792E-2</v>
      </c>
      <c r="N10" s="561">
        <f>SUM(N5:N9)</f>
        <v>19777796.780000001</v>
      </c>
      <c r="O10" s="90">
        <v>0.7859623390127296</v>
      </c>
      <c r="P10" s="213">
        <f t="shared" si="4"/>
        <v>8.2937943909846545E-3</v>
      </c>
    </row>
    <row r="11" spans="1:16" ht="15" customHeight="1" x14ac:dyDescent="0.2">
      <c r="A11" s="21">
        <v>6</v>
      </c>
      <c r="B11" s="21" t="s">
        <v>5</v>
      </c>
      <c r="C11" s="159">
        <v>533716.47</v>
      </c>
      <c r="D11" s="204">
        <v>1245516.47</v>
      </c>
      <c r="E11" s="30">
        <v>1193404.75</v>
      </c>
      <c r="F11" s="48">
        <f t="shared" si="0"/>
        <v>0.95816055326831606</v>
      </c>
      <c r="G11" s="30">
        <v>952062.13</v>
      </c>
      <c r="H11" s="48">
        <f t="shared" si="1"/>
        <v>0.76439144156801075</v>
      </c>
      <c r="I11" s="30">
        <v>366819.45</v>
      </c>
      <c r="J11" s="153">
        <f t="shared" si="2"/>
        <v>0.29451192243166402</v>
      </c>
      <c r="K11" s="558">
        <v>1899521.65</v>
      </c>
      <c r="L11" s="48">
        <v>0.72888392558509552</v>
      </c>
      <c r="M11" s="224">
        <f t="shared" si="3"/>
        <v>-0.49878848182646407</v>
      </c>
      <c r="N11" s="558">
        <v>369466.35</v>
      </c>
      <c r="O11" s="48">
        <v>0.14177152629958012</v>
      </c>
      <c r="P11" s="224">
        <f t="shared" si="4"/>
        <v>-7.164116569749801E-3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516" t="s">
        <v>129</v>
      </c>
      <c r="M12" s="224" t="s">
        <v>129</v>
      </c>
      <c r="N12" s="562"/>
      <c r="O12" s="516" t="s">
        <v>129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533716.47</v>
      </c>
      <c r="D13" s="152">
        <f t="shared" ref="D13:I13" si="6">SUM(D11:D12)</f>
        <v>1245516.47</v>
      </c>
      <c r="E13" s="84">
        <f t="shared" si="6"/>
        <v>1193404.75</v>
      </c>
      <c r="F13" s="90">
        <f t="shared" si="0"/>
        <v>0.95816055326831606</v>
      </c>
      <c r="G13" s="84">
        <f t="shared" si="6"/>
        <v>952062.13</v>
      </c>
      <c r="H13" s="90">
        <f t="shared" si="1"/>
        <v>0.76439144156801075</v>
      </c>
      <c r="I13" s="84">
        <f t="shared" si="6"/>
        <v>366819.45</v>
      </c>
      <c r="J13" s="170">
        <f t="shared" si="2"/>
        <v>0.29451192243166402</v>
      </c>
      <c r="K13" s="561">
        <f>SUM(K11:K12)</f>
        <v>1899521.65</v>
      </c>
      <c r="L13" s="90">
        <v>0.72888392558509552</v>
      </c>
      <c r="M13" s="213">
        <f t="shared" si="3"/>
        <v>-0.49878848182646407</v>
      </c>
      <c r="N13" s="561">
        <f>SUM(N11:N12)</f>
        <v>369466.35</v>
      </c>
      <c r="O13" s="90">
        <v>0.14177152629958012</v>
      </c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25671480.27</v>
      </c>
      <c r="D17" s="154">
        <f t="shared" ref="D17:I17" si="8">+D10+D13+D16</f>
        <v>26850341.170000002</v>
      </c>
      <c r="E17" s="155">
        <f t="shared" si="8"/>
        <v>25547527.159999996</v>
      </c>
      <c r="F17" s="181">
        <f t="shared" si="0"/>
        <v>0.95147867947928921</v>
      </c>
      <c r="G17" s="155">
        <f t="shared" si="8"/>
        <v>25113216.469999999</v>
      </c>
      <c r="H17" s="181">
        <f t="shared" si="1"/>
        <v>0.93530344031751445</v>
      </c>
      <c r="I17" s="155">
        <f t="shared" si="8"/>
        <v>20308649.209999997</v>
      </c>
      <c r="J17" s="173">
        <f t="shared" si="2"/>
        <v>0.75636466149230663</v>
      </c>
      <c r="K17" s="569">
        <f>K10+K13+K16</f>
        <v>25740444.5</v>
      </c>
      <c r="L17" s="181">
        <v>0.92692001673959845</v>
      </c>
      <c r="M17" s="600">
        <f t="shared" si="3"/>
        <v>-2.4367412536329791E-2</v>
      </c>
      <c r="N17" s="569">
        <f>N10+N13+N16</f>
        <v>20147263.130000003</v>
      </c>
      <c r="O17" s="181">
        <v>0.72550811924466563</v>
      </c>
      <c r="P17" s="600">
        <f t="shared" si="4"/>
        <v>8.0103227400492027E-3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8" sqref="E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752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4200092.13</v>
      </c>
      <c r="D5" s="204">
        <v>4395014.58</v>
      </c>
      <c r="E5" s="30">
        <v>3589610.95</v>
      </c>
      <c r="F5" s="48">
        <f>E5/D5</f>
        <v>0.81674608460570797</v>
      </c>
      <c r="G5" s="30">
        <v>3589610.95</v>
      </c>
      <c r="H5" s="48">
        <f>G5/D5</f>
        <v>0.81674608460570797</v>
      </c>
      <c r="I5" s="30">
        <v>3589610.95</v>
      </c>
      <c r="J5" s="153">
        <f>I5/D5</f>
        <v>0.81674608460570797</v>
      </c>
      <c r="K5" s="571">
        <v>3702878.77</v>
      </c>
      <c r="L5" s="48">
        <v>0.82727972002901085</v>
      </c>
      <c r="M5" s="210">
        <f>+G5/K5-1</f>
        <v>-3.0589124579954774E-2</v>
      </c>
      <c r="N5" s="571">
        <v>3702878.77</v>
      </c>
      <c r="O5" s="48">
        <v>0.82727972002901085</v>
      </c>
      <c r="P5" s="210">
        <f>+I5/N5-1</f>
        <v>-3.0589124579954774E-2</v>
      </c>
    </row>
    <row r="6" spans="1:16" ht="15" customHeight="1" x14ac:dyDescent="0.2">
      <c r="A6" s="23">
        <v>2</v>
      </c>
      <c r="B6" s="23" t="s">
        <v>1</v>
      </c>
      <c r="C6" s="159">
        <v>13635192.460000001</v>
      </c>
      <c r="D6" s="204">
        <v>14266237.52</v>
      </c>
      <c r="E6" s="30">
        <v>13765688.49</v>
      </c>
      <c r="F6" s="48">
        <f t="shared" ref="F6:F17" si="0">E6/D6</f>
        <v>0.96491373220877097</v>
      </c>
      <c r="G6" s="30">
        <v>13444540.779999999</v>
      </c>
      <c r="H6" s="280">
        <f t="shared" ref="H6:H17" si="1">G6/D6</f>
        <v>0.94240270156388084</v>
      </c>
      <c r="I6" s="30">
        <v>8694660.5700000003</v>
      </c>
      <c r="J6" s="178">
        <f t="shared" ref="J6:J17" si="2">I6/D6</f>
        <v>0.60945715769913811</v>
      </c>
      <c r="K6" s="572">
        <v>12967938.43</v>
      </c>
      <c r="L6" s="412">
        <v>0.92605135075810296</v>
      </c>
      <c r="M6" s="210">
        <f t="shared" ref="M6:M17" si="3">+G6/K6-1</f>
        <v>3.6752360644883186E-2</v>
      </c>
      <c r="N6" s="572">
        <v>8004808.9199999999</v>
      </c>
      <c r="O6" s="412">
        <v>0.57163011321657786</v>
      </c>
      <c r="P6" s="210">
        <f>+I6/N6-1</f>
        <v>8.6179652368266746E-2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13307434.48</v>
      </c>
      <c r="D8" s="204">
        <v>13010885.24</v>
      </c>
      <c r="E8" s="30">
        <v>12896370.439999999</v>
      </c>
      <c r="F8" s="48">
        <f t="shared" si="0"/>
        <v>0.99119853892431986</v>
      </c>
      <c r="G8" s="30">
        <v>12894070.439999999</v>
      </c>
      <c r="H8" s="48">
        <f t="shared" si="1"/>
        <v>0.99102176386577667</v>
      </c>
      <c r="I8" s="30">
        <v>12336352.890000001</v>
      </c>
      <c r="J8" s="178">
        <f t="shared" si="2"/>
        <v>0.94815630623454794</v>
      </c>
      <c r="K8" s="628">
        <v>12877970.67</v>
      </c>
      <c r="L8" s="414">
        <v>0.98850195138697228</v>
      </c>
      <c r="M8" s="443">
        <f t="shared" si="3"/>
        <v>1.250179116924377E-3</v>
      </c>
      <c r="N8" s="628">
        <v>12514608.960000001</v>
      </c>
      <c r="O8" s="414">
        <v>0.96061061908016354</v>
      </c>
      <c r="P8" s="443">
        <f t="shared" ref="P8:P17" si="4">+I8/N8-1</f>
        <v>-1.424383858654743E-2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31142719.07</v>
      </c>
      <c r="D10" s="152">
        <f t="shared" ref="D10:E10" si="5">SUM(D5:D9)</f>
        <v>31672137.340000004</v>
      </c>
      <c r="E10" s="84">
        <f t="shared" si="5"/>
        <v>30251669.880000003</v>
      </c>
      <c r="F10" s="90">
        <f t="shared" si="0"/>
        <v>0.95515088089094524</v>
      </c>
      <c r="G10" s="84">
        <f>SUM(G5:G9)</f>
        <v>29928222.170000002</v>
      </c>
      <c r="H10" s="90">
        <f t="shared" si="1"/>
        <v>0.94493850695079107</v>
      </c>
      <c r="I10" s="84">
        <f>SUM(I5:I9)</f>
        <v>24620624.41</v>
      </c>
      <c r="J10" s="170">
        <f t="shared" si="2"/>
        <v>0.77735910733456037</v>
      </c>
      <c r="K10" s="561">
        <f>SUM(K5:K9)</f>
        <v>29548787.869999997</v>
      </c>
      <c r="L10" s="90">
        <v>0.93784207768754868</v>
      </c>
      <c r="M10" s="213">
        <f t="shared" si="3"/>
        <v>1.2840942974355674E-2</v>
      </c>
      <c r="N10" s="561">
        <f>SUM(N5:N9)</f>
        <v>24222296.649999999</v>
      </c>
      <c r="O10" s="90">
        <v>0.76878581674965174</v>
      </c>
      <c r="P10" s="213">
        <f t="shared" si="4"/>
        <v>1.6444673507043372E-2</v>
      </c>
    </row>
    <row r="11" spans="1:16" ht="15" customHeight="1" x14ac:dyDescent="0.2">
      <c r="A11" s="21">
        <v>6</v>
      </c>
      <c r="B11" s="21" t="s">
        <v>5</v>
      </c>
      <c r="C11" s="159">
        <v>771687.76</v>
      </c>
      <c r="D11" s="204">
        <v>1238632.46</v>
      </c>
      <c r="E11" s="30">
        <v>951366.03</v>
      </c>
      <c r="F11" s="48">
        <f t="shared" si="0"/>
        <v>0.76807774761530156</v>
      </c>
      <c r="G11" s="30">
        <v>921218.43</v>
      </c>
      <c r="H11" s="48">
        <f t="shared" si="1"/>
        <v>0.74373832411916618</v>
      </c>
      <c r="I11" s="30">
        <v>530419.12</v>
      </c>
      <c r="J11" s="153">
        <f t="shared" si="2"/>
        <v>0.42822962995818792</v>
      </c>
      <c r="K11" s="558">
        <v>934563.25</v>
      </c>
      <c r="L11" s="48">
        <v>0.64011188521774076</v>
      </c>
      <c r="M11" s="224">
        <f t="shared" si="3"/>
        <v>-1.4279204751524222E-2</v>
      </c>
      <c r="N11" s="558">
        <v>327403.65999999997</v>
      </c>
      <c r="O11" s="48">
        <v>0.22424910676702536</v>
      </c>
      <c r="P11" s="224">
        <f t="shared" si="4"/>
        <v>0.62007694110688938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213192</v>
      </c>
      <c r="J12" s="153">
        <f t="shared" si="2"/>
        <v>1</v>
      </c>
      <c r="K12" s="562"/>
      <c r="L12" s="390" t="s">
        <v>129</v>
      </c>
      <c r="M12" s="552" t="s">
        <v>129</v>
      </c>
      <c r="N12" s="562"/>
      <c r="O12" s="390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771687.76</v>
      </c>
      <c r="D13" s="152">
        <f t="shared" ref="D13:I13" si="6">SUM(D11:D12)</f>
        <v>1451824.46</v>
      </c>
      <c r="E13" s="84">
        <f t="shared" si="6"/>
        <v>1164558.03</v>
      </c>
      <c r="F13" s="90">
        <f t="shared" si="0"/>
        <v>0.80213418501021816</v>
      </c>
      <c r="G13" s="84">
        <f t="shared" si="6"/>
        <v>1134410.4300000002</v>
      </c>
      <c r="H13" s="90">
        <f t="shared" si="1"/>
        <v>0.78136886466288091</v>
      </c>
      <c r="I13" s="84">
        <f t="shared" si="6"/>
        <v>743611.12</v>
      </c>
      <c r="J13" s="170">
        <f t="shared" si="2"/>
        <v>0.5121907919914781</v>
      </c>
      <c r="K13" s="561">
        <f>SUM(K11:K12)</f>
        <v>934563.25</v>
      </c>
      <c r="L13" s="90">
        <v>0.64011188521774076</v>
      </c>
      <c r="M13" s="622">
        <f t="shared" si="3"/>
        <v>0.21384018684663686</v>
      </c>
      <c r="N13" s="561">
        <f>SUM(N11:N12)</f>
        <v>327403.65999999997</v>
      </c>
      <c r="O13" s="90">
        <v>0.22424910676702536</v>
      </c>
      <c r="P13" s="213">
        <f t="shared" si="4"/>
        <v>1.2712364302830337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33123961.800000004</v>
      </c>
      <c r="E17" s="155">
        <f t="shared" si="8"/>
        <v>31416227.910000004</v>
      </c>
      <c r="F17" s="181">
        <f t="shared" si="0"/>
        <v>0.9484441535009861</v>
      </c>
      <c r="G17" s="155">
        <f t="shared" si="8"/>
        <v>31062632.600000001</v>
      </c>
      <c r="H17" s="181">
        <f t="shared" si="1"/>
        <v>0.93776924353293989</v>
      </c>
      <c r="I17" s="155">
        <f t="shared" si="8"/>
        <v>25364235.530000001</v>
      </c>
      <c r="J17" s="173">
        <f t="shared" si="2"/>
        <v>0.76573677035215026</v>
      </c>
      <c r="K17" s="569">
        <f>K10+K13+K16</f>
        <v>30483351.119999997</v>
      </c>
      <c r="L17" s="181">
        <v>0.92465667233162685</v>
      </c>
      <c r="M17" s="600">
        <f t="shared" si="3"/>
        <v>1.900320859473803E-2</v>
      </c>
      <c r="N17" s="569">
        <f>N10+N13+N16</f>
        <v>24549700.309999999</v>
      </c>
      <c r="O17" s="181">
        <v>0.74467023346688099</v>
      </c>
      <c r="P17" s="600">
        <f t="shared" si="4"/>
        <v>3.3179029060009135E-2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752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753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3911994.03</v>
      </c>
      <c r="D5" s="204">
        <v>4418113.5</v>
      </c>
      <c r="E5" s="30">
        <v>3607885.65</v>
      </c>
      <c r="F5" s="48">
        <f>E5/D5</f>
        <v>0.81661225996118025</v>
      </c>
      <c r="G5" s="30">
        <v>3607885.65</v>
      </c>
      <c r="H5" s="48">
        <f>G5/D5</f>
        <v>0.81661225996118025</v>
      </c>
      <c r="I5" s="30">
        <v>3607885.65</v>
      </c>
      <c r="J5" s="153">
        <f>I5/D5</f>
        <v>0.81661225996118025</v>
      </c>
      <c r="K5" s="571">
        <v>3541341.94</v>
      </c>
      <c r="L5" s="48">
        <v>0.83201502619244516</v>
      </c>
      <c r="M5" s="210">
        <f>+G5/K5-1</f>
        <v>1.8790535093033078E-2</v>
      </c>
      <c r="N5" s="571">
        <v>3541341.94</v>
      </c>
      <c r="O5" s="48">
        <v>0.83201502619244516</v>
      </c>
      <c r="P5" s="210">
        <f>+I5/N5-1</f>
        <v>1.8790535093033078E-2</v>
      </c>
    </row>
    <row r="6" spans="1:16" ht="15" customHeight="1" x14ac:dyDescent="0.2">
      <c r="A6" s="23">
        <v>2</v>
      </c>
      <c r="B6" s="23" t="s">
        <v>1</v>
      </c>
      <c r="C6" s="159">
        <v>15815035.859999999</v>
      </c>
      <c r="D6" s="204">
        <v>16778007.940000001</v>
      </c>
      <c r="E6" s="30">
        <v>15341778.279999999</v>
      </c>
      <c r="F6" s="48">
        <f t="shared" ref="F6:F17" si="0">E6/D6</f>
        <v>0.91439808199304007</v>
      </c>
      <c r="G6" s="30">
        <v>14907905.560000001</v>
      </c>
      <c r="H6" s="280">
        <f t="shared" ref="H6:H17" si="1">G6/D6</f>
        <v>0.88853847329863644</v>
      </c>
      <c r="I6" s="30">
        <v>9770381.1199999992</v>
      </c>
      <c r="J6" s="178">
        <f t="shared" ref="J6:J17" si="2">I6/D6</f>
        <v>0.58233260795560204</v>
      </c>
      <c r="K6" s="572">
        <v>14086927.82</v>
      </c>
      <c r="L6" s="412">
        <v>0.92806408684355801</v>
      </c>
      <c r="M6" s="210">
        <f t="shared" ref="M6:M17" si="3">+G6/K6-1</f>
        <v>5.8279402754830123E-2</v>
      </c>
      <c r="N6" s="572">
        <v>8798932.8699999992</v>
      </c>
      <c r="O6" s="412">
        <v>0.57968449214317874</v>
      </c>
      <c r="P6" s="210">
        <f>+I6/N6-1</f>
        <v>0.11040523485662179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14580370.869999999</v>
      </c>
      <c r="D8" s="204">
        <v>14425327.1</v>
      </c>
      <c r="E8" s="30">
        <v>13973093.890000001</v>
      </c>
      <c r="F8" s="48">
        <f t="shared" si="0"/>
        <v>0.96865005508263313</v>
      </c>
      <c r="G8" s="30">
        <v>13973093.890000001</v>
      </c>
      <c r="H8" s="48">
        <f t="shared" si="1"/>
        <v>0.96865005508263313</v>
      </c>
      <c r="I8" s="30">
        <v>11576248.83</v>
      </c>
      <c r="J8" s="178">
        <f t="shared" si="2"/>
        <v>0.80249471985976673</v>
      </c>
      <c r="K8" s="628">
        <v>13749662.76</v>
      </c>
      <c r="L8" s="414">
        <v>0.96079594495090892</v>
      </c>
      <c r="M8" s="443">
        <f t="shared" si="3"/>
        <v>1.6249935282049099E-2</v>
      </c>
      <c r="N8" s="628">
        <v>13234213.33</v>
      </c>
      <c r="O8" s="414">
        <v>0.92477748174816077</v>
      </c>
      <c r="P8" s="443">
        <f t="shared" ref="P8:P17" si="4">+I8/N8-1</f>
        <v>-0.12527865908294222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34307400.759999998</v>
      </c>
      <c r="D10" s="152">
        <f t="shared" ref="D10:E10" si="5">SUM(D5:D9)</f>
        <v>35621448.539999999</v>
      </c>
      <c r="E10" s="84">
        <f t="shared" si="5"/>
        <v>32922757.82</v>
      </c>
      <c r="F10" s="90">
        <f t="shared" si="0"/>
        <v>0.92423972548534661</v>
      </c>
      <c r="G10" s="84">
        <f>SUM(G5:G9)</f>
        <v>32488885.100000001</v>
      </c>
      <c r="H10" s="90">
        <f t="shared" si="1"/>
        <v>0.91205962788171335</v>
      </c>
      <c r="I10" s="84">
        <f>SUM(I5:I9)</f>
        <v>24954515.600000001</v>
      </c>
      <c r="J10" s="170">
        <f t="shared" si="2"/>
        <v>0.70054746852807248</v>
      </c>
      <c r="K10" s="561">
        <f>SUM(K5:K9)</f>
        <v>31377932.520000003</v>
      </c>
      <c r="L10" s="90">
        <v>0.92983016915325289</v>
      </c>
      <c r="M10" s="213">
        <f t="shared" si="3"/>
        <v>3.5405537929941389E-2</v>
      </c>
      <c r="N10" s="561">
        <f>SUM(N5:N9)</f>
        <v>25574488.140000001</v>
      </c>
      <c r="O10" s="90">
        <v>0.7578552416755614</v>
      </c>
      <c r="P10" s="213">
        <f t="shared" si="4"/>
        <v>-2.4241835715582694E-2</v>
      </c>
    </row>
    <row r="11" spans="1:16" ht="15" customHeight="1" x14ac:dyDescent="0.2">
      <c r="A11" s="21">
        <v>6</v>
      </c>
      <c r="B11" s="21" t="s">
        <v>5</v>
      </c>
      <c r="C11" s="159">
        <v>2057308.75</v>
      </c>
      <c r="D11" s="204">
        <v>4335544.18</v>
      </c>
      <c r="E11" s="30">
        <v>3881627.19</v>
      </c>
      <c r="F11" s="48">
        <f t="shared" si="0"/>
        <v>0.89530334113675214</v>
      </c>
      <c r="G11" s="30">
        <v>3750916.4</v>
      </c>
      <c r="H11" s="48">
        <f t="shared" si="1"/>
        <v>0.86515469437564352</v>
      </c>
      <c r="I11" s="30">
        <v>1406083.41</v>
      </c>
      <c r="J11" s="153">
        <f t="shared" si="2"/>
        <v>0.32431532274225378</v>
      </c>
      <c r="K11" s="558">
        <v>1926581.89</v>
      </c>
      <c r="L11" s="48">
        <v>0.42007997904333716</v>
      </c>
      <c r="M11" s="224">
        <f t="shared" si="3"/>
        <v>0.94692809034969194</v>
      </c>
      <c r="N11" s="558">
        <v>976181.6</v>
      </c>
      <c r="O11" s="48">
        <v>0.21285072189196763</v>
      </c>
      <c r="P11" s="224">
        <f t="shared" si="4"/>
        <v>0.44039122433776656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516" t="s">
        <v>129</v>
      </c>
      <c r="M12" s="552" t="s">
        <v>129</v>
      </c>
      <c r="N12" s="562"/>
      <c r="O12" s="516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2057308.75</v>
      </c>
      <c r="D13" s="152">
        <f t="shared" ref="D13:I13" si="6">SUM(D11:D12)</f>
        <v>4335544.18</v>
      </c>
      <c r="E13" s="84">
        <f t="shared" si="6"/>
        <v>3881627.19</v>
      </c>
      <c r="F13" s="90">
        <f t="shared" si="0"/>
        <v>0.89530334113675214</v>
      </c>
      <c r="G13" s="84">
        <f t="shared" si="6"/>
        <v>3750916.4</v>
      </c>
      <c r="H13" s="90">
        <f t="shared" si="1"/>
        <v>0.86515469437564352</v>
      </c>
      <c r="I13" s="84">
        <f t="shared" si="6"/>
        <v>1406083.41</v>
      </c>
      <c r="J13" s="170">
        <f t="shared" si="2"/>
        <v>0.32431532274225378</v>
      </c>
      <c r="K13" s="561">
        <f>SUM(K11:K12)</f>
        <v>1926581.89</v>
      </c>
      <c r="L13" s="90">
        <v>0.42007997904333716</v>
      </c>
      <c r="M13" s="622">
        <f t="shared" si="3"/>
        <v>0.94692809034969194</v>
      </c>
      <c r="N13" s="561">
        <f>SUM(N11:N12)</f>
        <v>976181.6</v>
      </c>
      <c r="O13" s="90">
        <v>0.21285072189196763</v>
      </c>
      <c r="P13" s="213">
        <f t="shared" si="4"/>
        <v>0.44039122433776656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39956992.719999999</v>
      </c>
      <c r="E17" s="155">
        <f t="shared" si="8"/>
        <v>36804385.009999998</v>
      </c>
      <c r="F17" s="181">
        <f t="shared" si="0"/>
        <v>0.92109997536371147</v>
      </c>
      <c r="G17" s="155">
        <f t="shared" si="8"/>
        <v>36239801.5</v>
      </c>
      <c r="H17" s="181">
        <f t="shared" si="1"/>
        <v>0.90697019552876901</v>
      </c>
      <c r="I17" s="155">
        <f t="shared" si="8"/>
        <v>26360599.010000002</v>
      </c>
      <c r="J17" s="173">
        <f t="shared" si="2"/>
        <v>0.65972429894118423</v>
      </c>
      <c r="K17" s="569">
        <f>K10+K13+K16</f>
        <v>33304514.410000004</v>
      </c>
      <c r="L17" s="181">
        <v>0.86884134508540678</v>
      </c>
      <c r="M17" s="600">
        <f t="shared" si="3"/>
        <v>8.8134811211018516E-2</v>
      </c>
      <c r="N17" s="569">
        <f>N10+N13+N16</f>
        <v>26550669.740000002</v>
      </c>
      <c r="O17" s="181">
        <v>0.69264842975442165</v>
      </c>
      <c r="P17" s="600">
        <f t="shared" si="4"/>
        <v>-7.1587922964386763E-3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opLeftCell="C9" zoomScaleNormal="100" workbookViewId="0">
      <selection activeCell="F31" sqref="F31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9.42578125" style="97" bestFit="1" customWidth="1"/>
    <col min="12" max="12" width="14.5703125" style="60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4" t="s">
        <v>765</v>
      </c>
      <c r="D2" s="754" t="s">
        <v>784</v>
      </c>
      <c r="E2" s="752"/>
      <c r="F2" s="752"/>
      <c r="G2" s="752"/>
      <c r="H2" s="753"/>
      <c r="I2" s="748" t="s">
        <v>786</v>
      </c>
      <c r="J2" s="749"/>
      <c r="K2" s="197"/>
    </row>
    <row r="3" spans="1:13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</row>
    <row r="5" spans="1:13" ht="15" customHeight="1" x14ac:dyDescent="0.2">
      <c r="A5" s="21"/>
      <c r="B5" s="21" t="s">
        <v>215</v>
      </c>
      <c r="C5" s="159">
        <v>100040</v>
      </c>
      <c r="D5" s="150">
        <v>100040</v>
      </c>
      <c r="E5" s="136">
        <v>1387537.69</v>
      </c>
      <c r="F5" s="48">
        <f t="shared" ref="F5:F15" si="0">+E5/D5</f>
        <v>13.869828968412634</v>
      </c>
      <c r="G5" s="136">
        <v>660671.65</v>
      </c>
      <c r="H5" s="153">
        <f>+G5/E5</f>
        <v>0.47614681371285855</v>
      </c>
      <c r="I5" s="30">
        <v>1969574.35</v>
      </c>
      <c r="J5" s="52">
        <v>19.691805138972207</v>
      </c>
      <c r="K5" s="145">
        <f>+E5/I5-1</f>
        <v>-0.29551393172844687</v>
      </c>
      <c r="L5" s="59">
        <v>60</v>
      </c>
    </row>
    <row r="6" spans="1:13" ht="15" customHeight="1" x14ac:dyDescent="0.2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">
      <c r="A7" s="24"/>
      <c r="B7" s="24" t="s">
        <v>217</v>
      </c>
      <c r="C7" s="161">
        <v>3921363</v>
      </c>
      <c r="D7" s="534">
        <v>3921363</v>
      </c>
      <c r="E7" s="137">
        <v>95859.06</v>
      </c>
      <c r="F7" s="390">
        <f>+E7/D7</f>
        <v>2.4445342091512567E-2</v>
      </c>
      <c r="G7" s="137">
        <v>95859.06</v>
      </c>
      <c r="H7" s="392">
        <f>+G7/E7</f>
        <v>1</v>
      </c>
      <c r="I7" s="206">
        <v>42404.609999999797</v>
      </c>
      <c r="J7" s="329">
        <v>848.09219999999596</v>
      </c>
      <c r="K7" s="145">
        <f>+E7/I7-1</f>
        <v>1.2605811019132225</v>
      </c>
      <c r="L7" s="60" t="s">
        <v>225</v>
      </c>
    </row>
    <row r="8" spans="1:13" ht="15" customHeight="1" thickBot="1" x14ac:dyDescent="0.25">
      <c r="A8" s="9"/>
      <c r="B8" s="513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1483396.75</v>
      </c>
      <c r="F8" s="90">
        <f>+E8/D8</f>
        <v>0.36887451002918625</v>
      </c>
      <c r="G8" s="84">
        <f t="shared" si="1"/>
        <v>756530.71</v>
      </c>
      <c r="H8" s="170">
        <f>+G8/E8</f>
        <v>0.50999889948525234</v>
      </c>
      <c r="I8" s="84">
        <f t="shared" ref="I8" si="2">SUM(I5:I7)</f>
        <v>2011978.96</v>
      </c>
      <c r="J8" s="43">
        <v>20.103706634692244</v>
      </c>
      <c r="K8" s="231">
        <f>+E8/I8-1</f>
        <v>-0.26271756340831709</v>
      </c>
      <c r="M8" s="340"/>
    </row>
    <row r="9" spans="1:13" ht="15" customHeight="1" x14ac:dyDescent="0.2">
      <c r="A9" s="21"/>
      <c r="B9" s="21" t="s">
        <v>219</v>
      </c>
      <c r="C9" s="159">
        <v>30</v>
      </c>
      <c r="D9" s="150">
        <v>30</v>
      </c>
      <c r="E9" s="96">
        <v>0</v>
      </c>
      <c r="F9" s="417">
        <f>+E9/D9</f>
        <v>0</v>
      </c>
      <c r="G9" s="96">
        <v>0</v>
      </c>
      <c r="H9" s="348" t="s">
        <v>129</v>
      </c>
      <c r="I9" s="136">
        <v>1406932.59</v>
      </c>
      <c r="J9" s="52" t="s">
        <v>129</v>
      </c>
      <c r="K9" s="145">
        <f>+E9/I9-1</f>
        <v>-1</v>
      </c>
      <c r="L9" s="59">
        <v>72</v>
      </c>
    </row>
    <row r="10" spans="1:13" ht="15" customHeight="1" x14ac:dyDescent="0.2">
      <c r="A10" s="21"/>
      <c r="B10" s="21" t="s">
        <v>220</v>
      </c>
      <c r="C10" s="159">
        <v>10</v>
      </c>
      <c r="D10" s="150">
        <v>10</v>
      </c>
      <c r="E10" s="136">
        <v>0</v>
      </c>
      <c r="F10" s="417">
        <f>+E10/D10</f>
        <v>0</v>
      </c>
      <c r="G10" s="136">
        <v>0</v>
      </c>
      <c r="H10" s="153" t="s">
        <v>129</v>
      </c>
      <c r="I10" s="136">
        <v>0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">
      <c r="A11" s="21"/>
      <c r="B11" s="21" t="s">
        <v>221</v>
      </c>
      <c r="C11" s="159">
        <v>6082987.4400000004</v>
      </c>
      <c r="D11" s="150">
        <v>6232376.5499999998</v>
      </c>
      <c r="E11" s="136">
        <v>1277792.75</v>
      </c>
      <c r="F11" s="48">
        <f t="shared" si="0"/>
        <v>0.20502495953971203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">
      <c r="A12" s="21"/>
      <c r="B12" s="21" t="s">
        <v>222</v>
      </c>
      <c r="C12" s="159">
        <v>4582347.55</v>
      </c>
      <c r="D12" s="150">
        <v>4582347.55</v>
      </c>
      <c r="E12" s="136">
        <v>5304342.55</v>
      </c>
      <c r="F12" s="48">
        <f t="shared" si="0"/>
        <v>1.1575600698380026</v>
      </c>
      <c r="G12" s="136">
        <v>722035</v>
      </c>
      <c r="H12" s="348">
        <f>+G12/E12</f>
        <v>0.13612148785526682</v>
      </c>
      <c r="I12" s="136">
        <v>456004.74</v>
      </c>
      <c r="J12" s="52">
        <v>4.5600474000000002E-2</v>
      </c>
      <c r="K12" s="145">
        <f>+E12/I12-1</f>
        <v>10.632209239754832</v>
      </c>
      <c r="L12" s="60" t="s">
        <v>226</v>
      </c>
    </row>
    <row r="13" spans="1:13" ht="15" customHeight="1" x14ac:dyDescent="0.2">
      <c r="A13" s="21"/>
      <c r="B13" s="21" t="s">
        <v>223</v>
      </c>
      <c r="C13" s="159">
        <v>3200000</v>
      </c>
      <c r="D13" s="150">
        <v>4034982.14</v>
      </c>
      <c r="E13" s="136">
        <v>2900826.77</v>
      </c>
      <c r="F13" s="48">
        <f t="shared" si="0"/>
        <v>0.7189193580916321</v>
      </c>
      <c r="G13" s="136">
        <v>2900826.77</v>
      </c>
      <c r="H13" s="348">
        <f>+G13/E13</f>
        <v>1</v>
      </c>
      <c r="I13" s="136">
        <v>17673228.960000001</v>
      </c>
      <c r="J13" s="52">
        <v>2.007161732397428</v>
      </c>
      <c r="K13" s="145">
        <f>+E13/I13-1</f>
        <v>-0.83586322699912552</v>
      </c>
      <c r="L13" s="59">
        <v>761</v>
      </c>
    </row>
    <row r="14" spans="1:13" ht="15" customHeight="1" x14ac:dyDescent="0.2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>
        <f t="shared" si="0"/>
        <v>-8.2046191441722954E-2</v>
      </c>
      <c r="G14" s="136">
        <v>-97802.26</v>
      </c>
      <c r="H14" s="348">
        <f>+G14/E14</f>
        <v>1</v>
      </c>
      <c r="I14" s="136">
        <v>327932.49</v>
      </c>
      <c r="J14" s="52">
        <v>32793.248999999996</v>
      </c>
      <c r="K14" s="145">
        <f>+E14/I14-1</f>
        <v>-1.2982390064491627</v>
      </c>
      <c r="L14" s="59">
        <v>79</v>
      </c>
    </row>
    <row r="15" spans="1:13" ht="15" customHeight="1" x14ac:dyDescent="0.2">
      <c r="A15" s="55"/>
      <c r="B15" s="55" t="s">
        <v>224</v>
      </c>
      <c r="C15" s="176">
        <v>10</v>
      </c>
      <c r="D15" s="534">
        <v>10</v>
      </c>
      <c r="E15" s="137">
        <v>0</v>
      </c>
      <c r="F15" s="48">
        <f t="shared" si="0"/>
        <v>0</v>
      </c>
      <c r="G15" s="137">
        <v>0</v>
      </c>
      <c r="H15" s="506" t="s">
        <v>129</v>
      </c>
      <c r="I15" s="534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25">
      <c r="A16" s="536"/>
      <c r="B16" s="535" t="s">
        <v>6</v>
      </c>
      <c r="C16" s="514">
        <f>SUM(C9:C15)</f>
        <v>15057423.99</v>
      </c>
      <c r="D16" s="152">
        <f>SUM(D9:D15)</f>
        <v>16041795.24</v>
      </c>
      <c r="E16" s="84">
        <f>SUM(E9:E15)</f>
        <v>9385159.8100000005</v>
      </c>
      <c r="F16" s="90">
        <f>E16/D16</f>
        <v>0.58504423411403672</v>
      </c>
      <c r="G16" s="84">
        <f>SUM(G9:G15)</f>
        <v>3525059.5100000002</v>
      </c>
      <c r="H16" s="171">
        <f>+G16/E16</f>
        <v>0.37559930585774437</v>
      </c>
      <c r="I16" s="84">
        <f>SUM(I9:I15)</f>
        <v>19864098.779999997</v>
      </c>
      <c r="J16" s="554">
        <v>1.0450202303789091</v>
      </c>
      <c r="K16" s="231">
        <f>+E16/I16-1</f>
        <v>-0.52753155761340809</v>
      </c>
    </row>
    <row r="17" spans="1:17" s="6" customFormat="1" ht="19.5" customHeight="1" thickBot="1" x14ac:dyDescent="0.25">
      <c r="A17" s="5"/>
      <c r="B17" s="4" t="s">
        <v>352</v>
      </c>
      <c r="C17" s="163">
        <f>+C8+C16</f>
        <v>19078836.990000002</v>
      </c>
      <c r="D17" s="154">
        <f>+D8+D16</f>
        <v>20063208.240000002</v>
      </c>
      <c r="E17" s="155">
        <f t="shared" ref="E17:G17" si="3">+E8+E16</f>
        <v>10868556.560000001</v>
      </c>
      <c r="F17" s="181">
        <f>E17/D17</f>
        <v>0.54171578293901013</v>
      </c>
      <c r="G17" s="155">
        <f t="shared" si="3"/>
        <v>4281590.2200000007</v>
      </c>
      <c r="H17" s="173">
        <f>+G17/E17</f>
        <v>0.39394285675042762</v>
      </c>
      <c r="I17" s="147">
        <f t="shared" ref="I17" si="4">+I8+I16</f>
        <v>21876077.739999998</v>
      </c>
      <c r="J17" s="723">
        <v>1.1448397569101239</v>
      </c>
      <c r="K17" s="146">
        <f>+E17/I17-1</f>
        <v>-0.50317617768714329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4" t="s">
        <v>765</v>
      </c>
      <c r="D20" s="751" t="s">
        <v>784</v>
      </c>
      <c r="E20" s="752"/>
      <c r="F20" s="752"/>
      <c r="G20" s="752"/>
      <c r="H20" s="753"/>
      <c r="I20" s="755" t="s">
        <v>785</v>
      </c>
      <c r="J20" s="739"/>
      <c r="K20" s="407"/>
    </row>
    <row r="21" spans="1:17" x14ac:dyDescent="0.2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5.5" x14ac:dyDescent="0.2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764</v>
      </c>
      <c r="L22" s="58" t="s">
        <v>163</v>
      </c>
    </row>
    <row r="23" spans="1:17" s="91" customFormat="1" x14ac:dyDescent="0.2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:F27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">
      <c r="A24" s="21"/>
      <c r="B24" s="505" t="s">
        <v>531</v>
      </c>
      <c r="C24" s="159">
        <v>0</v>
      </c>
      <c r="D24" s="168">
        <v>0</v>
      </c>
      <c r="E24" s="136">
        <v>11770.36</v>
      </c>
      <c r="F24" s="48" t="s">
        <v>129</v>
      </c>
      <c r="G24" s="136">
        <v>11770.36</v>
      </c>
      <c r="H24" s="153">
        <f t="shared" ref="H24:H25" si="6">+G24/E24</f>
        <v>1</v>
      </c>
      <c r="I24" s="136">
        <v>24492.98</v>
      </c>
      <c r="J24" s="52" t="s">
        <v>129</v>
      </c>
      <c r="K24" s="94">
        <f>+E24/I24-1</f>
        <v>-0.51943944754782789</v>
      </c>
      <c r="L24" s="59">
        <v>85001</v>
      </c>
      <c r="N24"/>
      <c r="O24"/>
      <c r="P24"/>
      <c r="Q24"/>
    </row>
    <row r="25" spans="1:17" s="91" customFormat="1" x14ac:dyDescent="0.2">
      <c r="A25" s="21"/>
      <c r="B25" s="505" t="s">
        <v>423</v>
      </c>
      <c r="C25" s="159">
        <v>0</v>
      </c>
      <c r="D25" s="168">
        <v>0</v>
      </c>
      <c r="E25" s="136">
        <v>72942.62</v>
      </c>
      <c r="F25" s="48" t="s">
        <v>129</v>
      </c>
      <c r="G25" s="136">
        <v>72942.62</v>
      </c>
      <c r="H25" s="153">
        <f t="shared" si="6"/>
        <v>1</v>
      </c>
      <c r="I25" s="136"/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">
      <c r="A26" s="21"/>
      <c r="B26" s="507" t="s">
        <v>503</v>
      </c>
      <c r="C26" s="159">
        <v>0</v>
      </c>
      <c r="D26" s="168">
        <v>1946205.88</v>
      </c>
      <c r="E26" s="136">
        <v>0</v>
      </c>
      <c r="F26" s="48">
        <f t="shared" si="5"/>
        <v>0</v>
      </c>
      <c r="G26" s="136">
        <v>0</v>
      </c>
      <c r="H26" s="153" t="s">
        <v>129</v>
      </c>
      <c r="I26" s="136">
        <v>0</v>
      </c>
      <c r="J26" s="52">
        <v>0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">
      <c r="A27" s="21"/>
      <c r="B27" s="21" t="s">
        <v>410</v>
      </c>
      <c r="C27" s="159">
        <v>0</v>
      </c>
      <c r="D27" s="168">
        <v>12461620.25</v>
      </c>
      <c r="E27" s="136">
        <v>0</v>
      </c>
      <c r="F27" s="48">
        <f t="shared" si="5"/>
        <v>0</v>
      </c>
      <c r="G27" s="136">
        <v>0</v>
      </c>
      <c r="H27" s="153" t="s">
        <v>129</v>
      </c>
      <c r="I27" s="136">
        <v>0</v>
      </c>
      <c r="J27" s="52">
        <v>0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59">
        <v>150000</v>
      </c>
      <c r="D28" s="168">
        <v>150000</v>
      </c>
      <c r="E28" s="136">
        <v>761834.41</v>
      </c>
      <c r="F28" s="48">
        <f>+E28/D28</f>
        <v>5.0788960666666672</v>
      </c>
      <c r="G28" s="136">
        <v>761834.41</v>
      </c>
      <c r="H28" s="348">
        <f>+G28/E28</f>
        <v>1</v>
      </c>
      <c r="I28" s="30">
        <v>-319.58</v>
      </c>
      <c r="J28" s="52">
        <v>-2.1305333333333332E-3</v>
      </c>
      <c r="K28" s="244">
        <f>+E28/I28-1</f>
        <v>-2384.8613492709183</v>
      </c>
      <c r="L28" s="59">
        <v>94101</v>
      </c>
    </row>
    <row r="29" spans="1:17" ht="15" customHeight="1" x14ac:dyDescent="0.2">
      <c r="A29" s="65"/>
      <c r="B29" s="65" t="s">
        <v>231</v>
      </c>
      <c r="C29" s="177">
        <v>1450000</v>
      </c>
      <c r="D29" s="389">
        <v>1450000</v>
      </c>
      <c r="E29" s="66">
        <v>1879397.54</v>
      </c>
      <c r="F29" s="383">
        <f>+E29/D29</f>
        <v>1.2961362344827587</v>
      </c>
      <c r="G29" s="66">
        <v>1879397.54</v>
      </c>
      <c r="H29" s="406">
        <f t="shared" ref="H29" si="7">+G29/E29</f>
        <v>1</v>
      </c>
      <c r="I29" s="179">
        <v>2577975.3199999998</v>
      </c>
      <c r="J29" s="67">
        <v>1.8414109428571428</v>
      </c>
      <c r="K29" s="98">
        <f>+E29/I29-1</f>
        <v>-0.27097923497576382</v>
      </c>
      <c r="L29" s="60">
        <v>94102</v>
      </c>
    </row>
    <row r="30" spans="1:17" ht="15" customHeight="1" thickBot="1" x14ac:dyDescent="0.25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25">
      <c r="A31" s="5"/>
      <c r="B31" s="4" t="s">
        <v>206</v>
      </c>
      <c r="C31" s="163">
        <f>SUM(C23:C30)</f>
        <v>210833195.34</v>
      </c>
      <c r="D31" s="154">
        <f>SUM(D23:D30)</f>
        <v>225241021.47</v>
      </c>
      <c r="E31" s="155">
        <f>SUM(E23:E30)</f>
        <v>2725944.93</v>
      </c>
      <c r="F31" s="181">
        <f>+E31/(D31-D27-D26)</f>
        <v>1.2929391529659297E-2</v>
      </c>
      <c r="G31" s="155">
        <f>SUM(G23:G30)</f>
        <v>2725944.93</v>
      </c>
      <c r="H31" s="173">
        <f>+G31/E31</f>
        <v>1</v>
      </c>
      <c r="I31" s="354">
        <f>SUM(I23:I30)</f>
        <v>2627148.7199999997</v>
      </c>
      <c r="J31" s="181">
        <v>9.217458188385156E-3</v>
      </c>
      <c r="K31" s="95">
        <f>+E31/I31-1</f>
        <v>3.7605868768632256E-2</v>
      </c>
      <c r="L31" s="14"/>
      <c r="M31"/>
      <c r="N31"/>
      <c r="O31"/>
      <c r="P31"/>
      <c r="Q31"/>
    </row>
    <row r="32" spans="1:17" x14ac:dyDescent="0.2">
      <c r="B32" s="247"/>
    </row>
    <row r="36" spans="2:2" x14ac:dyDescent="0.2">
      <c r="B36" s="46"/>
    </row>
    <row r="136" spans="12:15" x14ac:dyDescent="0.2">
      <c r="L136" s="680"/>
      <c r="O136" s="681">
        <v>0.58699999999999997</v>
      </c>
    </row>
    <row r="137" spans="12:15" x14ac:dyDescent="0.2">
      <c r="L137" s="680"/>
      <c r="O137" s="681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15" sqref="E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754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4" t="s">
        <v>17</v>
      </c>
      <c r="O4" s="89" t="s">
        <v>18</v>
      </c>
      <c r="P4" s="580" t="s">
        <v>764</v>
      </c>
    </row>
    <row r="5" spans="1:16" ht="15" customHeight="1" x14ac:dyDescent="0.2">
      <c r="A5" s="21">
        <v>1</v>
      </c>
      <c r="B5" s="21" t="s">
        <v>0</v>
      </c>
      <c r="C5" s="159">
        <v>4156868.9</v>
      </c>
      <c r="D5" s="204">
        <v>4291262.13</v>
      </c>
      <c r="E5" s="30">
        <v>3494005.87</v>
      </c>
      <c r="F5" s="48">
        <f>E5/D5</f>
        <v>0.81421403870287468</v>
      </c>
      <c r="G5" s="30">
        <v>3494005.87</v>
      </c>
      <c r="H5" s="48">
        <f>G5/D5</f>
        <v>0.81421403870287468</v>
      </c>
      <c r="I5" s="30">
        <v>3494005.87</v>
      </c>
      <c r="J5" s="153">
        <f>I5/D5</f>
        <v>0.81421403870287468</v>
      </c>
      <c r="K5" s="571">
        <v>3894996.44</v>
      </c>
      <c r="L5" s="48">
        <v>0.8382061035301821</v>
      </c>
      <c r="M5" s="210">
        <f>+G5/K5-1</f>
        <v>-0.1029501762522792</v>
      </c>
      <c r="N5" s="571">
        <v>3894996.44</v>
      </c>
      <c r="O5" s="48">
        <v>0.8382061035301821</v>
      </c>
      <c r="P5" s="210">
        <f>+I5/N5-1</f>
        <v>-0.1029501762522792</v>
      </c>
    </row>
    <row r="6" spans="1:16" ht="15" customHeight="1" x14ac:dyDescent="0.2">
      <c r="A6" s="23">
        <v>2</v>
      </c>
      <c r="B6" s="23" t="s">
        <v>1</v>
      </c>
      <c r="C6" s="159">
        <v>15344411.630000001</v>
      </c>
      <c r="D6" s="204">
        <v>15761955.24</v>
      </c>
      <c r="E6" s="30">
        <v>14977256.48</v>
      </c>
      <c r="F6" s="48">
        <f t="shared" ref="F6:F17" si="0">E6/D6</f>
        <v>0.95021564596195363</v>
      </c>
      <c r="G6" s="30">
        <v>14628726.49</v>
      </c>
      <c r="H6" s="280">
        <f t="shared" ref="H6:H17" si="1">G6/D6</f>
        <v>0.92810354218465607</v>
      </c>
      <c r="I6" s="30">
        <v>8720210.3200000003</v>
      </c>
      <c r="J6" s="178">
        <f t="shared" ref="J6:J17" si="2">I6/D6</f>
        <v>0.55324420017830223</v>
      </c>
      <c r="K6" s="572">
        <v>13987891.529999999</v>
      </c>
      <c r="L6" s="412">
        <v>0.89665158784391197</v>
      </c>
      <c r="M6" s="210">
        <f t="shared" ref="M6:M17" si="3">+G6/K6-1</f>
        <v>4.5813549427774269E-2</v>
      </c>
      <c r="N6" s="572">
        <v>8643449.9000000004</v>
      </c>
      <c r="O6" s="412">
        <v>0.55406228027022042</v>
      </c>
      <c r="P6" s="210">
        <f>+I6/N6-1</f>
        <v>8.8807618356183671E-3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9172408.4100000001</v>
      </c>
      <c r="D8" s="204">
        <v>9188557.3499999996</v>
      </c>
      <c r="E8" s="30">
        <v>8816539.5800000001</v>
      </c>
      <c r="F8" s="48">
        <f t="shared" si="0"/>
        <v>0.95951292941541044</v>
      </c>
      <c r="G8" s="30">
        <v>8774026.0999999996</v>
      </c>
      <c r="H8" s="48">
        <f t="shared" si="1"/>
        <v>0.95488614434125507</v>
      </c>
      <c r="I8" s="30">
        <v>8493468.5500000007</v>
      </c>
      <c r="J8" s="178">
        <f t="shared" si="2"/>
        <v>0.92435278210458149</v>
      </c>
      <c r="K8" s="628">
        <v>8552859.5600000005</v>
      </c>
      <c r="L8" s="414">
        <v>0.95429904754995087</v>
      </c>
      <c r="M8" s="443">
        <f t="shared" si="3"/>
        <v>2.5858783071143865E-2</v>
      </c>
      <c r="N8" s="628">
        <v>8276623.7999999998</v>
      </c>
      <c r="O8" s="414">
        <v>0.92347759879144498</v>
      </c>
      <c r="P8" s="443">
        <f t="shared" ref="P8:P17" si="4">+I8/N8-1</f>
        <v>2.6199662475899999E-2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28673688.940000001</v>
      </c>
      <c r="D10" s="152">
        <f t="shared" ref="D10:E10" si="5">SUM(D5:D9)</f>
        <v>29241774.719999999</v>
      </c>
      <c r="E10" s="84">
        <f t="shared" si="5"/>
        <v>27287801.93</v>
      </c>
      <c r="F10" s="90">
        <f t="shared" si="0"/>
        <v>0.93317872089810017</v>
      </c>
      <c r="G10" s="84">
        <f>SUM(G5:G9)</f>
        <v>26896758.460000001</v>
      </c>
      <c r="H10" s="90">
        <f t="shared" si="1"/>
        <v>0.91980595287206979</v>
      </c>
      <c r="I10" s="84">
        <f>SUM(I5:I9)</f>
        <v>20707684.740000002</v>
      </c>
      <c r="J10" s="170">
        <f t="shared" si="2"/>
        <v>0.70815417115695511</v>
      </c>
      <c r="K10" s="561">
        <f>SUM(K5:K9)</f>
        <v>26435747.530000001</v>
      </c>
      <c r="L10" s="90">
        <v>0.90504191963563407</v>
      </c>
      <c r="M10" s="213">
        <f t="shared" si="3"/>
        <v>1.7438921652464412E-2</v>
      </c>
      <c r="N10" s="561">
        <f>SUM(N5:N9)</f>
        <v>20815070.140000001</v>
      </c>
      <c r="O10" s="90">
        <v>0.71261503066926768</v>
      </c>
      <c r="P10" s="213">
        <f t="shared" si="4"/>
        <v>-5.1590217701759089E-3</v>
      </c>
    </row>
    <row r="11" spans="1:16" ht="15" customHeight="1" x14ac:dyDescent="0.2">
      <c r="A11" s="21">
        <v>6</v>
      </c>
      <c r="B11" s="21" t="s">
        <v>5</v>
      </c>
      <c r="C11" s="159">
        <v>574199.64</v>
      </c>
      <c r="D11" s="204">
        <v>1422726.52</v>
      </c>
      <c r="E11" s="30">
        <v>717004.4</v>
      </c>
      <c r="F11" s="48">
        <f t="shared" si="0"/>
        <v>0.50396502062813875</v>
      </c>
      <c r="G11" s="30">
        <v>610383.25</v>
      </c>
      <c r="H11" s="48">
        <f t="shared" si="1"/>
        <v>0.42902359759203756</v>
      </c>
      <c r="I11" s="30">
        <v>341851.13</v>
      </c>
      <c r="J11" s="153">
        <f t="shared" si="2"/>
        <v>0.2402788766459488</v>
      </c>
      <c r="K11" s="558">
        <v>1441889.09</v>
      </c>
      <c r="L11" s="48">
        <v>0.7538157946019135</v>
      </c>
      <c r="M11" s="224">
        <f t="shared" si="3"/>
        <v>-0.57667808555233613</v>
      </c>
      <c r="N11" s="558">
        <v>1189765.57</v>
      </c>
      <c r="O11" s="48">
        <v>0.62200628658584867</v>
      </c>
      <c r="P11" s="224">
        <f t="shared" si="4"/>
        <v>-0.71267353954443313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516" t="s">
        <v>129</v>
      </c>
      <c r="M12" s="552" t="s">
        <v>129</v>
      </c>
      <c r="N12" s="562"/>
      <c r="O12" s="516" t="s">
        <v>129</v>
      </c>
      <c r="P12" s="552" t="s">
        <v>129</v>
      </c>
    </row>
    <row r="13" spans="1:16" ht="15" customHeight="1" x14ac:dyDescent="0.2">
      <c r="A13" s="9"/>
      <c r="B13" s="2" t="s">
        <v>7</v>
      </c>
      <c r="C13" s="162">
        <f>SUM(C11:C12)</f>
        <v>574199.64</v>
      </c>
      <c r="D13" s="152">
        <f t="shared" ref="D13:I13" si="6">SUM(D11:D12)</f>
        <v>1422726.52</v>
      </c>
      <c r="E13" s="84">
        <f t="shared" si="6"/>
        <v>717004.4</v>
      </c>
      <c r="F13" s="90">
        <f t="shared" si="0"/>
        <v>0.50396502062813875</v>
      </c>
      <c r="G13" s="84">
        <f t="shared" si="6"/>
        <v>610383.25</v>
      </c>
      <c r="H13" s="90">
        <f t="shared" si="1"/>
        <v>0.42902359759203756</v>
      </c>
      <c r="I13" s="84">
        <f t="shared" si="6"/>
        <v>341851.13</v>
      </c>
      <c r="J13" s="170">
        <f t="shared" si="2"/>
        <v>0.2402788766459488</v>
      </c>
      <c r="K13" s="561">
        <f>SUM(K11:K12)</f>
        <v>1441889.09</v>
      </c>
      <c r="L13" s="90">
        <v>0.7538157946019135</v>
      </c>
      <c r="M13" s="622">
        <f t="shared" si="3"/>
        <v>-0.57667808555233613</v>
      </c>
      <c r="N13" s="561">
        <f>SUM(N11:N12)</f>
        <v>1189765.57</v>
      </c>
      <c r="O13" s="90">
        <v>0.62200628658584867</v>
      </c>
      <c r="P13" s="213">
        <f t="shared" si="4"/>
        <v>-0.71267353954443313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30664501.239999998</v>
      </c>
      <c r="E17" s="155">
        <f t="shared" si="8"/>
        <v>28004806.329999998</v>
      </c>
      <c r="F17" s="181">
        <f t="shared" si="0"/>
        <v>0.91326469362134655</v>
      </c>
      <c r="G17" s="155">
        <f t="shared" si="8"/>
        <v>27507141.710000001</v>
      </c>
      <c r="H17" s="181">
        <f t="shared" si="1"/>
        <v>0.89703535350898156</v>
      </c>
      <c r="I17" s="155">
        <f t="shared" si="8"/>
        <v>21049535.870000001</v>
      </c>
      <c r="J17" s="173">
        <f t="shared" si="2"/>
        <v>0.68644637997705782</v>
      </c>
      <c r="K17" s="569">
        <f>K10+K13+K16</f>
        <v>27877636.620000001</v>
      </c>
      <c r="L17" s="181">
        <v>0.89574748258468662</v>
      </c>
      <c r="M17" s="600">
        <f t="shared" si="3"/>
        <v>-1.3290040151186955E-2</v>
      </c>
      <c r="N17" s="569">
        <f>N10+N13+N16</f>
        <v>22004835.710000001</v>
      </c>
      <c r="O17" s="181">
        <v>0.70704616968072509</v>
      </c>
      <c r="P17" s="600">
        <f t="shared" si="4"/>
        <v>-4.3413177566504979E-2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21" sqref="N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755</v>
      </c>
    </row>
    <row r="2" spans="1:16" x14ac:dyDescent="0.2">
      <c r="A2" s="8" t="s">
        <v>20</v>
      </c>
      <c r="C2" s="164" t="s">
        <v>765</v>
      </c>
      <c r="D2" s="754" t="s">
        <v>784</v>
      </c>
      <c r="E2" s="752"/>
      <c r="F2" s="752"/>
      <c r="G2" s="752"/>
      <c r="H2" s="752"/>
      <c r="I2" s="752"/>
      <c r="J2" s="753"/>
      <c r="K2" s="763" t="s">
        <v>785</v>
      </c>
      <c r="L2" s="761"/>
      <c r="M2" s="761"/>
      <c r="N2" s="761"/>
      <c r="O2" s="761"/>
      <c r="P2" s="76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4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4" t="s">
        <v>17</v>
      </c>
      <c r="O4" s="89" t="s">
        <v>18</v>
      </c>
      <c r="P4" s="580" t="s">
        <v>508</v>
      </c>
    </row>
    <row r="5" spans="1:16" ht="15" customHeight="1" x14ac:dyDescent="0.2">
      <c r="A5" s="21">
        <v>1</v>
      </c>
      <c r="B5" s="21" t="s">
        <v>0</v>
      </c>
      <c r="C5" s="159">
        <v>4708770.7300000004</v>
      </c>
      <c r="D5" s="204">
        <v>4905383.76</v>
      </c>
      <c r="E5" s="30">
        <v>3975631.49</v>
      </c>
      <c r="F5" s="48">
        <f>E5/D5</f>
        <v>0.81046288822874901</v>
      </c>
      <c r="G5" s="30">
        <v>3975631.49</v>
      </c>
      <c r="H5" s="48">
        <f>G5/D5</f>
        <v>0.81046288822874901</v>
      </c>
      <c r="I5" s="30">
        <v>3975631.49</v>
      </c>
      <c r="J5" s="153">
        <f>I5/D5</f>
        <v>0.81046288822874901</v>
      </c>
      <c r="K5" s="571">
        <v>4347778.66</v>
      </c>
      <c r="L5" s="48">
        <v>0.82994104100677346</v>
      </c>
      <c r="M5" s="210">
        <f>+G5/K5-1</f>
        <v>-8.5594782785009538E-2</v>
      </c>
      <c r="N5" s="571">
        <v>4347778.66</v>
      </c>
      <c r="O5" s="48">
        <v>0.82994104100677346</v>
      </c>
      <c r="P5" s="210">
        <f>+I5/N5-1</f>
        <v>-8.5594782785009538E-2</v>
      </c>
    </row>
    <row r="6" spans="1:16" ht="15" customHeight="1" x14ac:dyDescent="0.2">
      <c r="A6" s="23">
        <v>2</v>
      </c>
      <c r="B6" s="23" t="s">
        <v>1</v>
      </c>
      <c r="C6" s="159">
        <v>23321068.489999998</v>
      </c>
      <c r="D6" s="204">
        <v>23580529.84</v>
      </c>
      <c r="E6" s="30">
        <v>23108693.960000001</v>
      </c>
      <c r="F6" s="48">
        <f>E6/D6</f>
        <v>0.9799904462197615</v>
      </c>
      <c r="G6" s="30">
        <v>22872231.84</v>
      </c>
      <c r="H6" s="280">
        <f>G6/D6</f>
        <v>0.96996259181596067</v>
      </c>
      <c r="I6" s="30">
        <v>14325493.41</v>
      </c>
      <c r="J6" s="178">
        <f>I6/D6</f>
        <v>0.6075136354951387</v>
      </c>
      <c r="K6" s="572">
        <v>21711248.350000001</v>
      </c>
      <c r="L6" s="412">
        <v>0.9487252828685413</v>
      </c>
      <c r="M6" s="210">
        <f t="shared" ref="M6:M17" si="0">+G6/K6-1</f>
        <v>5.3473824778942136E-2</v>
      </c>
      <c r="N6" s="572">
        <v>13884601.67</v>
      </c>
      <c r="O6" s="412">
        <v>0.60672110762750175</v>
      </c>
      <c r="P6" s="210">
        <f>+I6/N6-1</f>
        <v>3.1754007099290549E-2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2"/>
      <c r="L7" s="420" t="s">
        <v>129</v>
      </c>
      <c r="M7" s="212" t="s">
        <v>129</v>
      </c>
      <c r="N7" s="572"/>
      <c r="O7" s="420" t="s">
        <v>129</v>
      </c>
      <c r="P7" s="212" t="s">
        <v>129</v>
      </c>
    </row>
    <row r="8" spans="1:16" ht="15" customHeight="1" x14ac:dyDescent="0.2">
      <c r="A8" s="235">
        <v>4</v>
      </c>
      <c r="B8" s="553" t="s">
        <v>3</v>
      </c>
      <c r="C8" s="159">
        <v>16012218.74</v>
      </c>
      <c r="D8" s="204">
        <v>16042014.23</v>
      </c>
      <c r="E8" s="30">
        <v>16024883.890000001</v>
      </c>
      <c r="F8" s="48">
        <f t="shared" ref="F8:F17" si="1">E8/D8</f>
        <v>0.99893215778552513</v>
      </c>
      <c r="G8" s="30">
        <v>16007283.890000001</v>
      </c>
      <c r="H8" s="48">
        <f t="shared" ref="H8:H17" si="2">G8/D8</f>
        <v>0.99783503869887791</v>
      </c>
      <c r="I8" s="30">
        <v>15426600.390000001</v>
      </c>
      <c r="J8" s="178">
        <f t="shared" ref="J8:J17" si="3">I8/D8</f>
        <v>0.96163737101983604</v>
      </c>
      <c r="K8" s="628">
        <v>15563814.41</v>
      </c>
      <c r="L8" s="414">
        <v>0.99388965268831619</v>
      </c>
      <c r="M8" s="443">
        <f t="shared" si="0"/>
        <v>2.8493624269579021E-2</v>
      </c>
      <c r="N8" s="628">
        <v>15232270.789999999</v>
      </c>
      <c r="O8" s="414">
        <v>0.97271760805630703</v>
      </c>
      <c r="P8" s="443">
        <f t="shared" ref="P8:P17" si="4">+I8/N8-1</f>
        <v>1.2757756389649932E-2</v>
      </c>
    </row>
    <row r="9" spans="1:16" ht="15" customHeight="1" x14ac:dyDescent="0.2">
      <c r="A9" s="55">
        <v>5</v>
      </c>
      <c r="B9" s="55" t="s">
        <v>453</v>
      </c>
      <c r="C9" s="176"/>
      <c r="D9" s="511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0"/>
      <c r="L9" s="268" t="s">
        <v>129</v>
      </c>
      <c r="M9" s="496" t="s">
        <v>129</v>
      </c>
      <c r="N9" s="560"/>
      <c r="O9" s="268" t="s">
        <v>129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44042057.960000001</v>
      </c>
      <c r="D10" s="152">
        <f>SUM(D5:D9)</f>
        <v>44527927.829999998</v>
      </c>
      <c r="E10" s="84">
        <f>SUM(E5:E9)</f>
        <v>43109209.340000004</v>
      </c>
      <c r="F10" s="90">
        <f t="shared" si="1"/>
        <v>0.96813868151654359</v>
      </c>
      <c r="G10" s="84">
        <f>SUM(G5:G9)</f>
        <v>42855147.219999999</v>
      </c>
      <c r="H10" s="90">
        <f t="shared" si="2"/>
        <v>0.96243300123045494</v>
      </c>
      <c r="I10" s="84">
        <f>SUM(I5:I9)</f>
        <v>33727725.289999999</v>
      </c>
      <c r="J10" s="170">
        <f t="shared" si="3"/>
        <v>0.75745104103578942</v>
      </c>
      <c r="K10" s="561">
        <f>SUM(K5:K9)</f>
        <v>41622841.420000002</v>
      </c>
      <c r="L10" s="90">
        <v>0.95066625471291766</v>
      </c>
      <c r="M10" s="213">
        <f t="shared" si="0"/>
        <v>2.9606479470377201E-2</v>
      </c>
      <c r="N10" s="561">
        <f>SUM(N5:N9)</f>
        <v>33464651.119999997</v>
      </c>
      <c r="O10" s="90">
        <v>0.76433307915009818</v>
      </c>
      <c r="P10" s="213">
        <f t="shared" si="4"/>
        <v>7.8612554201342721E-3</v>
      </c>
    </row>
    <row r="11" spans="1:16" ht="15" customHeight="1" x14ac:dyDescent="0.2">
      <c r="A11" s="21">
        <v>6</v>
      </c>
      <c r="B11" s="21" t="s">
        <v>5</v>
      </c>
      <c r="C11" s="159">
        <v>737665.31</v>
      </c>
      <c r="D11" s="204">
        <v>959474.06</v>
      </c>
      <c r="E11" s="30">
        <v>764937.96</v>
      </c>
      <c r="F11" s="48">
        <f t="shared" si="1"/>
        <v>0.79724715017308534</v>
      </c>
      <c r="G11" s="30">
        <v>736442.46</v>
      </c>
      <c r="H11" s="48">
        <f t="shared" si="2"/>
        <v>0.76754806690657162</v>
      </c>
      <c r="I11" s="30">
        <v>382339.83</v>
      </c>
      <c r="J11" s="153">
        <f t="shared" si="3"/>
        <v>0.39848897009263595</v>
      </c>
      <c r="K11" s="558">
        <v>1020326.9</v>
      </c>
      <c r="L11" s="48">
        <v>0.67948547969554396</v>
      </c>
      <c r="M11" s="224">
        <f t="shared" si="0"/>
        <v>-0.27822890879383855</v>
      </c>
      <c r="N11" s="558">
        <v>542198.54</v>
      </c>
      <c r="O11" s="48">
        <v>0.36107646974917901</v>
      </c>
      <c r="P11" s="224">
        <f t="shared" si="4"/>
        <v>-0.29483426864262674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2"/>
      <c r="L12" s="390" t="s">
        <v>129</v>
      </c>
      <c r="M12" s="552" t="s">
        <v>129</v>
      </c>
      <c r="N12" s="562"/>
      <c r="O12" s="390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737665.31</v>
      </c>
      <c r="D13" s="152">
        <f t="shared" ref="D13:I13" si="5">SUM(D11:D12)</f>
        <v>959474.06</v>
      </c>
      <c r="E13" s="84">
        <f t="shared" si="5"/>
        <v>764937.96</v>
      </c>
      <c r="F13" s="90">
        <f t="shared" si="1"/>
        <v>0.79724715017308534</v>
      </c>
      <c r="G13" s="84">
        <f t="shared" si="5"/>
        <v>736442.46</v>
      </c>
      <c r="H13" s="90">
        <f t="shared" si="2"/>
        <v>0.76754806690657162</v>
      </c>
      <c r="I13" s="84">
        <f t="shared" si="5"/>
        <v>382339.83</v>
      </c>
      <c r="J13" s="170">
        <f t="shared" si="3"/>
        <v>0.39848897009263595</v>
      </c>
      <c r="K13" s="561">
        <f>SUM(K11:K12)</f>
        <v>1020326.9</v>
      </c>
      <c r="L13" s="90">
        <v>0.67948547969554396</v>
      </c>
      <c r="M13" s="622">
        <f t="shared" si="0"/>
        <v>-0.27822890879383855</v>
      </c>
      <c r="N13" s="561">
        <f>SUM(N11:N12)</f>
        <v>542198.54</v>
      </c>
      <c r="O13" s="90">
        <v>0.36107646974917901</v>
      </c>
      <c r="P13" s="90">
        <f t="shared" si="4"/>
        <v>-0.29483426864262674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8"/>
      <c r="L14" s="417" t="s">
        <v>129</v>
      </c>
      <c r="M14" s="224" t="s">
        <v>129</v>
      </c>
      <c r="N14" s="558"/>
      <c r="O14" s="417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2"/>
      <c r="L15" s="516" t="s">
        <v>129</v>
      </c>
      <c r="M15" s="515" t="s">
        <v>129</v>
      </c>
      <c r="N15" s="562"/>
      <c r="O15" s="516" t="s">
        <v>129</v>
      </c>
      <c r="P15" s="515" t="s">
        <v>129</v>
      </c>
    </row>
    <row r="16" spans="1:16" ht="15" customHeight="1" thickBot="1" x14ac:dyDescent="0.25">
      <c r="A16" s="9"/>
      <c r="B16" s="2" t="s">
        <v>10</v>
      </c>
      <c r="C16" s="514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1">
        <f>SUM(K14:K15)</f>
        <v>0</v>
      </c>
      <c r="L16" s="509" t="s">
        <v>129</v>
      </c>
      <c r="M16" s="634" t="s">
        <v>129</v>
      </c>
      <c r="N16" s="561">
        <f>SUM(N14:N15)</f>
        <v>0</v>
      </c>
      <c r="O16" s="509" t="s">
        <v>129</v>
      </c>
      <c r="P16" s="634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45487401.890000001</v>
      </c>
      <c r="E17" s="155">
        <f t="shared" si="7"/>
        <v>43874147.300000004</v>
      </c>
      <c r="F17" s="181">
        <f t="shared" si="1"/>
        <v>0.96453403529396442</v>
      </c>
      <c r="G17" s="155">
        <f t="shared" si="7"/>
        <v>43591589.68</v>
      </c>
      <c r="H17" s="181">
        <f t="shared" si="2"/>
        <v>0.95832225778503344</v>
      </c>
      <c r="I17" s="155">
        <f t="shared" si="7"/>
        <v>34110065.119999997</v>
      </c>
      <c r="J17" s="173">
        <f t="shared" si="3"/>
        <v>0.74987938863790748</v>
      </c>
      <c r="K17" s="569">
        <f>K10+K13+K16</f>
        <v>42643168.32</v>
      </c>
      <c r="L17" s="181">
        <v>0.9416739883409132</v>
      </c>
      <c r="M17" s="600">
        <f t="shared" si="0"/>
        <v>2.2240874619890327E-2</v>
      </c>
      <c r="N17" s="569">
        <f>N10+N13+N16</f>
        <v>34006849.659999996</v>
      </c>
      <c r="O17" s="181">
        <v>0.75096122103157148</v>
      </c>
      <c r="P17" s="600">
        <f t="shared" si="4"/>
        <v>3.0351373629708966E-3</v>
      </c>
    </row>
    <row r="136" spans="12:15" x14ac:dyDescent="0.2">
      <c r="L136" s="679"/>
      <c r="O136" s="679"/>
    </row>
    <row r="137" spans="12:15" x14ac:dyDescent="0.2">
      <c r="L137" s="679"/>
      <c r="O137" s="67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L14" sqref="L14"/>
    </sheetView>
  </sheetViews>
  <sheetFormatPr defaultColWidth="11.42578125" defaultRowHeight="12.75" x14ac:dyDescent="0.2"/>
  <cols>
    <col min="1" max="1" width="23" customWidth="1"/>
    <col min="2" max="2" width="11.42578125" style="46" bestFit="1" customWidth="1"/>
    <col min="3" max="3" width="13.28515625" style="46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">
      <c r="A5" s="50" t="s">
        <v>136</v>
      </c>
      <c r="B5" s="54">
        <f>+DTProg!C81-DCap!C17</f>
        <v>0</v>
      </c>
      <c r="C5" s="54">
        <f>+DTProg!D81-DCap!E17</f>
        <v>0</v>
      </c>
      <c r="D5" s="54">
        <f>+DTProg!E81-DCap!G17</f>
        <v>0</v>
      </c>
      <c r="E5" s="54"/>
      <c r="F5" s="54">
        <f>+DTProg!G81-DCap!I17</f>
        <v>0</v>
      </c>
      <c r="G5" s="54"/>
      <c r="H5" s="54">
        <f>+DTProg!I81-DCap!K17</f>
        <v>0</v>
      </c>
      <c r="I5" s="54"/>
    </row>
    <row r="6" spans="1:13" s="51" customFormat="1" x14ac:dyDescent="0.2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topLeftCell="G1" zoomScaleNormal="100" workbookViewId="0">
      <selection activeCell="L8" sqref="L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7.7109375" style="97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4" t="s">
        <v>765</v>
      </c>
      <c r="D2" s="267" t="s">
        <v>148</v>
      </c>
      <c r="E2" s="757" t="s">
        <v>784</v>
      </c>
      <c r="F2" s="758"/>
      <c r="G2" s="758"/>
      <c r="H2" s="758"/>
      <c r="I2" s="758"/>
      <c r="J2" s="758"/>
      <c r="K2" s="758"/>
      <c r="L2" s="758"/>
      <c r="M2" s="759"/>
      <c r="N2" s="757" t="s">
        <v>785</v>
      </c>
      <c r="O2" s="758"/>
      <c r="P2" s="758"/>
      <c r="Q2" s="758"/>
      <c r="R2" s="758"/>
      <c r="S2" s="759"/>
    </row>
    <row r="3" spans="1:19" x14ac:dyDescent="0.2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543</v>
      </c>
      <c r="O3" s="88" t="s">
        <v>544</v>
      </c>
      <c r="P3" s="88" t="s">
        <v>545</v>
      </c>
      <c r="Q3" s="87" t="s">
        <v>39</v>
      </c>
      <c r="R3" s="88" t="s">
        <v>40</v>
      </c>
      <c r="S3" s="563" t="s">
        <v>362</v>
      </c>
    </row>
    <row r="4" spans="1:19" ht="25.5" x14ac:dyDescent="0.2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764</v>
      </c>
      <c r="Q4" s="557" t="s">
        <v>17</v>
      </c>
      <c r="R4" s="89" t="s">
        <v>18</v>
      </c>
      <c r="S4" s="564" t="s">
        <v>764</v>
      </c>
    </row>
    <row r="5" spans="1:19" ht="15" customHeight="1" x14ac:dyDescent="0.2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376077416.11000001</v>
      </c>
      <c r="F5" s="262">
        <f>E5/E17</f>
        <v>0.13631860776811994</v>
      </c>
      <c r="G5" s="136">
        <v>303090332.97000003</v>
      </c>
      <c r="H5" s="48">
        <f>+G5/E5</f>
        <v>0.80592537596394309</v>
      </c>
      <c r="I5" s="136">
        <v>302751907.06</v>
      </c>
      <c r="J5" s="48">
        <f t="shared" ref="J5:J17" si="0">+I5/E5</f>
        <v>0.80502549233492704</v>
      </c>
      <c r="K5" s="136">
        <v>302207352.43000001</v>
      </c>
      <c r="L5" s="262">
        <f>K5/K17</f>
        <v>0.16475576162546635</v>
      </c>
      <c r="M5" s="153">
        <f t="shared" ref="M5:M17" si="1">+K5/E5</f>
        <v>0.80357750687588869</v>
      </c>
      <c r="N5" s="558">
        <v>331252171.89999998</v>
      </c>
      <c r="O5" s="48">
        <v>0.78035771429184997</v>
      </c>
      <c r="P5" s="565">
        <f>+I5/N5-1</f>
        <v>-8.603797124265733E-2</v>
      </c>
      <c r="Q5" s="558">
        <v>330945767.98000002</v>
      </c>
      <c r="R5" s="48">
        <v>0.77963589362788344</v>
      </c>
      <c r="S5" s="565">
        <f>+K5/Q5-1</f>
        <v>-8.6837235373672272E-2</v>
      </c>
    </row>
    <row r="6" spans="1:19" ht="15" customHeight="1" x14ac:dyDescent="0.2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655038408.20000005</v>
      </c>
      <c r="F6" s="262">
        <f>E6/E17</f>
        <v>0.23743495359038416</v>
      </c>
      <c r="G6" s="136">
        <v>612904089.75</v>
      </c>
      <c r="H6" s="280">
        <f t="shared" ref="H6:H10" si="2">+G6/E6</f>
        <v>0.93567656808738553</v>
      </c>
      <c r="I6" s="136">
        <v>591489365.62</v>
      </c>
      <c r="J6" s="280">
        <f t="shared" si="0"/>
        <v>0.90298424980204084</v>
      </c>
      <c r="K6" s="136">
        <v>382143980.98000002</v>
      </c>
      <c r="L6" s="410">
        <f>K6/K17</f>
        <v>0.20833517824994377</v>
      </c>
      <c r="M6" s="178">
        <f t="shared" si="1"/>
        <v>0.58339171596075579</v>
      </c>
      <c r="N6" s="559">
        <v>566140409.97000003</v>
      </c>
      <c r="O6" s="280">
        <v>0.90768568130476746</v>
      </c>
      <c r="P6" s="565">
        <f t="shared" ref="P6:P17" si="3">+I6/N6-1</f>
        <v>4.4775033195993297E-2</v>
      </c>
      <c r="Q6" s="559">
        <v>361636009.17000002</v>
      </c>
      <c r="R6" s="280">
        <v>0.5798063900529602</v>
      </c>
      <c r="S6" s="566">
        <f>+K6/Q6-1</f>
        <v>5.6708876577496792E-2</v>
      </c>
    </row>
    <row r="7" spans="1:19" ht="15" customHeight="1" x14ac:dyDescent="0.2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8.010694348086763E-3</v>
      </c>
      <c r="G7" s="136">
        <v>17398374.370000001</v>
      </c>
      <c r="H7" s="280">
        <f t="shared" si="2"/>
        <v>0.78725675882352941</v>
      </c>
      <c r="I7" s="136">
        <v>17398374.370000001</v>
      </c>
      <c r="J7" s="280">
        <f t="shared" si="0"/>
        <v>0.78725675882352941</v>
      </c>
      <c r="K7" s="136">
        <v>17398374.370000001</v>
      </c>
      <c r="L7" s="410">
        <f>K7/K17</f>
        <v>9.485151163019118E-3</v>
      </c>
      <c r="M7" s="178">
        <f>+K7/E7</f>
        <v>0.78725675882352941</v>
      </c>
      <c r="N7" s="559">
        <v>18448656.73</v>
      </c>
      <c r="O7" s="280">
        <v>0.74235963165567997</v>
      </c>
      <c r="P7" s="565">
        <f t="shared" si="3"/>
        <v>-5.6930018015463379E-2</v>
      </c>
      <c r="Q7" s="559">
        <v>18448656.73</v>
      </c>
      <c r="R7" s="280">
        <v>0.74235963165567997</v>
      </c>
      <c r="S7" s="566">
        <f>+K7/Q7-1</f>
        <v>-5.6930018015463379E-2</v>
      </c>
    </row>
    <row r="8" spans="1:19" ht="15" customHeight="1" x14ac:dyDescent="0.2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1114625483.27</v>
      </c>
      <c r="F8" s="410">
        <f>E8/E17</f>
        <v>0.40402371307984003</v>
      </c>
      <c r="G8" s="136">
        <v>1005005844.09</v>
      </c>
      <c r="H8" s="280">
        <f t="shared" si="2"/>
        <v>0.90165338867149658</v>
      </c>
      <c r="I8" s="136">
        <v>994686275.85000002</v>
      </c>
      <c r="J8" s="280">
        <f t="shared" si="0"/>
        <v>0.89239506074441088</v>
      </c>
      <c r="K8" s="136">
        <v>800155458.59000003</v>
      </c>
      <c r="L8" s="410">
        <f>K8/K17</f>
        <v>0.43622440334010554</v>
      </c>
      <c r="M8" s="427">
        <f t="shared" si="1"/>
        <v>0.71786933871506986</v>
      </c>
      <c r="N8" s="559">
        <v>916935716.87</v>
      </c>
      <c r="O8" s="280">
        <v>0.844924257156211</v>
      </c>
      <c r="P8" s="565">
        <f t="shared" si="3"/>
        <v>8.4793903814113447E-2</v>
      </c>
      <c r="Q8" s="559">
        <v>824225134.50999999</v>
      </c>
      <c r="R8" s="280">
        <v>0.75949469160450878</v>
      </c>
      <c r="S8" s="566">
        <f>+K8/Q8-1</f>
        <v>-2.9202792916900422E-2</v>
      </c>
    </row>
    <row r="9" spans="1:19" ht="15" customHeight="1" x14ac:dyDescent="0.2">
      <c r="A9" s="55">
        <v>5</v>
      </c>
      <c r="B9" s="55" t="s">
        <v>453</v>
      </c>
      <c r="C9" s="176">
        <v>13647818.9</v>
      </c>
      <c r="D9" s="531">
        <f>C9/C17</f>
        <v>4.9879030893436021E-3</v>
      </c>
      <c r="E9" s="533">
        <v>6908292.3700000001</v>
      </c>
      <c r="F9" s="678">
        <f>E9/E17</f>
        <v>2.5040822915515792E-3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0">
        <v>0</v>
      </c>
      <c r="O9" s="78">
        <v>0</v>
      </c>
      <c r="P9" s="565" t="s">
        <v>129</v>
      </c>
      <c r="Q9" s="560">
        <v>0</v>
      </c>
      <c r="R9" s="78">
        <v>0</v>
      </c>
      <c r="S9" s="677" t="s">
        <v>129</v>
      </c>
    </row>
    <row r="10" spans="1:19" ht="15" customHeight="1" x14ac:dyDescent="0.2">
      <c r="A10" s="9"/>
      <c r="B10" s="2" t="s">
        <v>4</v>
      </c>
      <c r="C10" s="162">
        <f>SUM(C5:C9)</f>
        <v>2151399911.2599998</v>
      </c>
      <c r="D10" s="532">
        <f>C10/C17</f>
        <v>0.78627759808472431</v>
      </c>
      <c r="E10" s="152">
        <f>SUM(E5:E9)</f>
        <v>2174749599.9499998</v>
      </c>
      <c r="F10" s="263">
        <f>E10/E17</f>
        <v>0.78829205107798239</v>
      </c>
      <c r="G10" s="84">
        <f>SUM(G5:G9)</f>
        <v>1938398641.1800001</v>
      </c>
      <c r="H10" s="90">
        <f t="shared" si="2"/>
        <v>0.89132038061971197</v>
      </c>
      <c r="I10" s="84">
        <f>SUM(I5:I9)</f>
        <v>1906325922.9000001</v>
      </c>
      <c r="J10" s="90">
        <f t="shared" si="0"/>
        <v>0.87657260539044535</v>
      </c>
      <c r="K10" s="84">
        <f>SUM(K5:K8)</f>
        <v>1501905166.3700001</v>
      </c>
      <c r="L10" s="263">
        <f>K10/K17</f>
        <v>0.81880049437853475</v>
      </c>
      <c r="M10" s="170">
        <f t="shared" si="1"/>
        <v>0.69061061853030381</v>
      </c>
      <c r="N10" s="561">
        <f>SUM(N5:N9)</f>
        <v>1832776955.47</v>
      </c>
      <c r="O10" s="90">
        <v>0.84681676572578968</v>
      </c>
      <c r="P10" s="567">
        <f t="shared" si="3"/>
        <v>4.0129797142249179E-2</v>
      </c>
      <c r="Q10" s="561">
        <f>SUM(Q5:Q8)</f>
        <v>1535255568.3900001</v>
      </c>
      <c r="R10" s="90">
        <v>0.70934990267440068</v>
      </c>
      <c r="S10" s="567">
        <f>+K10/Q10-1</f>
        <v>-2.1723029511610314E-2</v>
      </c>
    </row>
    <row r="11" spans="1:19" ht="15" customHeight="1" x14ac:dyDescent="0.2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390722108.13</v>
      </c>
      <c r="F11" s="262">
        <f>E11/E17</f>
        <v>0.14162694041943602</v>
      </c>
      <c r="G11" s="136">
        <v>255556770.66999999</v>
      </c>
      <c r="H11" s="48">
        <f t="shared" ref="H11:H17" si="4">+G11/E11</f>
        <v>0.65406273500390677</v>
      </c>
      <c r="I11" s="136">
        <v>252960662.65000001</v>
      </c>
      <c r="J11" s="48">
        <f t="shared" si="0"/>
        <v>0.6474183502455807</v>
      </c>
      <c r="K11" s="136">
        <v>167805148.09</v>
      </c>
      <c r="L11" s="262">
        <f>K11/K17</f>
        <v>9.1483098461828241E-2</v>
      </c>
      <c r="M11" s="153">
        <f t="shared" si="1"/>
        <v>0.42947441314011425</v>
      </c>
      <c r="N11" s="558">
        <v>290148373.29000002</v>
      </c>
      <c r="O11" s="48">
        <v>0.79707257670370002</v>
      </c>
      <c r="P11" s="565">
        <f t="shared" si="3"/>
        <v>-0.12816791015688833</v>
      </c>
      <c r="Q11" s="558">
        <v>230894994.5</v>
      </c>
      <c r="R11" s="48">
        <v>0.63429639851937292</v>
      </c>
      <c r="S11" s="565">
        <f t="shared" ref="S11:S17" si="5">+K11/Q11-1</f>
        <v>-0.27324042492397993</v>
      </c>
    </row>
    <row r="12" spans="1:19" ht="15" customHeight="1" x14ac:dyDescent="0.2">
      <c r="A12" s="24">
        <v>7</v>
      </c>
      <c r="B12" s="24" t="s">
        <v>6</v>
      </c>
      <c r="C12" s="176">
        <v>17224944.199999999</v>
      </c>
      <c r="D12" s="531">
        <f>C12/C17</f>
        <v>6.2952441718691883E-3</v>
      </c>
      <c r="E12" s="534">
        <v>37660252.780000001</v>
      </c>
      <c r="F12" s="264">
        <f>E12/E17</f>
        <v>1.3650894755306099E-2</v>
      </c>
      <c r="G12" s="137">
        <v>29167101.16</v>
      </c>
      <c r="H12" s="390">
        <f t="shared" si="4"/>
        <v>0.77447969694695185</v>
      </c>
      <c r="I12" s="137">
        <v>28887212.059999999</v>
      </c>
      <c r="J12" s="390">
        <f t="shared" si="0"/>
        <v>0.76704774736246462</v>
      </c>
      <c r="K12" s="137">
        <v>20352200.010000002</v>
      </c>
      <c r="L12" s="264">
        <f>K12/K17</f>
        <v>1.1095501768700545E-2</v>
      </c>
      <c r="M12" s="392">
        <f t="shared" si="1"/>
        <v>0.54041591618865392</v>
      </c>
      <c r="N12" s="562">
        <v>27183268.120000001</v>
      </c>
      <c r="O12" s="390">
        <v>0.60104288112191029</v>
      </c>
      <c r="P12" s="568">
        <f t="shared" si="3"/>
        <v>6.2683557123373479E-2</v>
      </c>
      <c r="Q12" s="562">
        <v>18719220.699999999</v>
      </c>
      <c r="R12" s="390">
        <v>0.413896309016905</v>
      </c>
      <c r="S12" s="565">
        <f t="shared" si="5"/>
        <v>8.7235432295533766E-2</v>
      </c>
    </row>
    <row r="13" spans="1:19" ht="15" customHeight="1" x14ac:dyDescent="0.2">
      <c r="A13" s="9"/>
      <c r="B13" s="2" t="s">
        <v>7</v>
      </c>
      <c r="C13" s="162">
        <f>SUM(C11:C12)</f>
        <v>429103665.46999997</v>
      </c>
      <c r="D13" s="532">
        <f>C13/C17</f>
        <v>0.15682560813043001</v>
      </c>
      <c r="E13" s="152">
        <f>SUM(E11:E12)</f>
        <v>428382360.90999997</v>
      </c>
      <c r="F13" s="263">
        <f>E13/E17</f>
        <v>0.15527783517474208</v>
      </c>
      <c r="G13" s="84">
        <f>SUM(G11:G12)</f>
        <v>284723871.82999998</v>
      </c>
      <c r="H13" s="90">
        <f t="shared" si="4"/>
        <v>0.66464891604119625</v>
      </c>
      <c r="I13" s="84">
        <f>SUM(I11:I12)</f>
        <v>281847874.70999998</v>
      </c>
      <c r="J13" s="90">
        <f t="shared" si="0"/>
        <v>0.65793529432742959</v>
      </c>
      <c r="K13" s="84">
        <f>SUM(K11:K12)</f>
        <v>188157348.09999999</v>
      </c>
      <c r="L13" s="263">
        <f>K13/K17</f>
        <v>0.10257860023052878</v>
      </c>
      <c r="M13" s="170">
        <f t="shared" si="1"/>
        <v>0.43922758094031444</v>
      </c>
      <c r="N13" s="561">
        <f>SUM(N11:N12)</f>
        <v>317331641.41000003</v>
      </c>
      <c r="O13" s="90">
        <v>0.77540873917961139</v>
      </c>
      <c r="P13" s="567">
        <f t="shared" si="3"/>
        <v>-0.11181918872739882</v>
      </c>
      <c r="Q13" s="561">
        <f>SUM(Q11:Q12)</f>
        <v>249614215.19999999</v>
      </c>
      <c r="R13" s="90">
        <v>0.60993931468518459</v>
      </c>
      <c r="S13" s="567">
        <f t="shared" si="5"/>
        <v>-0.24620740069133684</v>
      </c>
    </row>
    <row r="14" spans="1:19" ht="15" customHeight="1" x14ac:dyDescent="0.2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1.0133012588479937E-2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16646895.91</v>
      </c>
      <c r="L14" s="262">
        <f>K14/K17</f>
        <v>9.0754642211664689E-3</v>
      </c>
      <c r="M14" s="153">
        <f t="shared" si="1"/>
        <v>0.59548739016159347</v>
      </c>
      <c r="N14" s="558">
        <v>19326730.16</v>
      </c>
      <c r="O14" s="48">
        <v>0.72798328163937009</v>
      </c>
      <c r="P14" s="565">
        <f t="shared" si="3"/>
        <v>0.18773723852726465</v>
      </c>
      <c r="Q14" s="558">
        <v>14429279.35</v>
      </c>
      <c r="R14" s="48">
        <v>0.54351015644874079</v>
      </c>
      <c r="S14" s="565">
        <f t="shared" si="5"/>
        <v>0.1536886566687754</v>
      </c>
    </row>
    <row r="15" spans="1:19" ht="15" customHeight="1" x14ac:dyDescent="0.2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34">
        <v>127725000</v>
      </c>
      <c r="F15" s="264">
        <f>E15/E17</f>
        <v>4.6297101158795553E-2</v>
      </c>
      <c r="G15" s="137">
        <v>127565454.72</v>
      </c>
      <c r="H15" s="390">
        <f t="shared" si="4"/>
        <v>0.99875086881972985</v>
      </c>
      <c r="I15" s="137">
        <v>127565454.72</v>
      </c>
      <c r="J15" s="390">
        <f t="shared" si="0"/>
        <v>0.99875086881972985</v>
      </c>
      <c r="K15" s="137">
        <v>127565454.72</v>
      </c>
      <c r="L15" s="264">
        <f>K15/K17</f>
        <v>6.9545441169770086E-2</v>
      </c>
      <c r="M15" s="392">
        <f t="shared" si="1"/>
        <v>0.99875086881972985</v>
      </c>
      <c r="N15" s="562">
        <v>157071192.94</v>
      </c>
      <c r="O15" s="390">
        <v>0.99595745998062457</v>
      </c>
      <c r="P15" s="568">
        <f t="shared" si="3"/>
        <v>-0.18784945646443885</v>
      </c>
      <c r="Q15" s="562">
        <v>157071192.94</v>
      </c>
      <c r="R15" s="390">
        <v>0.99595745998062457</v>
      </c>
      <c r="S15" s="568">
        <f t="shared" si="5"/>
        <v>-0.18784945646443885</v>
      </c>
    </row>
    <row r="16" spans="1:19" ht="15" customHeight="1" thickBot="1" x14ac:dyDescent="0.25">
      <c r="A16" s="9"/>
      <c r="B16" s="2" t="s">
        <v>10</v>
      </c>
      <c r="C16" s="514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5.6430113747275495E-2</v>
      </c>
      <c r="G16" s="84">
        <f>SUM(G14:G15)</f>
        <v>150520531.82999998</v>
      </c>
      <c r="H16" s="90">
        <f t="shared" si="4"/>
        <v>0.96685802463757509</v>
      </c>
      <c r="I16" s="84">
        <f>SUM(I14:I15)</f>
        <v>150520531.82999998</v>
      </c>
      <c r="J16" s="90">
        <f t="shared" si="0"/>
        <v>0.96685802463757509</v>
      </c>
      <c r="K16" s="84">
        <f>SUM(K14:K15)</f>
        <v>144212350.63</v>
      </c>
      <c r="L16" s="263">
        <f>K16/K17</f>
        <v>7.8620905390936552E-2</v>
      </c>
      <c r="M16" s="170">
        <f t="shared" si="1"/>
        <v>0.9263378674209084</v>
      </c>
      <c r="N16" s="561">
        <f>SUM(N14:N15)</f>
        <v>176397923.09999999</v>
      </c>
      <c r="O16" s="90">
        <v>0.95734692625179052</v>
      </c>
      <c r="P16" s="567">
        <f t="shared" si="3"/>
        <v>-0.14669895662734145</v>
      </c>
      <c r="Q16" s="561">
        <f>SUM(Q14:Q15)</f>
        <v>171500472.28999999</v>
      </c>
      <c r="R16" s="90">
        <v>0.93076747793955106</v>
      </c>
      <c r="S16" s="567">
        <f t="shared" si="5"/>
        <v>-0.15911397383126125</v>
      </c>
    </row>
    <row r="17" spans="1:19" s="6" customFormat="1" ht="19.5" customHeight="1" thickBot="1" x14ac:dyDescent="0.25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2758812037.9699998</v>
      </c>
      <c r="F17" s="265"/>
      <c r="G17" s="155">
        <f>+G10+G13+G16</f>
        <v>2373643044.8400002</v>
      </c>
      <c r="H17" s="181">
        <f t="shared" si="4"/>
        <v>0.86038592414820103</v>
      </c>
      <c r="I17" s="155">
        <f>+I10+I13+I16</f>
        <v>2338694329.4400001</v>
      </c>
      <c r="J17" s="181">
        <f t="shared" si="0"/>
        <v>0.84771789351798954</v>
      </c>
      <c r="K17" s="155">
        <f>+K10+K13+K16</f>
        <v>1834274865.0999999</v>
      </c>
      <c r="L17" s="265"/>
      <c r="M17" s="173">
        <f t="shared" si="1"/>
        <v>0.66487852012190851</v>
      </c>
      <c r="N17" s="569">
        <f>N10+N13+N16</f>
        <v>2326506519.98</v>
      </c>
      <c r="O17" s="181">
        <v>0.84360503116201591</v>
      </c>
      <c r="P17" s="570">
        <f t="shared" si="3"/>
        <v>5.2386741044270213E-3</v>
      </c>
      <c r="Q17" s="569">
        <f>+Q10+Q13+Q16</f>
        <v>1956370255.8800001</v>
      </c>
      <c r="R17" s="181">
        <v>0.70939143153154649</v>
      </c>
      <c r="S17" s="570">
        <f t="shared" si="5"/>
        <v>-6.240914285679533E-2</v>
      </c>
    </row>
    <row r="18" spans="1:19" x14ac:dyDescent="0.2">
      <c r="D18" s="476"/>
      <c r="E18" s="46"/>
      <c r="G18" s="46"/>
      <c r="I18" s="46"/>
      <c r="K18" s="46"/>
    </row>
    <row r="19" spans="1:19" x14ac:dyDescent="0.2">
      <c r="A19" s="8" t="s">
        <v>787</v>
      </c>
      <c r="F19" s="411"/>
      <c r="G19" s="254"/>
      <c r="H19" s="411"/>
      <c r="K19" s="756"/>
      <c r="L19" s="756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8.25" x14ac:dyDescent="0.2">
      <c r="A21" s="1"/>
      <c r="B21" s="2" t="s">
        <v>12</v>
      </c>
      <c r="C21" s="3" t="s">
        <v>532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/>
    </row>
    <row r="22" spans="1:19" x14ac:dyDescent="0.2">
      <c r="A22" s="21">
        <v>1</v>
      </c>
      <c r="B22" s="21" t="s">
        <v>0</v>
      </c>
      <c r="C22" s="136">
        <v>0</v>
      </c>
      <c r="D22" s="136">
        <v>0</v>
      </c>
      <c r="E22" s="136">
        <v>49971175.920000002</v>
      </c>
      <c r="F22" s="48"/>
      <c r="G22" s="136">
        <v>48377078.270000003</v>
      </c>
      <c r="H22" s="48"/>
      <c r="I22" s="734">
        <v>0</v>
      </c>
      <c r="J22" s="48"/>
      <c r="K22" s="30"/>
      <c r="L22" s="30"/>
      <c r="M22" s="30"/>
      <c r="N22" s="337"/>
      <c r="O22" s="136">
        <f>C22+D22+E22-G22+I22+K22+L22-M22</f>
        <v>1594097.6499999985</v>
      </c>
      <c r="P22" s="48"/>
    </row>
    <row r="23" spans="1:19" x14ac:dyDescent="0.2">
      <c r="A23" s="23">
        <v>2</v>
      </c>
      <c r="B23" s="23" t="s">
        <v>1</v>
      </c>
      <c r="C23" s="133">
        <v>1852040.21</v>
      </c>
      <c r="D23" s="133">
        <v>0</v>
      </c>
      <c r="E23" s="133">
        <v>13757850.9</v>
      </c>
      <c r="F23" s="280"/>
      <c r="G23" s="133">
        <v>27332932.449999999</v>
      </c>
      <c r="H23" s="280"/>
      <c r="I23" s="136">
        <v>1698246.61</v>
      </c>
      <c r="J23" s="280"/>
      <c r="K23" s="32"/>
      <c r="L23" s="32"/>
      <c r="M23" s="32"/>
      <c r="N23" s="133"/>
      <c r="O23" s="136">
        <f t="shared" ref="O23:O29" si="6">C23+D23+E23-G23+I23+K23+L23-M23</f>
        <v>-10024794.73</v>
      </c>
      <c r="P23" s="48"/>
    </row>
    <row r="24" spans="1:19" x14ac:dyDescent="0.2">
      <c r="A24" s="23">
        <v>3</v>
      </c>
      <c r="B24" s="23" t="s">
        <v>2</v>
      </c>
      <c r="C24" s="133"/>
      <c r="D24" s="133">
        <v>0</v>
      </c>
      <c r="E24" s="133">
        <v>0</v>
      </c>
      <c r="F24" s="280"/>
      <c r="G24" s="133">
        <v>0</v>
      </c>
      <c r="H24" s="280"/>
      <c r="I24" s="734">
        <v>0</v>
      </c>
      <c r="J24" s="280"/>
      <c r="K24" s="32"/>
      <c r="L24" s="32"/>
      <c r="M24" s="32"/>
      <c r="N24" s="133"/>
      <c r="O24" s="136">
        <f t="shared" si="6"/>
        <v>0</v>
      </c>
      <c r="P24" s="48"/>
    </row>
    <row r="25" spans="1:19" x14ac:dyDescent="0.2">
      <c r="A25" s="23">
        <v>4</v>
      </c>
      <c r="B25" s="23" t="s">
        <v>3</v>
      </c>
      <c r="C25" s="133">
        <v>8516765.5700000003</v>
      </c>
      <c r="D25" s="133">
        <v>0</v>
      </c>
      <c r="E25" s="133">
        <v>36667374.700000003</v>
      </c>
      <c r="F25" s="280"/>
      <c r="G25" s="133">
        <v>13309051.15</v>
      </c>
      <c r="H25" s="280"/>
      <c r="I25" s="133">
        <v>6644823.1799999997</v>
      </c>
      <c r="J25" s="280"/>
      <c r="K25" s="32"/>
      <c r="L25" s="32"/>
      <c r="M25" s="465"/>
      <c r="N25" s="446"/>
      <c r="O25" s="136">
        <f t="shared" si="6"/>
        <v>38519912.300000004</v>
      </c>
      <c r="P25" s="280"/>
    </row>
    <row r="26" spans="1:19" x14ac:dyDescent="0.2">
      <c r="A26" s="55">
        <v>5</v>
      </c>
      <c r="B26" s="55" t="s">
        <v>453</v>
      </c>
      <c r="C26" s="56">
        <v>0</v>
      </c>
      <c r="D26" s="56">
        <v>0</v>
      </c>
      <c r="E26" s="133">
        <v>0</v>
      </c>
      <c r="F26" s="78"/>
      <c r="G26" s="137">
        <v>6739526.5300000003</v>
      </c>
      <c r="H26" s="78"/>
      <c r="I26" s="56">
        <v>0</v>
      </c>
      <c r="J26" s="78"/>
      <c r="K26" s="180"/>
      <c r="L26" s="180"/>
      <c r="M26" s="466"/>
      <c r="N26" s="338"/>
      <c r="O26" s="136">
        <f t="shared" si="6"/>
        <v>-6739526.5300000003</v>
      </c>
      <c r="P26" s="78"/>
    </row>
    <row r="27" spans="1:19" x14ac:dyDescent="0.2">
      <c r="A27" s="9"/>
      <c r="B27" s="2" t="s">
        <v>4</v>
      </c>
      <c r="C27" s="19">
        <f>SUM(C22:C26)</f>
        <v>10368805.780000001</v>
      </c>
      <c r="D27" s="19">
        <f>SUM(D22:D26)</f>
        <v>0</v>
      </c>
      <c r="E27" s="84">
        <f>SUM(E22:E26)</f>
        <v>100396401.52000001</v>
      </c>
      <c r="F27" s="44"/>
      <c r="G27" s="19">
        <f>SUM(G22:G26)</f>
        <v>95758588.400000006</v>
      </c>
      <c r="H27" s="44"/>
      <c r="I27" s="19">
        <f>SUM(I23:I26)</f>
        <v>8343069.79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733">
        <f>SUM(O22:O26)</f>
        <v>23349688.690000001</v>
      </c>
      <c r="P27" s="90"/>
      <c r="Q27" s="46"/>
    </row>
    <row r="28" spans="1:19" x14ac:dyDescent="0.2">
      <c r="A28" s="21">
        <v>6</v>
      </c>
      <c r="B28" s="21" t="s">
        <v>5</v>
      </c>
      <c r="C28" s="136">
        <v>199282.04</v>
      </c>
      <c r="D28" s="136">
        <v>0</v>
      </c>
      <c r="E28" s="136">
        <v>288142449</v>
      </c>
      <c r="F28" s="48"/>
      <c r="G28" s="136">
        <v>313002378.69999999</v>
      </c>
      <c r="H28" s="48"/>
      <c r="I28" s="136">
        <v>3504034.52</v>
      </c>
      <c r="J28" s="48"/>
      <c r="K28" s="180"/>
      <c r="L28" s="180"/>
      <c r="M28" s="30"/>
      <c r="N28" s="136"/>
      <c r="O28" s="136">
        <f t="shared" si="6"/>
        <v>-21156613.139999967</v>
      </c>
      <c r="P28" s="48"/>
    </row>
    <row r="29" spans="1:19" x14ac:dyDescent="0.2">
      <c r="A29" s="24">
        <v>7</v>
      </c>
      <c r="B29" s="24" t="s">
        <v>6</v>
      </c>
      <c r="C29" s="137">
        <v>213192</v>
      </c>
      <c r="D29" s="137">
        <v>0</v>
      </c>
      <c r="E29" s="56">
        <v>51353941.789999999</v>
      </c>
      <c r="F29" s="390"/>
      <c r="G29" s="56">
        <v>31131825.210000001</v>
      </c>
      <c r="H29" s="390"/>
      <c r="I29" s="137">
        <v>0</v>
      </c>
      <c r="J29" s="390"/>
      <c r="K29" s="34"/>
      <c r="L29" s="34"/>
      <c r="M29" s="466"/>
      <c r="N29" s="338"/>
      <c r="O29" s="136">
        <f t="shared" si="6"/>
        <v>20435308.579999998</v>
      </c>
      <c r="P29" s="264"/>
    </row>
    <row r="30" spans="1:19" x14ac:dyDescent="0.2">
      <c r="A30" s="9"/>
      <c r="B30" s="2" t="s">
        <v>7</v>
      </c>
      <c r="C30" s="19">
        <f>SUM(C28:C29)</f>
        <v>412474.04000000004</v>
      </c>
      <c r="D30" s="19">
        <f>SUM(D28:D29)</f>
        <v>0</v>
      </c>
      <c r="E30" s="19">
        <f>SUM(E28:E29)</f>
        <v>339496390.79000002</v>
      </c>
      <c r="F30" s="44"/>
      <c r="G30" s="19">
        <f>SUM(G28:G29)</f>
        <v>344134203.90999997</v>
      </c>
      <c r="H30" s="44"/>
      <c r="I30" s="19">
        <f>SUM(I28:I29)</f>
        <v>3504034.52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733">
        <f>SUM(O28:O29)</f>
        <v>-721304.55999996886</v>
      </c>
      <c r="P30" s="90"/>
      <c r="Q30" s="46"/>
    </row>
    <row r="31" spans="1:19" x14ac:dyDescent="0.2">
      <c r="A31" s="21">
        <v>8</v>
      </c>
      <c r="B31" s="21" t="s">
        <v>8</v>
      </c>
      <c r="C31" s="22">
        <v>0</v>
      </c>
      <c r="D31" s="136">
        <v>0</v>
      </c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">
      <c r="A32" s="24">
        <v>9</v>
      </c>
      <c r="B32" s="24" t="s">
        <v>9</v>
      </c>
      <c r="C32" s="25">
        <v>0</v>
      </c>
      <c r="D32" s="137">
        <v>0</v>
      </c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5" thickBot="1" x14ac:dyDescent="0.25">
      <c r="A34" s="5"/>
      <c r="B34" s="4" t="s">
        <v>11</v>
      </c>
      <c r="C34" s="20">
        <f>+C27+C30+C33</f>
        <v>10781279.82</v>
      </c>
      <c r="D34" s="20">
        <f>+D27+D30+D33</f>
        <v>0</v>
      </c>
      <c r="E34" s="20">
        <f>+E27+E30+E33</f>
        <v>439892792.31000006</v>
      </c>
      <c r="F34" s="45"/>
      <c r="G34" s="20">
        <f>+G27+G30+G33</f>
        <v>439892792.30999994</v>
      </c>
      <c r="H34" s="45"/>
      <c r="I34" s="20">
        <f>+I27+I30+I33</f>
        <v>11847104.310000001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22628384.130000032</v>
      </c>
      <c r="P34" s="45"/>
    </row>
    <row r="36" spans="1:16" x14ac:dyDescent="0.2">
      <c r="N36" s="46"/>
    </row>
    <row r="37" spans="1:16" x14ac:dyDescent="0.2">
      <c r="B37" s="46"/>
    </row>
    <row r="136" spans="12:15" x14ac:dyDescent="0.2">
      <c r="L136" s="679"/>
      <c r="O136" s="679"/>
    </row>
    <row r="137" spans="12:15" x14ac:dyDescent="0.2">
      <c r="L137" s="679"/>
      <c r="N137" s="46"/>
      <c r="O137" s="679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10.5703125" style="97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2017-11-20T09:23:28Z</cp:lastPrinted>
  <dcterms:created xsi:type="dcterms:W3CDTF">2011-01-04T08:57:13Z</dcterms:created>
  <dcterms:modified xsi:type="dcterms:W3CDTF">2017-11-20T09:23:49Z</dcterms:modified>
</cp:coreProperties>
</file>