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0" yWindow="-20" windowWidth="23280" windowHeight="13080"/>
  </bookViews>
  <sheets>
    <sheet name="CAT" sheetId="1" r:id="rId1"/>
    <sheet name="Full1" sheetId="2" state="hidden" r:id="rId2"/>
  </sheets>
  <definedNames>
    <definedName name="__FPMExcelClient_CellBasedFunctionStatus" localSheetId="0" hidden="1">"2_2_2_2_2"</definedName>
    <definedName name="_xlnm._FilterDatabase" localSheetId="1" hidden="1">Full1!$A$1:$F$132</definedName>
    <definedName name="_xlnm.Print_Area" localSheetId="0">CAT!$A$3:$S$201</definedName>
  </definedNames>
  <calcPr calcId="145621"/>
</workbook>
</file>

<file path=xl/calcChain.xml><?xml version="1.0" encoding="utf-8"?>
<calcChain xmlns="http://schemas.openxmlformats.org/spreadsheetml/2006/main">
  <c r="Q106" i="1" l="1"/>
  <c r="R184" i="1" l="1"/>
  <c r="Q184" i="1"/>
  <c r="F119" i="2"/>
  <c r="E119" i="2"/>
  <c r="D119" i="2"/>
  <c r="Q195" i="1"/>
  <c r="R195" i="1"/>
  <c r="Q190" i="1"/>
  <c r="P190" i="1"/>
  <c r="R190" i="1"/>
  <c r="R179" i="1"/>
  <c r="R174" i="1"/>
  <c r="Q174" i="1"/>
  <c r="R169" i="1"/>
  <c r="R164" i="1"/>
  <c r="R158" i="1"/>
  <c r="R153" i="1"/>
  <c r="R147" i="1"/>
  <c r="R142" i="1"/>
  <c r="R137" i="1"/>
  <c r="R132" i="1"/>
  <c r="R127" i="1"/>
  <c r="R122" i="1"/>
  <c r="R117" i="1"/>
  <c r="R112" i="1"/>
  <c r="R92" i="1"/>
  <c r="Q87" i="1"/>
  <c r="R87" i="1"/>
  <c r="R82" i="1"/>
  <c r="R77" i="1"/>
  <c r="R72" i="1"/>
  <c r="P72" i="1"/>
  <c r="Q72" i="1"/>
  <c r="R67" i="1"/>
  <c r="Q67" i="1"/>
  <c r="R62" i="1"/>
  <c r="R57" i="1"/>
  <c r="R52" i="1"/>
  <c r="R47" i="1"/>
  <c r="R42" i="1"/>
  <c r="E120" i="2"/>
  <c r="F120" i="2"/>
  <c r="D120" i="2"/>
  <c r="D116" i="2"/>
  <c r="E116" i="2"/>
  <c r="F116" i="2"/>
  <c r="F115" i="2"/>
  <c r="E115" i="2"/>
  <c r="D115" i="2"/>
  <c r="F107" i="2"/>
  <c r="E107" i="2"/>
  <c r="D107" i="2"/>
  <c r="D124" i="2"/>
  <c r="E124" i="2"/>
  <c r="F124" i="2"/>
  <c r="R37" i="1"/>
  <c r="Q37" i="1" l="1"/>
  <c r="R31" i="1"/>
  <c r="Q31" i="1"/>
  <c r="R16" i="1"/>
  <c r="Q16" i="1"/>
  <c r="P16" i="1"/>
  <c r="R11" i="1"/>
  <c r="R6" i="1"/>
  <c r="D110" i="2"/>
  <c r="E110" i="2"/>
  <c r="F110" i="2"/>
  <c r="E112" i="2"/>
  <c r="F112" i="2"/>
  <c r="D112" i="2"/>
  <c r="D102" i="2"/>
  <c r="E102" i="2"/>
  <c r="F102" i="2"/>
  <c r="D99" i="2"/>
  <c r="E99" i="2"/>
  <c r="F99" i="2"/>
  <c r="F73" i="2"/>
  <c r="D94" i="2" l="1"/>
  <c r="E94" i="2"/>
  <c r="F94" i="2"/>
  <c r="D57" i="2"/>
  <c r="E57" i="2"/>
  <c r="F57" i="2"/>
  <c r="E54" i="2"/>
  <c r="D54" i="2"/>
  <c r="F54" i="2"/>
  <c r="D48" i="2" l="1"/>
  <c r="E48" i="2"/>
  <c r="F48" i="2"/>
  <c r="E89" i="2"/>
  <c r="F89" i="2"/>
  <c r="E114" i="2"/>
  <c r="F114" i="2"/>
  <c r="D114" i="2"/>
  <c r="E111" i="2"/>
  <c r="F111" i="2"/>
  <c r="D111" i="2"/>
  <c r="E126" i="2"/>
  <c r="F126" i="2"/>
  <c r="D126" i="2"/>
  <c r="E83" i="2"/>
  <c r="F83" i="2"/>
  <c r="D83" i="2"/>
  <c r="E77" i="2"/>
  <c r="F77" i="2"/>
  <c r="D77" i="2"/>
  <c r="E59" i="2"/>
  <c r="E95" i="2" s="1"/>
  <c r="F59" i="2"/>
  <c r="F95" i="2" s="1"/>
  <c r="D59" i="2"/>
  <c r="D95" i="2" s="1"/>
  <c r="E52" i="2"/>
  <c r="E51" i="2" s="1"/>
  <c r="F52" i="2"/>
  <c r="F51" i="2" s="1"/>
  <c r="D52" i="2"/>
  <c r="D51" i="2" s="1"/>
  <c r="D89" i="2"/>
  <c r="D40" i="2" l="1"/>
  <c r="E40" i="2"/>
  <c r="F40" i="2"/>
  <c r="E39" i="2"/>
  <c r="F39" i="2"/>
  <c r="D39" i="2"/>
  <c r="E38" i="2"/>
  <c r="F38" i="2"/>
  <c r="F37" i="2" s="1"/>
  <c r="D38" i="2"/>
  <c r="E36" i="2"/>
  <c r="F36" i="2"/>
  <c r="D36" i="2"/>
  <c r="E35" i="2"/>
  <c r="F35" i="2"/>
  <c r="F34" i="2" s="1"/>
  <c r="D35" i="2"/>
  <c r="F4" i="2"/>
  <c r="F3" i="2" s="1"/>
  <c r="E30" i="2"/>
  <c r="E28" i="2" s="1"/>
  <c r="F30" i="2"/>
  <c r="F28" i="2" s="1"/>
  <c r="E24" i="2"/>
  <c r="F24" i="2"/>
  <c r="F22" i="2" s="1"/>
  <c r="E27" i="2"/>
  <c r="E25" i="2" s="1"/>
  <c r="F27" i="2"/>
  <c r="F25" i="2" s="1"/>
  <c r="E33" i="2"/>
  <c r="E31" i="2" s="1"/>
  <c r="F33" i="2"/>
  <c r="F31" i="2" s="1"/>
  <c r="E47" i="2"/>
  <c r="E45" i="2" s="1"/>
  <c r="F47" i="2"/>
  <c r="F45" i="2" s="1"/>
  <c r="E50" i="2"/>
  <c r="F50" i="2"/>
  <c r="E93" i="2"/>
  <c r="E91" i="2" s="1"/>
  <c r="F93" i="2"/>
  <c r="F91" i="2" s="1"/>
  <c r="E96" i="2"/>
  <c r="F96" i="2"/>
  <c r="E109" i="2"/>
  <c r="F109" i="2"/>
  <c r="E113" i="2"/>
  <c r="F113" i="2"/>
  <c r="E118" i="2"/>
  <c r="F118" i="2"/>
  <c r="D118" i="2"/>
  <c r="D113" i="2"/>
  <c r="D109" i="2"/>
  <c r="D96" i="2"/>
  <c r="D93" i="2"/>
  <c r="D91" i="2" s="1"/>
  <c r="D50" i="2"/>
  <c r="D47" i="2"/>
  <c r="D45" i="2" s="1"/>
  <c r="D33" i="2"/>
  <c r="D31" i="2" s="1"/>
  <c r="D30" i="2"/>
  <c r="D28" i="2" s="1"/>
  <c r="D27" i="2"/>
  <c r="D25" i="2" s="1"/>
  <c r="D24" i="2"/>
  <c r="D22" i="2" s="1"/>
  <c r="B3" i="2"/>
  <c r="B6" i="2"/>
  <c r="B8" i="2"/>
  <c r="B11" i="2"/>
  <c r="B14" i="2"/>
  <c r="B17" i="2"/>
  <c r="B22" i="2"/>
  <c r="B25" i="2"/>
  <c r="B28" i="2"/>
  <c r="B31" i="2"/>
  <c r="B34" i="2"/>
  <c r="B37" i="2"/>
  <c r="B40" i="2"/>
  <c r="B45" i="2"/>
  <c r="B48" i="2"/>
  <c r="B51" i="2"/>
  <c r="B54" i="2"/>
  <c r="B57" i="2"/>
  <c r="B60" i="2"/>
  <c r="B61" i="2"/>
  <c r="B62" i="2"/>
  <c r="B63" i="2"/>
  <c r="B64" i="2"/>
  <c r="B65" i="2"/>
  <c r="B66" i="2"/>
  <c r="B67" i="2"/>
  <c r="B68" i="2"/>
  <c r="B69" i="2"/>
  <c r="B73" i="2"/>
  <c r="B76" i="2"/>
  <c r="B79" i="2"/>
  <c r="B82" i="2"/>
  <c r="B85" i="2"/>
  <c r="B88" i="2"/>
  <c r="B91" i="2"/>
  <c r="B94" i="2"/>
  <c r="B99" i="2"/>
  <c r="B102" i="2"/>
  <c r="B107" i="2"/>
  <c r="B110" i="2"/>
  <c r="B115" i="2"/>
  <c r="B119" i="2"/>
  <c r="B124" i="2"/>
  <c r="B127" i="2"/>
  <c r="B130" i="2"/>
  <c r="E88" i="2"/>
  <c r="E85" i="2"/>
  <c r="E82" i="2"/>
  <c r="E79" i="2"/>
  <c r="E76" i="2"/>
  <c r="E73" i="2"/>
  <c r="E14" i="2"/>
  <c r="E11" i="2"/>
  <c r="E6" i="2"/>
  <c r="E4" i="2" s="1"/>
  <c r="D130" i="2"/>
  <c r="D127" i="2"/>
  <c r="D88" i="2"/>
  <c r="D85" i="2"/>
  <c r="D82" i="2"/>
  <c r="D79" i="2"/>
  <c r="D76" i="2"/>
  <c r="D73" i="2"/>
  <c r="D61" i="2"/>
  <c r="D62" i="2"/>
  <c r="D63" i="2"/>
  <c r="D64" i="2"/>
  <c r="D65" i="2"/>
  <c r="D66" i="2"/>
  <c r="D67" i="2"/>
  <c r="D68" i="2"/>
  <c r="D69" i="2"/>
  <c r="D60" i="2"/>
  <c r="D14" i="2"/>
  <c r="D6" i="2"/>
  <c r="D4" i="2" s="1"/>
  <c r="Q179" i="1"/>
  <c r="Q169" i="1"/>
  <c r="Q164" i="1"/>
  <c r="Q158" i="1"/>
  <c r="Q153" i="1"/>
  <c r="Q147" i="1"/>
  <c r="Q142" i="1"/>
  <c r="Q137" i="1"/>
  <c r="Q132" i="1"/>
  <c r="Q127" i="1"/>
  <c r="Q122" i="1"/>
  <c r="Q117" i="1"/>
  <c r="Q112" i="1"/>
  <c r="Q82" i="1"/>
  <c r="Q77" i="1"/>
  <c r="Q62" i="1"/>
  <c r="Q57" i="1"/>
  <c r="Q52" i="1"/>
  <c r="Q47" i="1"/>
  <c r="Q42" i="1"/>
  <c r="Q6" i="1"/>
  <c r="E37" i="2" l="1"/>
  <c r="E34" i="2"/>
  <c r="D37" i="2"/>
  <c r="D9" i="2"/>
  <c r="D8" i="2" s="1"/>
  <c r="D18" i="2"/>
  <c r="D17" i="2" s="1"/>
  <c r="D3" i="2"/>
  <c r="F18" i="2"/>
  <c r="F17" i="2" s="1"/>
  <c r="F9" i="2"/>
  <c r="F8" i="2" s="1"/>
  <c r="D34" i="2"/>
  <c r="E18" i="2"/>
  <c r="E17" i="2" s="1"/>
  <c r="E3" i="2"/>
  <c r="E9" i="2"/>
  <c r="E8" i="2" s="1"/>
  <c r="L11" i="1" l="1"/>
  <c r="L200" i="1" l="1"/>
  <c r="K200" i="1"/>
  <c r="L190" i="1"/>
  <c r="K190" i="1"/>
  <c r="K184" i="1"/>
  <c r="L179" i="1"/>
  <c r="K179" i="1"/>
  <c r="L174" i="1"/>
  <c r="L169" i="1"/>
  <c r="K169" i="1"/>
  <c r="L164" i="1"/>
  <c r="L147" i="1"/>
  <c r="K147" i="1"/>
  <c r="L142" i="1"/>
  <c r="K142" i="1"/>
  <c r="K137" i="1"/>
  <c r="K132" i="1"/>
  <c r="K127" i="1"/>
  <c r="K122" i="1"/>
  <c r="K117" i="1"/>
  <c r="K112" i="1"/>
  <c r="O106" i="1"/>
  <c r="N105" i="1"/>
  <c r="M105" i="1"/>
  <c r="L105" i="1"/>
  <c r="K105" i="1"/>
  <c r="N104" i="1"/>
  <c r="M104" i="1"/>
  <c r="L104" i="1"/>
  <c r="K104" i="1"/>
  <c r="M103" i="1"/>
  <c r="L103" i="1"/>
  <c r="N102" i="1"/>
  <c r="M102" i="1"/>
  <c r="L102" i="1"/>
  <c r="K102" i="1"/>
  <c r="N101" i="1"/>
  <c r="M101" i="1"/>
  <c r="L101" i="1"/>
  <c r="K101" i="1"/>
  <c r="N100" i="1"/>
  <c r="M100" i="1"/>
  <c r="L100" i="1"/>
  <c r="M99" i="1"/>
  <c r="L99" i="1"/>
  <c r="K99" i="1"/>
  <c r="N98" i="1"/>
  <c r="M98" i="1"/>
  <c r="L98" i="1"/>
  <c r="K98" i="1"/>
  <c r="N97" i="1"/>
  <c r="M97" i="1"/>
  <c r="L97" i="1"/>
  <c r="K97" i="1"/>
  <c r="L92" i="1"/>
  <c r="K92" i="1"/>
  <c r="L87" i="1"/>
  <c r="L82" i="1"/>
  <c r="K82" i="1"/>
  <c r="L77" i="1"/>
  <c r="K77" i="1"/>
  <c r="L72" i="1"/>
  <c r="K72" i="1"/>
  <c r="L57" i="1"/>
  <c r="L52" i="1"/>
  <c r="K52" i="1"/>
  <c r="L47" i="1"/>
  <c r="K47" i="1"/>
  <c r="L42" i="1"/>
  <c r="K42" i="1"/>
  <c r="L37" i="1"/>
  <c r="K37" i="1"/>
  <c r="L31" i="1"/>
  <c r="L6" i="1"/>
  <c r="K6" i="1"/>
  <c r="K106" i="1" l="1"/>
  <c r="N106" i="1"/>
  <c r="L106" i="1"/>
  <c r="M106" i="1"/>
  <c r="E22" i="2" l="1"/>
  <c r="D11" i="2"/>
</calcChain>
</file>

<file path=xl/sharedStrings.xml><?xml version="1.0" encoding="utf-8"?>
<sst xmlns="http://schemas.openxmlformats.org/spreadsheetml/2006/main" count="356" uniqueCount="167">
  <si>
    <t>INDICADORS RELATIUS A L'ENDEUTAMENT</t>
  </si>
  <si>
    <t>Indicador</t>
  </si>
  <si>
    <t>Unitat</t>
  </si>
  <si>
    <t xml:space="preserve">Endeutament per habitant </t>
  </si>
  <si>
    <t>Euros per habitant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</si>
  <si>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Deute viu a 31 de desembre / nº d'habitants</t>
    </r>
  </si>
  <si>
    <t>Evolució temporal del deute</t>
  </si>
  <si>
    <t>Milions d'euros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</si>
  <si>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Deute viu a 31 de desembre</t>
    </r>
  </si>
  <si>
    <r>
      <t>Capacitat de retorn del deute amb ingressos corrents (</t>
    </r>
    <r>
      <rPr>
        <b/>
        <u/>
        <sz val="12"/>
        <color theme="3"/>
        <rFont val="Calibri"/>
        <family val="2"/>
        <scheme val="minor"/>
      </rPr>
      <t>en termes SEC</t>
    </r>
    <r>
      <rPr>
        <b/>
        <sz val="12"/>
        <color theme="3"/>
        <rFont val="Calibri"/>
        <family val="2"/>
        <scheme val="minor"/>
      </rPr>
      <t>)</t>
    </r>
  </si>
  <si>
    <t>%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</si>
  <si>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Deute viu a 31 de desembre / Drets reconeguts (capítols 1 a 5) (en termes SEC)</t>
    </r>
  </si>
  <si>
    <t>Cost mitjà del deute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</si>
  <si>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Interessos meritats / saldo (deute) mig disposat</t>
    </r>
  </si>
  <si>
    <t>Vida mitjana del deute</t>
  </si>
  <si>
    <t>Anys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</si>
  <si>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Saldo (deute) x dies acumulat / Saldo viu (deute) / 365</t>
    </r>
  </si>
  <si>
    <t>Endeutament relatiu</t>
  </si>
  <si>
    <t>INDICADORS D'OPERACIONS CORRENTS</t>
  </si>
  <si>
    <t>Ingressos corrents per habitant</t>
  </si>
  <si>
    <t>Ingressos fiscals per habitant</t>
  </si>
  <si>
    <t>Despeses corrents per habitant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</si>
  <si>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(capítols 1 a 5) / nº d'habitants</t>
    </r>
  </si>
  <si>
    <t>Despeses financeres (interessos) per habitant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</si>
  <si>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 3) / nº d'habitants</t>
    </r>
  </si>
  <si>
    <t>Pes relatiu de les despeses financeres</t>
  </si>
  <si>
    <t>% d'estalvi corrent envers els ingressos corrents</t>
  </si>
  <si>
    <r>
      <t>% d'estalvi corrent envers els ingressos corrents (</t>
    </r>
    <r>
      <rPr>
        <b/>
        <u/>
        <sz val="12"/>
        <color theme="3"/>
        <rFont val="Calibri"/>
        <family val="2"/>
        <scheme val="minor"/>
      </rPr>
      <t>en termes SEC</t>
    </r>
    <r>
      <rPr>
        <b/>
        <sz val="12"/>
        <color theme="3"/>
        <rFont val="Calibri"/>
        <family val="2"/>
        <scheme val="minor"/>
      </rPr>
      <t>)</t>
    </r>
  </si>
  <si>
    <t>Fórmula: (Ingressos corrents SEC - Despeses corrents SEC) / Ingressos corrents SEC</t>
  </si>
  <si>
    <t>INDICADORS D'OPERACIONS DE CAPITAL</t>
  </si>
  <si>
    <t>Inversió (operacions de capital) per habitant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</si>
  <si>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(capítols 6 i 7) / nº d'habitants</t>
    </r>
  </si>
  <si>
    <t>Inversió directa per habitant*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</si>
  <si>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 6) / nº d'habitants</t>
    </r>
  </si>
  <si>
    <t xml:space="preserve">*El criteri d'imputació de les despeses de capítol 6 ha patit una variació al llarg del temps, on s'ha tendit a passar d'imputar del capítol 7 al capítol 6 els encàrrecs d'inversió a les entitats dependents. </t>
  </si>
  <si>
    <t>Esforç inversor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</si>
  <si>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:Obligacions reconegudes (capítols 6 i 7) / Obligacions reconegudes totals</t>
    </r>
  </si>
  <si>
    <t>% d'ingressos derivats de l'urbanisme envers el pressupost total d'ingressos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</si>
  <si>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:Drets reconeguts nets(ICIO, llicències urbanístiques i d'obres, taxes d'informes, planols i certificats urbanistics, costos d'urbanització, reparcel·lacions, càrregues urbanístiques i  cessió d'aprofitament urbanístic ) / Drets reconeguts (capítols 1 a 9)</t>
    </r>
  </si>
  <si>
    <t>% de despeses derivades de l'urbanisme envers el pressupost total de despeses*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</si>
  <si>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(grup de programa "Urbanisme") / obligacions reconegudes (capítols 1 a 9)</t>
    </r>
  </si>
  <si>
    <t>*El criteri d'imputació als programes relacionats amb l'urbanisme sobreestima aquest import. A partir de 2012 es canviar el criteri d'assignació de recursos a programes.</t>
  </si>
  <si>
    <t>Aigua i clavegueram Total</t>
  </si>
  <si>
    <t>Aparcaments</t>
  </si>
  <si>
    <t>Diversos Total</t>
  </si>
  <si>
    <t>Energia</t>
  </si>
  <si>
    <t>Infraestructures Total</t>
  </si>
  <si>
    <t>Parcs</t>
  </si>
  <si>
    <t>Residus Total</t>
  </si>
  <si>
    <t>Verd urbà i zones forestals</t>
  </si>
  <si>
    <t>Vials Total</t>
  </si>
  <si>
    <t xml:space="preserve">TOTAL inversions a l'espai públic per habitant </t>
  </si>
  <si>
    <r>
      <rPr>
        <b/>
        <sz val="8"/>
        <color theme="4" tint="-0.249977111117893"/>
        <rFont val="Calibri"/>
        <family val="2"/>
        <scheme val="minor"/>
      </rPr>
      <t>Fórmula:</t>
    </r>
    <r>
      <rPr>
        <sz val="8"/>
        <color theme="4" tint="-0.249977111117893"/>
        <rFont val="Calibri"/>
        <family val="2"/>
        <scheme val="minor"/>
      </rPr>
      <t xml:space="preserve"> xxx / nº d'habitants</t>
    </r>
  </si>
  <si>
    <t>*Abans de 2013 no es classificaven les inversions en aquestes tipologies</t>
  </si>
  <si>
    <t>EXECUCIÓ I MAGNITUD GLOBAL D'INGRESSOS I DESPESES</t>
  </si>
  <si>
    <t>Execució del pressupost d'ingressos</t>
  </si>
  <si>
    <r>
      <rPr>
        <b/>
        <sz val="8"/>
        <color theme="3"/>
        <rFont val="Calibri"/>
        <family val="2"/>
        <scheme val="minor"/>
      </rPr>
      <t>Fórmula:</t>
    </r>
    <r>
      <rPr>
        <sz val="8"/>
        <color theme="3"/>
        <rFont val="Calibri"/>
        <family val="2"/>
        <scheme val="minor"/>
      </rPr>
      <t xml:space="preserve"> Drets reconeguts nets / Previsions definitives totals</t>
    </r>
  </si>
  <si>
    <t>Execució dels ingressos corrents</t>
  </si>
  <si>
    <t>Fórmula: Drets reconeguts nets(capítols 1 a 5) / Previsions definitives (capítols 1 a 5)</t>
  </si>
  <si>
    <t>Execució dels ingressos de capital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</si>
  <si>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Drets reconeguts (capítols 6 i 7) / Previsions definitives (capítols 6 i 7)</t>
    </r>
  </si>
  <si>
    <t>Execució del pressupost de despeses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</si>
  <si>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totals / Crèdits definitius totals</t>
    </r>
  </si>
  <si>
    <t>Execució de les despeses corrents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</si>
  <si>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(capítols 1 a 4) / Crèdits definitius (capítols 1 a 4)</t>
    </r>
  </si>
  <si>
    <t>Execució de les despeses de capital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</si>
  <si>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(capítols 6 i 7) / Crèdits definitius (capítols 6 i 7)</t>
    </r>
  </si>
  <si>
    <t>Cal tenir en compte que al 2012 s'han retingut 40 milions d'euros en el capítol 6 per tal de complir amb el Programa Econòmic-Financer. El crèdit definitiu del capítol 6 incorpora aquesta baixa pel càlcul d'aquest indicador.</t>
  </si>
  <si>
    <t>Despeses no financeres per habitant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</si>
  <si>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(capítols 1 a 7) / nº d'habitants</t>
    </r>
  </si>
  <si>
    <t>ES OBLIGAT</t>
  </si>
  <si>
    <t>Despesa total per habitant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</si>
  <si>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(capítols 1 a 9) / nº d'habitants</t>
    </r>
  </si>
  <si>
    <t>AUTONOMIA FISCAL I FINANCERA</t>
  </si>
  <si>
    <t>Autonomia fiscal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</si>
  <si>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Drets reconeguts nets(capítols 1 a 3) /Drets reconeguts nets (capítols 1 a 9)</t>
    </r>
  </si>
  <si>
    <t>Grau de dependència financera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</si>
  <si>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Drets reconeguts nets(capítols 4 i 7) / Drets reconeguts nets (capítols 1 a 7)</t>
    </r>
  </si>
  <si>
    <t>POSICIÓ PRESSUPOSTÀRIA (SUPERÀVIT/DÈFICIT)</t>
  </si>
  <si>
    <t>Superàvit/dèficit per habitant (en termes de resultat pressupostari ajustat)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</si>
  <si>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Resultat pressupostari ajustat / nº d'habitants</t>
    </r>
  </si>
  <si>
    <t>Saldo d'operacions no financeres per habitant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</si>
  <si>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Drets reconeguts nets (capítols 1 a 7) - Obligacions reconegudes (capítols 1 a 7) / nº d'habitants</t>
    </r>
  </si>
  <si>
    <t>Superàvit / Dèficit (CNF) en termes SEC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</si>
  <si>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:Superàvit o dèficit en termes SEC</t>
    </r>
  </si>
  <si>
    <t>Superàvit / Dèficit (CNF) per habitant en termes SEC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</si>
  <si>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Superàvit o dèficit (en termes SEC) / nº d'habitants</t>
    </r>
  </si>
  <si>
    <t>Superàvit / Dèficit (CNF) en relació als ingressos no financers en termes SEC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</si>
  <si>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Superàvit o dèficit (en termes SEC) / ingressos no financers (en termes SEC)</t>
    </r>
  </si>
  <si>
    <t>PAGAMENTS I COBRAMENTS (EXERCICI corrent)</t>
  </si>
  <si>
    <t>Període mitjà de pagament</t>
  </si>
  <si>
    <t>Dies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</si>
  <si>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pendents de pagament (capítols 1 a 9) x 365 / Obligacions reconegudes (capítols 1 a 9)</t>
    </r>
  </si>
  <si>
    <t xml:space="preserve">Període promig de pagament </t>
  </si>
  <si>
    <t>--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</si>
  <si>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(∑ dies entre pagament i factura *import /total import)</t>
    </r>
  </si>
  <si>
    <t>Període mitjà de cobrament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</si>
  <si>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Drets pendents de cobrament nets(capítols 1 a 3) x 365 / Drets reconeguts (capítols 1 a 3)</t>
    </r>
  </si>
  <si>
    <t>Capacitat de retorn del deute amb ingressos corrents (en termes SEC)</t>
  </si>
  <si>
    <t>% d'estalvi corrent envers els ingressos corrents (en termes SEC)</t>
  </si>
  <si>
    <t xml:space="preserve">∑ dies entre pagament i factura *import </t>
  </si>
  <si>
    <t>total import)</t>
  </si>
  <si>
    <t xml:space="preserve"> Ingressos corrents SEC</t>
  </si>
  <si>
    <t xml:space="preserve">Deute viu a 31 de desembre </t>
  </si>
  <si>
    <t xml:space="preserve"> nº d'habitants</t>
  </si>
  <si>
    <t xml:space="preserve">Drets pendents de cobrament nets(capítols 1 a 3) x 365 </t>
  </si>
  <si>
    <t xml:space="preserve">Drets reconeguts (capítols 6 i 7) </t>
  </si>
  <si>
    <t xml:space="preserve">Drets reconeguts nets </t>
  </si>
  <si>
    <t xml:space="preserve">Drets reconeguts nets(capítols 1 a 3) </t>
  </si>
  <si>
    <t>Drets reconeguts nets (capítols 1 a 9)</t>
  </si>
  <si>
    <t xml:space="preserve">Drets reconeguts nets(capítols 1 a 5) </t>
  </si>
  <si>
    <t xml:space="preserve">Drets reconeguts nets(capítols 4 i 7) </t>
  </si>
  <si>
    <t xml:space="preserve">Interessos meritats </t>
  </si>
  <si>
    <t xml:space="preserve">Obligacions pendents de pagament (capítols 1 a 9) x 365 </t>
  </si>
  <si>
    <t xml:space="preserve">Obligacions reconegudes (capítol 3) </t>
  </si>
  <si>
    <t xml:space="preserve">Obligacions reconegudes (capítol 6) </t>
  </si>
  <si>
    <t xml:space="preserve">Obligacions reconegudes (capítols 1 a 4) </t>
  </si>
  <si>
    <t xml:space="preserve">Obligacions reconegudes (capítols 1 a 5) </t>
  </si>
  <si>
    <t xml:space="preserve">Obligacions reconegudes (capítols 1 a 7) </t>
  </si>
  <si>
    <t xml:space="preserve">Obligacions reconegudes (capítols 1 a 9) </t>
  </si>
  <si>
    <t xml:space="preserve">Obligacions reconegudes (capítols 6 i 7) </t>
  </si>
  <si>
    <t xml:space="preserve">Obligacions reconegudes (grup de programa "Urbanisme") </t>
  </si>
  <si>
    <t xml:space="preserve">Obligacions reconegudes totals </t>
  </si>
  <si>
    <t xml:space="preserve">Resultat pressupostari ajustat </t>
  </si>
  <si>
    <t xml:space="preserve">Saldo (deute) x dies acumulat </t>
  </si>
  <si>
    <t xml:space="preserve">Superàvit o dèficit (en termes SEC) </t>
  </si>
  <si>
    <t xml:space="preserve"> ingressos no financers (en termes SEC)</t>
  </si>
  <si>
    <t>Drets reconeguts nets (capítols 1 a 7)</t>
  </si>
  <si>
    <t xml:space="preserve">Saldo viu (deute) </t>
  </si>
  <si>
    <t>saldo (deute) mig disposat</t>
  </si>
  <si>
    <t xml:space="preserve">Despeses corrents SEC 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</si>
  <si>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Deute viu a 31 de desembre / Drets liquidats (capítols 1 a 9)</t>
    </r>
  </si>
  <si>
    <r>
      <rPr>
        <b/>
        <sz val="8"/>
        <color theme="3"/>
        <rFont val="Calibri"/>
        <family val="2"/>
        <scheme val="minor"/>
      </rPr>
      <t xml:space="preserve">Fórmula: </t>
    </r>
    <r>
      <rPr>
        <sz val="8"/>
        <color theme="3"/>
        <rFont val="Calibri"/>
        <family val="2"/>
        <scheme val="minor"/>
      </rPr>
      <t>Drets liquidats (capítols 1 a 5) / nº d'habitants</t>
    </r>
  </si>
  <si>
    <r>
      <rPr>
        <b/>
        <sz val="8"/>
        <color theme="3"/>
        <rFont val="Calibri"/>
        <family val="2"/>
        <scheme val="minor"/>
      </rPr>
      <t xml:space="preserve">Fórmula: </t>
    </r>
    <r>
      <rPr>
        <sz val="8"/>
        <color theme="3"/>
        <rFont val="Calibri"/>
        <family val="2"/>
        <scheme val="minor"/>
      </rPr>
      <t>Dretsliquidats (capítols 1 a 3) / nº d'habitants</t>
    </r>
  </si>
  <si>
    <t xml:space="preserve">Drets liquidats (capítols 1 a 5) </t>
  </si>
  <si>
    <t xml:space="preserve">Drets liquidats (capítols 1 a 3) </t>
  </si>
  <si>
    <r>
      <rPr>
        <b/>
        <sz val="8"/>
        <color theme="3"/>
        <rFont val="Calibri"/>
        <family val="2"/>
        <scheme val="minor"/>
      </rPr>
      <t xml:space="preserve">Fórmula: </t>
    </r>
    <r>
      <rPr>
        <sz val="8"/>
        <color theme="3"/>
        <rFont val="Calibri"/>
        <family val="2"/>
        <scheme val="minor"/>
      </rPr>
      <t>Drets reconeguts nets(capítols 1 a 5) - Obligacions reconegudes (capítols 1 a 5) / Drets liquidats  (capítols 1 a 5)</t>
    </r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</si>
  <si>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 3) / Drets liquidats  (capítols 1 a 5)</t>
    </r>
  </si>
  <si>
    <t>Obligacions reconegudes totals</t>
  </si>
  <si>
    <t>x</t>
  </si>
  <si>
    <t>Drets liquidats (capítols 1 a 9)</t>
  </si>
  <si>
    <t>Drets reconeguts (capítols 1 a 5) (en termes SEC)</t>
  </si>
  <si>
    <t>Drets reconeguts (capítols 1 a 9)</t>
  </si>
  <si>
    <t>Drets reconeguts (capítols 1 a 3)</t>
  </si>
  <si>
    <t>Obligacions reconegudes (capítols 1 a 9)</t>
  </si>
  <si>
    <t>Drets reconeguts nets(ICIO, llicències urbanístiques i d'obres, taxes d'informes, planols i certificats urbanistics, costos d'urbanització, reparcel·lacions, càrregues urbanístiques i  cessió d'aprofitament urbanístic ) *</t>
  </si>
  <si>
    <t>29000</t>
  </si>
  <si>
    <t>Impost s/ construccions, instal·lacions</t>
  </si>
  <si>
    <t>32100</t>
  </si>
  <si>
    <t>Taxes per llicències d'obres</t>
  </si>
  <si>
    <t>32300</t>
  </si>
  <si>
    <t>Taxa inspecció d'execució d'obres</t>
  </si>
  <si>
    <t>32301</t>
  </si>
  <si>
    <t>Taxes informes, planols i certificats ur (SIR)</t>
  </si>
  <si>
    <t>32302</t>
  </si>
  <si>
    <t>Taxes informes, planols i certificats ur (SAP)</t>
  </si>
  <si>
    <t>39612</t>
  </si>
  <si>
    <t>Càrregues urbanístiques</t>
  </si>
  <si>
    <t>39700</t>
  </si>
  <si>
    <t>Cessió per aprofitament urbanístic (10%)</t>
  </si>
  <si>
    <t>Previsions definitives totals</t>
  </si>
  <si>
    <t>Previsions definitives (capítols 1 a 5)</t>
  </si>
  <si>
    <t>Previsions definitives (capítols 6 i 7)</t>
  </si>
  <si>
    <t>Crèdits definitius totals</t>
  </si>
  <si>
    <t>Crèdits definitius (capítols 1 a 4)</t>
  </si>
  <si>
    <t>Crèdits definitius (capítols 6 i 7)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</si>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</sst>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.0"/>
    <numFmt numFmtId="165" formatCode="#,##0.0,,"/>
    <numFmt numFmtId="166" formatCode="0.0%"/>
    <numFmt numFmtId="167" formatCode="0.0"/>
  </numFmts>
  <fonts count="4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14"/>
      <color theme="3"/>
      <name val="Candara"/>
      <family val="2"/>
    </font>
    <font>
      <b/>
      <sz val="12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u/>
      <sz val="12"/>
      <color theme="3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10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10"/>
      <color theme="0"/>
      <name val="Arial"/>
      <family val="2"/>
    </font>
    <font>
      <b/>
      <sz val="16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0"/>
      <color theme="9" tint="-0.499984740745262"/>
      <name val="Arial"/>
      <family val="2"/>
    </font>
    <font>
      <sz val="10"/>
      <color rgb="FFC0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99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theme="3"/>
      </left>
      <right style="thin">
        <color theme="4"/>
      </right>
      <top style="thick">
        <color theme="3"/>
      </top>
      <bottom/>
      <diagonal/>
    </border>
    <border>
      <left style="thin">
        <color theme="4"/>
      </left>
      <right style="thin">
        <color theme="4"/>
      </right>
      <top style="thick">
        <color theme="3"/>
      </top>
      <bottom/>
      <diagonal/>
    </border>
    <border>
      <left style="thin">
        <color theme="4"/>
      </left>
      <right/>
      <top style="thick">
        <color theme="3"/>
      </top>
      <bottom/>
      <diagonal/>
    </border>
    <border>
      <left style="thin">
        <color theme="4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ck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4"/>
      </right>
      <top/>
      <bottom style="thick">
        <color theme="3"/>
      </bottom>
      <diagonal/>
    </border>
    <border>
      <left style="thin">
        <color theme="4"/>
      </left>
      <right style="thin">
        <color theme="4"/>
      </right>
      <top/>
      <bottom style="thick">
        <color theme="3"/>
      </bottom>
      <diagonal/>
    </border>
    <border>
      <left style="thin">
        <color theme="4"/>
      </left>
      <right/>
      <top/>
      <bottom style="thick">
        <color theme="3"/>
      </bottom>
      <diagonal/>
    </border>
    <border>
      <left style="thin">
        <color theme="4" tint="-0.249977111117893"/>
      </left>
      <right/>
      <top/>
      <bottom style="thick">
        <color theme="3"/>
      </bottom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  <border>
      <left style="thin">
        <color theme="4"/>
      </left>
      <right style="thin">
        <color theme="4" tint="-0.249977111117893"/>
      </right>
      <top/>
      <bottom/>
      <diagonal/>
    </border>
    <border>
      <left style="thin">
        <color theme="4"/>
      </left>
      <right style="thin">
        <color theme="4" tint="-0.249977111117893"/>
      </right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ck">
        <color theme="3"/>
      </bottom>
      <diagonal/>
    </border>
    <border>
      <left style="thin">
        <color theme="4"/>
      </left>
      <right/>
      <top style="thick">
        <color theme="3"/>
      </top>
      <bottom style="thick">
        <color theme="4" tint="-0.249977111117893"/>
      </bottom>
      <diagonal/>
    </border>
    <border>
      <left/>
      <right/>
      <top style="thick">
        <color theme="3"/>
      </top>
      <bottom style="thick">
        <color theme="4" tint="-0.249977111117893"/>
      </bottom>
      <diagonal/>
    </border>
    <border>
      <left/>
      <right style="thin">
        <color theme="4"/>
      </right>
      <top style="thick">
        <color theme="3"/>
      </top>
      <bottom style="thick">
        <color theme="4" tint="-0.249977111117893"/>
      </bottom>
      <diagonal/>
    </border>
    <border>
      <left style="thick">
        <color theme="4" tint="-0.249977111117893"/>
      </left>
      <right style="thin">
        <color theme="4" tint="-0.249977111117893"/>
      </right>
      <top style="thick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ck">
        <color theme="4" tint="-0.249977111117893"/>
      </top>
      <bottom/>
      <diagonal/>
    </border>
    <border>
      <left style="thin">
        <color theme="4" tint="-0.249977111117893"/>
      </left>
      <right/>
      <top style="thick">
        <color theme="4" tint="-0.249977111117893"/>
      </top>
      <bottom/>
      <diagonal/>
    </border>
    <border>
      <left/>
      <right/>
      <top style="thick">
        <color theme="4" tint="-0.249977111117893"/>
      </top>
      <bottom/>
      <diagonal/>
    </border>
    <border>
      <left/>
      <right style="thin">
        <color theme="4" tint="-0.249977111117893"/>
      </right>
      <top style="thick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ck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ck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ck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ck">
        <color theme="4" tint="-0.249977111117893"/>
      </left>
      <right/>
      <top style="thin">
        <color theme="4" tint="-0.249977111117893"/>
      </top>
      <bottom/>
      <diagonal/>
    </border>
    <border>
      <left style="thick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ck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ck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ck">
        <color theme="4" tint="-0.249977111117893"/>
      </bottom>
      <diagonal/>
    </border>
    <border>
      <left style="thin">
        <color theme="4" tint="-0.249977111117893"/>
      </left>
      <right/>
      <top/>
      <bottom style="thick">
        <color theme="4" tint="-0.249977111117893"/>
      </bottom>
      <diagonal/>
    </border>
    <border>
      <left/>
      <right/>
      <top/>
      <bottom style="thick">
        <color theme="4" tint="-0.249977111117893"/>
      </bottom>
      <diagonal/>
    </border>
    <border>
      <left/>
      <right style="thin">
        <color theme="4" tint="-0.249977111117893"/>
      </right>
      <top/>
      <bottom style="thick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ck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ck">
        <color theme="4" tint="-0.249977111117893"/>
      </bottom>
      <diagonal/>
    </border>
    <border>
      <left/>
      <right style="thin">
        <color theme="4"/>
      </right>
      <top/>
      <bottom/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/>
      <diagonal/>
    </border>
    <border>
      <left/>
      <right style="thin">
        <color theme="4"/>
      </right>
      <top/>
      <bottom style="thick">
        <color theme="3"/>
      </bottom>
      <diagonal/>
    </border>
    <border>
      <left style="thick">
        <color theme="4" tint="-0.24994659260841701"/>
      </left>
      <right style="thick">
        <color theme="4" tint="-0.24994659260841701"/>
      </right>
      <top/>
      <bottom style="thick">
        <color theme="4" tint="-0.24994659260841701"/>
      </bottom>
      <diagonal/>
    </border>
    <border>
      <left/>
      <right style="thin">
        <color theme="4"/>
      </right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thin">
        <color rgb="FF002060"/>
      </right>
      <top style="medium">
        <color theme="3"/>
      </top>
      <bottom style="medium">
        <color theme="3"/>
      </bottom>
      <diagonal/>
    </border>
    <border>
      <left style="thin">
        <color rgb="FF002060"/>
      </left>
      <right style="thin">
        <color rgb="FF002060"/>
      </right>
      <top style="medium">
        <color theme="3"/>
      </top>
      <bottom style="medium">
        <color theme="3"/>
      </bottom>
      <diagonal/>
    </border>
    <border>
      <left/>
      <right style="thin">
        <color theme="4"/>
      </right>
      <top style="medium">
        <color theme="3"/>
      </top>
      <bottom style="medium">
        <color theme="3"/>
      </bottom>
      <diagonal/>
    </border>
    <border>
      <left style="thin">
        <color theme="4"/>
      </left>
      <right style="thin">
        <color theme="4"/>
      </right>
      <top style="medium">
        <color theme="3"/>
      </top>
      <bottom style="medium">
        <color theme="3"/>
      </bottom>
      <diagonal/>
    </border>
    <border>
      <left style="thin">
        <color theme="4"/>
      </left>
      <right/>
      <top style="medium">
        <color theme="3"/>
      </top>
      <bottom style="medium">
        <color theme="3"/>
      </bottom>
      <diagonal/>
    </border>
    <border>
      <left style="thin">
        <color theme="4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rgb="FF002060"/>
      </right>
      <top style="medium">
        <color theme="3"/>
      </top>
      <bottom/>
      <diagonal/>
    </border>
    <border>
      <left style="thin">
        <color theme="3"/>
      </left>
      <right style="medium">
        <color rgb="FF002060"/>
      </right>
      <top/>
      <bottom style="thick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/>
      <diagonal/>
    </border>
    <border>
      <left style="thin">
        <color theme="3"/>
      </left>
      <right style="thick">
        <color theme="3"/>
      </right>
      <top/>
      <bottom style="thick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medium">
        <color theme="3"/>
      </right>
      <top style="medium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4" tint="-0.24994659260841701"/>
      </right>
      <top style="thick">
        <color theme="3"/>
      </top>
      <bottom/>
      <diagonal/>
    </border>
    <border>
      <left style="thin">
        <color theme="3"/>
      </left>
      <right style="thick">
        <color theme="4" tint="-0.24994659260841701"/>
      </right>
      <top/>
      <bottom style="thick">
        <color theme="3"/>
      </bottom>
      <diagonal/>
    </border>
    <border>
      <left style="thin">
        <color theme="4" tint="-0.249977111117893"/>
      </left>
      <right style="thin">
        <color theme="3"/>
      </right>
      <top style="medium">
        <color theme="3"/>
      </top>
      <bottom/>
      <diagonal/>
    </border>
    <border>
      <left style="thin">
        <color theme="4" tint="-0.249977111117893"/>
      </left>
      <right style="thin">
        <color theme="3"/>
      </right>
      <top/>
      <bottom style="thick">
        <color theme="3"/>
      </bottom>
      <diagonal/>
    </border>
    <border>
      <left style="thin">
        <color theme="4" tint="-0.249977111117893"/>
      </left>
      <right style="thin">
        <color theme="3"/>
      </right>
      <top/>
      <bottom/>
      <diagonal/>
    </border>
    <border>
      <left style="thin">
        <color theme="4"/>
      </left>
      <right style="thin">
        <color theme="3"/>
      </right>
      <top style="thick">
        <color theme="4" tint="-0.249977111117893"/>
      </top>
      <bottom/>
      <diagonal/>
    </border>
    <border>
      <left style="thin">
        <color theme="4"/>
      </left>
      <right style="thin">
        <color theme="3"/>
      </right>
      <top/>
      <bottom style="thick">
        <color theme="3"/>
      </bottom>
      <diagonal/>
    </border>
    <border>
      <left style="thin">
        <color theme="4"/>
      </left>
      <right style="thin">
        <color theme="3"/>
      </right>
      <top/>
      <bottom/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5">
    <xf numFmtId="0" fontId="0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9" fillId="0" borderId="0"/>
    <xf numFmtId="0" fontId="2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5" fillId="2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8" fillId="5" borderId="4" applyNumberFormat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39" fillId="0" borderId="0"/>
    <xf numFmtId="0" fontId="3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255">
    <xf numFmtId="0" fontId="0" fillId="0" borderId="0" xfId="0"/>
    <xf numFmtId="0" fontId="0" fillId="33" borderId="0" xfId="0" applyFill="1"/>
    <xf numFmtId="3" fontId="18" fillId="33" borderId="0" xfId="0" applyNumberFormat="1" applyFont="1" applyFill="1" applyBorder="1"/>
    <xf numFmtId="0" fontId="19" fillId="33" borderId="0" xfId="0" applyFont="1" applyFill="1"/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1" fillId="33" borderId="15" xfId="0" applyFont="1" applyFill="1" applyBorder="1" applyAlignment="1">
      <alignment horizontal="left" vertical="center" wrapText="1" indent="1"/>
    </xf>
    <xf numFmtId="0" fontId="23" fillId="0" borderId="20" xfId="0" applyFont="1" applyBorder="1" applyAlignment="1">
      <alignment horizontal="left" vertical="center" indent="1"/>
    </xf>
    <xf numFmtId="0" fontId="26" fillId="35" borderId="0" xfId="0" applyFont="1" applyFill="1" applyBorder="1"/>
    <xf numFmtId="0" fontId="23" fillId="0" borderId="20" xfId="0" applyFont="1" applyFill="1" applyBorder="1" applyAlignment="1">
      <alignment horizontal="left" vertical="center" wrapText="1" indent="1"/>
    </xf>
    <xf numFmtId="43" fontId="26" fillId="35" borderId="0" xfId="1" applyFont="1" applyFill="1" applyBorder="1"/>
    <xf numFmtId="0" fontId="20" fillId="34" borderId="1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left" vertical="center" wrapText="1" indent="1"/>
    </xf>
    <xf numFmtId="0" fontId="0" fillId="33" borderId="0" xfId="0" applyFill="1" applyBorder="1"/>
    <xf numFmtId="4" fontId="27" fillId="33" borderId="0" xfId="0" applyNumberFormat="1" applyFont="1" applyFill="1" applyBorder="1"/>
    <xf numFmtId="0" fontId="0" fillId="33" borderId="0" xfId="0" applyFill="1" applyBorder="1" applyAlignment="1">
      <alignment vertical="center"/>
    </xf>
    <xf numFmtId="0" fontId="28" fillId="33" borderId="0" xfId="0" applyFont="1" applyFill="1" applyBorder="1"/>
    <xf numFmtId="0" fontId="29" fillId="33" borderId="0" xfId="0" applyFont="1" applyFill="1" applyBorder="1"/>
    <xf numFmtId="0" fontId="23" fillId="0" borderId="20" xfId="0" applyFont="1" applyBorder="1" applyAlignment="1">
      <alignment horizontal="left" vertical="center" wrapText="1" indent="1"/>
    </xf>
    <xf numFmtId="0" fontId="31" fillId="0" borderId="0" xfId="0" applyFont="1" applyFill="1"/>
    <xf numFmtId="0" fontId="26" fillId="35" borderId="0" xfId="0" applyNumberFormat="1" applyFont="1" applyFill="1" applyBorder="1"/>
    <xf numFmtId="166" fontId="0" fillId="33" borderId="0" xfId="2" applyNumberFormat="1" applyFont="1" applyFill="1"/>
    <xf numFmtId="0" fontId="20" fillId="34" borderId="30" xfId="0" applyFont="1" applyFill="1" applyBorder="1" applyAlignment="1">
      <alignment horizontal="center" vertical="center"/>
    </xf>
    <xf numFmtId="0" fontId="20" fillId="34" borderId="31" xfId="0" applyFont="1" applyFill="1" applyBorder="1" applyAlignment="1">
      <alignment horizontal="center" vertical="center"/>
    </xf>
    <xf numFmtId="0" fontId="20" fillId="34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left" vertical="center" wrapText="1" indent="1"/>
    </xf>
    <xf numFmtId="0" fontId="32" fillId="33" borderId="34" xfId="0" applyFont="1" applyFill="1" applyBorder="1" applyAlignment="1">
      <alignment horizontal="center" vertical="center" wrapText="1"/>
    </xf>
    <xf numFmtId="0" fontId="32" fillId="33" borderId="35" xfId="0" applyFont="1" applyFill="1" applyBorder="1" applyAlignment="1">
      <alignment horizontal="center" vertical="center" wrapText="1"/>
    </xf>
    <xf numFmtId="0" fontId="32" fillId="33" borderId="36" xfId="0" applyFont="1" applyFill="1" applyBorder="1" applyAlignment="1">
      <alignment horizontal="center" vertical="center" wrapText="1"/>
    </xf>
    <xf numFmtId="0" fontId="32" fillId="33" borderId="37" xfId="0" applyFont="1" applyFill="1" applyBorder="1" applyAlignment="1">
      <alignment horizontal="center" vertical="center" wrapText="1"/>
    </xf>
    <xf numFmtId="4" fontId="33" fillId="33" borderId="38" xfId="0" applyNumberFormat="1" applyFont="1" applyFill="1" applyBorder="1" applyAlignment="1">
      <alignment horizontal="center" vertical="center"/>
    </xf>
    <xf numFmtId="4" fontId="33" fillId="33" borderId="39" xfId="0" applyNumberFormat="1" applyFont="1" applyFill="1" applyBorder="1" applyAlignment="1">
      <alignment horizontal="center" vertical="center"/>
    </xf>
    <xf numFmtId="4" fontId="33" fillId="33" borderId="4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21" fillId="0" borderId="41" xfId="0" applyFont="1" applyFill="1" applyBorder="1" applyAlignment="1">
      <alignment horizontal="left" vertical="center" wrapText="1" indent="1"/>
    </xf>
    <xf numFmtId="0" fontId="32" fillId="33" borderId="28" xfId="0" applyFont="1" applyFill="1" applyBorder="1" applyAlignment="1">
      <alignment horizontal="center" vertical="center" wrapText="1"/>
    </xf>
    <xf numFmtId="0" fontId="32" fillId="33" borderId="18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center" vertical="center" wrapText="1"/>
    </xf>
    <xf numFmtId="0" fontId="32" fillId="33" borderId="42" xfId="0" applyFont="1" applyFill="1" applyBorder="1" applyAlignment="1">
      <alignment horizontal="center" vertical="center" wrapText="1"/>
    </xf>
    <xf numFmtId="4" fontId="33" fillId="33" borderId="43" xfId="0" applyNumberFormat="1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left" vertical="center" wrapText="1" indent="1"/>
    </xf>
    <xf numFmtId="0" fontId="32" fillId="33" borderId="0" xfId="0" applyFont="1" applyFill="1" applyBorder="1" applyAlignment="1">
      <alignment vertical="center"/>
    </xf>
    <xf numFmtId="0" fontId="21" fillId="0" borderId="45" xfId="0" applyFont="1" applyFill="1" applyBorder="1" applyAlignment="1">
      <alignment horizontal="left" vertical="center" wrapText="1" indent="1"/>
    </xf>
    <xf numFmtId="0" fontId="21" fillId="0" borderId="46" xfId="0" applyFont="1" applyFill="1" applyBorder="1" applyAlignment="1">
      <alignment horizontal="left" vertical="center" wrapText="1" indent="1"/>
    </xf>
    <xf numFmtId="0" fontId="32" fillId="33" borderId="47" xfId="0" applyFont="1" applyFill="1" applyBorder="1" applyAlignment="1">
      <alignment horizontal="center" vertical="center" wrapText="1"/>
    </xf>
    <xf numFmtId="0" fontId="32" fillId="33" borderId="48" xfId="0" applyFont="1" applyFill="1" applyBorder="1" applyAlignment="1">
      <alignment horizontal="center" vertical="center" wrapText="1"/>
    </xf>
    <xf numFmtId="0" fontId="32" fillId="33" borderId="49" xfId="0" applyFont="1" applyFill="1" applyBorder="1" applyAlignment="1">
      <alignment horizontal="center" vertical="center" wrapText="1"/>
    </xf>
    <xf numFmtId="0" fontId="32" fillId="33" borderId="50" xfId="0" applyFont="1" applyFill="1" applyBorder="1" applyAlignment="1">
      <alignment horizontal="center" vertical="center" wrapText="1"/>
    </xf>
    <xf numFmtId="4" fontId="33" fillId="33" borderId="51" xfId="0" applyNumberFormat="1" applyFont="1" applyFill="1" applyBorder="1" applyAlignment="1">
      <alignment horizontal="center" vertical="center"/>
    </xf>
    <xf numFmtId="4" fontId="33" fillId="33" borderId="52" xfId="0" applyNumberFormat="1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53" xfId="0" applyFont="1" applyFill="1" applyBorder="1" applyAlignment="1">
      <alignment horizontal="center" vertical="center" wrapText="1"/>
    </xf>
    <xf numFmtId="0" fontId="0" fillId="33" borderId="0" xfId="0" applyFill="1" applyBorder="1" applyAlignment="1"/>
    <xf numFmtId="0" fontId="22" fillId="33" borderId="22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55" xfId="0" applyFont="1" applyFill="1" applyBorder="1" applyAlignment="1">
      <alignment horizontal="center" vertical="center" wrapText="1"/>
    </xf>
    <xf numFmtId="166" fontId="22" fillId="33" borderId="0" xfId="2" applyNumberFormat="1" applyFont="1" applyFill="1" applyBorder="1" applyAlignment="1">
      <alignment horizontal="center" vertical="center"/>
    </xf>
    <xf numFmtId="0" fontId="19" fillId="33" borderId="0" xfId="0" applyFont="1" applyFill="1" applyBorder="1"/>
    <xf numFmtId="0" fontId="31" fillId="33" borderId="0" xfId="0" applyFont="1" applyFill="1"/>
    <xf numFmtId="4" fontId="26" fillId="35" borderId="0" xfId="0" applyNumberFormat="1" applyFont="1" applyFill="1" applyBorder="1"/>
    <xf numFmtId="4" fontId="36" fillId="33" borderId="0" xfId="0" applyNumberFormat="1" applyFont="1" applyFill="1" applyBorder="1"/>
    <xf numFmtId="4" fontId="29" fillId="33" borderId="0" xfId="0" applyNumberFormat="1" applyFont="1" applyFill="1" applyBorder="1"/>
    <xf numFmtId="0" fontId="0" fillId="33" borderId="0" xfId="0" applyFill="1" applyAlignment="1"/>
    <xf numFmtId="4" fontId="29" fillId="33" borderId="0" xfId="4" applyNumberFormat="1" applyFont="1" applyFill="1"/>
    <xf numFmtId="164" fontId="0" fillId="33" borderId="0" xfId="0" applyNumberFormat="1" applyFill="1" applyBorder="1"/>
    <xf numFmtId="4" fontId="27" fillId="33" borderId="0" xfId="0" applyNumberFormat="1" applyFont="1" applyFill="1" applyBorder="1" applyAlignment="1">
      <alignment vertical="center"/>
    </xf>
    <xf numFmtId="0" fontId="0" fillId="33" borderId="0" xfId="1" applyNumberFormat="1" applyFont="1" applyFill="1" applyBorder="1"/>
    <xf numFmtId="43" fontId="0" fillId="33" borderId="0" xfId="0" applyNumberFormat="1" applyFill="1" applyBorder="1"/>
    <xf numFmtId="0" fontId="0" fillId="33" borderId="0" xfId="0" quotePrefix="1" applyFill="1" applyBorder="1"/>
    <xf numFmtId="9" fontId="0" fillId="33" borderId="0" xfId="2" applyFont="1" applyFill="1" applyBorder="1" applyAlignment="1">
      <alignment vertical="center"/>
    </xf>
    <xf numFmtId="9" fontId="0" fillId="33" borderId="0" xfId="2" applyFont="1" applyFill="1" applyBorder="1"/>
    <xf numFmtId="4" fontId="29" fillId="33" borderId="0" xfId="0" applyNumberFormat="1" applyFont="1" applyFill="1" applyBorder="1" applyAlignment="1">
      <alignment vertical="center"/>
    </xf>
    <xf numFmtId="166" fontId="0" fillId="33" borderId="0" xfId="0" applyNumberFormat="1" applyFill="1" applyBorder="1"/>
    <xf numFmtId="0" fontId="0" fillId="33" borderId="0" xfId="0" applyFill="1" applyBorder="1" applyAlignment="1">
      <alignment horizontal="left"/>
    </xf>
    <xf numFmtId="0" fontId="0" fillId="33" borderId="0" xfId="0" applyNumberFormat="1" applyFill="1" applyBorder="1"/>
    <xf numFmtId="0" fontId="29" fillId="33" borderId="0" xfId="3" applyFill="1" applyBorder="1" applyAlignment="1">
      <alignment vertical="top"/>
    </xf>
    <xf numFmtId="43" fontId="26" fillId="35" borderId="0" xfId="0" applyNumberFormat="1" applyFont="1" applyFill="1" applyBorder="1"/>
    <xf numFmtId="4" fontId="0" fillId="33" borderId="0" xfId="0" applyNumberFormat="1" applyFill="1" applyBorder="1"/>
    <xf numFmtId="0" fontId="37" fillId="33" borderId="0" xfId="0" applyFont="1" applyFill="1" applyBorder="1"/>
    <xf numFmtId="0" fontId="38" fillId="33" borderId="0" xfId="0" applyFont="1" applyFill="1" applyBorder="1"/>
    <xf numFmtId="0" fontId="40" fillId="33" borderId="0" xfId="0" applyFont="1" applyFill="1"/>
    <xf numFmtId="166" fontId="22" fillId="33" borderId="0" xfId="2" applyNumberFormat="1" applyFont="1" applyFill="1" applyBorder="1" applyAlignment="1">
      <alignment horizontal="center" vertical="center"/>
    </xf>
    <xf numFmtId="0" fontId="20" fillId="34" borderId="57" xfId="0" applyFont="1" applyFill="1" applyBorder="1" applyAlignment="1">
      <alignment horizontal="center" vertical="center"/>
    </xf>
    <xf numFmtId="0" fontId="20" fillId="34" borderId="62" xfId="0" applyFont="1" applyFill="1" applyBorder="1" applyAlignment="1">
      <alignment horizontal="center" vertical="center"/>
    </xf>
    <xf numFmtId="0" fontId="20" fillId="34" borderId="63" xfId="0" applyFont="1" applyFill="1" applyBorder="1" applyAlignment="1">
      <alignment horizontal="center" vertical="center"/>
    </xf>
    <xf numFmtId="0" fontId="20" fillId="34" borderId="64" xfId="0" applyFont="1" applyFill="1" applyBorder="1" applyAlignment="1">
      <alignment horizontal="center" vertical="center"/>
    </xf>
    <xf numFmtId="0" fontId="20" fillId="34" borderId="65" xfId="0" applyFont="1" applyFill="1" applyBorder="1" applyAlignment="1">
      <alignment horizontal="center" vertical="center"/>
    </xf>
    <xf numFmtId="0" fontId="20" fillId="34" borderId="66" xfId="0" applyFont="1" applyFill="1" applyBorder="1" applyAlignment="1">
      <alignment horizontal="center" vertical="center"/>
    </xf>
    <xf numFmtId="0" fontId="20" fillId="34" borderId="67" xfId="0" applyFont="1" applyFill="1" applyBorder="1" applyAlignment="1">
      <alignment horizontal="center" vertical="center"/>
    </xf>
    <xf numFmtId="0" fontId="20" fillId="34" borderId="68" xfId="0" applyFont="1" applyFill="1" applyBorder="1" applyAlignment="1">
      <alignment horizontal="center" vertical="center"/>
    </xf>
    <xf numFmtId="0" fontId="20" fillId="34" borderId="61" xfId="0" applyFont="1" applyFill="1" applyBorder="1" applyAlignment="1">
      <alignment horizontal="center" vertical="center"/>
    </xf>
    <xf numFmtId="0" fontId="20" fillId="34" borderId="73" xfId="0" applyFont="1" applyFill="1" applyBorder="1" applyAlignment="1">
      <alignment horizontal="center" vertical="center"/>
    </xf>
    <xf numFmtId="4" fontId="0" fillId="0" borderId="75" xfId="0" applyNumberFormat="1" applyBorder="1" applyAlignment="1"/>
    <xf numFmtId="0" fontId="20" fillId="34" borderId="76" xfId="0" applyFont="1" applyFill="1" applyBorder="1" applyAlignment="1">
      <alignment horizontal="center" vertical="center"/>
    </xf>
    <xf numFmtId="4" fontId="33" fillId="33" borderId="74" xfId="0" applyNumberFormat="1" applyFont="1" applyFill="1" applyBorder="1" applyAlignment="1">
      <alignment horizontal="center" vertical="center"/>
    </xf>
    <xf numFmtId="4" fontId="33" fillId="33" borderId="77" xfId="0" applyNumberFormat="1" applyFont="1" applyFill="1" applyBorder="1" applyAlignment="1">
      <alignment horizontal="center" vertical="center"/>
    </xf>
    <xf numFmtId="166" fontId="22" fillId="33" borderId="0" xfId="2" applyNumberFormat="1" applyFont="1" applyFill="1" applyBorder="1" applyAlignment="1">
      <alignment horizontal="center" vertical="center"/>
    </xf>
    <xf numFmtId="0" fontId="0" fillId="0" borderId="0" xfId="0" applyFill="1"/>
    <xf numFmtId="0" fontId="0" fillId="36" borderId="0" xfId="0" applyFill="1"/>
    <xf numFmtId="0" fontId="0" fillId="37" borderId="0" xfId="0" applyFill="1"/>
    <xf numFmtId="0" fontId="0" fillId="38" borderId="0" xfId="0" applyFill="1"/>
    <xf numFmtId="0" fontId="0" fillId="38" borderId="0" xfId="0" applyFill="1" applyBorder="1"/>
    <xf numFmtId="0" fontId="0" fillId="39" borderId="0" xfId="0" applyFill="1"/>
    <xf numFmtId="0" fontId="0" fillId="40" borderId="0" xfId="0" applyFill="1"/>
    <xf numFmtId="0" fontId="0" fillId="39" borderId="0" xfId="0" applyFill="1" applyBorder="1"/>
    <xf numFmtId="0" fontId="0" fillId="41" borderId="0" xfId="0" applyFill="1"/>
    <xf numFmtId="0" fontId="0" fillId="42" borderId="0" xfId="0" applyFill="1"/>
    <xf numFmtId="0" fontId="0" fillId="43" borderId="0" xfId="0" applyFill="1"/>
    <xf numFmtId="0" fontId="0" fillId="44" borderId="0" xfId="0" applyFill="1"/>
    <xf numFmtId="166" fontId="0" fillId="0" borderId="0" xfId="2" applyNumberFormat="1" applyFont="1"/>
    <xf numFmtId="0" fontId="19" fillId="33" borderId="86" xfId="0" applyFont="1" applyFill="1" applyBorder="1"/>
    <xf numFmtId="0" fontId="41" fillId="0" borderId="87" xfId="0" applyFont="1" applyBorder="1"/>
    <xf numFmtId="164" fontId="0" fillId="0" borderId="0" xfId="0" applyNumberFormat="1"/>
    <xf numFmtId="0" fontId="0" fillId="0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0" fillId="41" borderId="0" xfId="0" applyFill="1" applyAlignment="1">
      <alignment horizontal="center"/>
    </xf>
    <xf numFmtId="0" fontId="0" fillId="42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0" fillId="44" borderId="0" xfId="0" applyFill="1" applyAlignment="1">
      <alignment horizontal="center"/>
    </xf>
    <xf numFmtId="164" fontId="0" fillId="0" borderId="88" xfId="0" applyNumberFormat="1" applyBorder="1"/>
    <xf numFmtId="166" fontId="0" fillId="0" borderId="88" xfId="2" applyNumberFormat="1" applyFont="1" applyBorder="1"/>
    <xf numFmtId="0" fontId="0" fillId="0" borderId="88" xfId="0" applyBorder="1"/>
    <xf numFmtId="167" fontId="0" fillId="0" borderId="88" xfId="0" applyNumberFormat="1" applyBorder="1"/>
    <xf numFmtId="0" fontId="38" fillId="0" borderId="0" xfId="0" applyFont="1"/>
    <xf numFmtId="164" fontId="38" fillId="0" borderId="0" xfId="0" applyNumberFormat="1" applyFont="1"/>
    <xf numFmtId="3" fontId="38" fillId="0" borderId="0" xfId="0" applyNumberFormat="1" applyFont="1"/>
    <xf numFmtId="2" fontId="38" fillId="0" borderId="0" xfId="0" applyNumberFormat="1" applyFont="1"/>
    <xf numFmtId="0" fontId="0" fillId="0" borderId="0" xfId="0" applyFill="1" applyBorder="1"/>
    <xf numFmtId="0" fontId="38" fillId="0" borderId="0" xfId="0" applyFont="1" applyFill="1" applyBorder="1"/>
    <xf numFmtId="0" fontId="42" fillId="0" borderId="0" xfId="0" applyFont="1"/>
    <xf numFmtId="164" fontId="0" fillId="36" borderId="0" xfId="0" applyNumberFormat="1" applyFill="1"/>
    <xf numFmtId="164" fontId="0" fillId="43" borderId="0" xfId="0" applyNumberFormat="1" applyFill="1"/>
    <xf numFmtId="164" fontId="38" fillId="43" borderId="0" xfId="0" applyNumberFormat="1" applyFont="1" applyFill="1"/>
    <xf numFmtId="164" fontId="0" fillId="37" borderId="0" xfId="0" applyNumberFormat="1" applyFill="1"/>
    <xf numFmtId="0" fontId="43" fillId="0" borderId="0" xfId="0" applyFont="1"/>
    <xf numFmtId="167" fontId="43" fillId="0" borderId="0" xfId="0" applyNumberFormat="1" applyFont="1"/>
    <xf numFmtId="167" fontId="38" fillId="0" borderId="0" xfId="0" applyNumberFormat="1" applyFont="1"/>
    <xf numFmtId="167" fontId="0" fillId="0" borderId="0" xfId="0" applyNumberFormat="1"/>
    <xf numFmtId="0" fontId="29" fillId="0" borderId="0" xfId="0" applyFont="1" applyBorder="1"/>
    <xf numFmtId="0" fontId="29" fillId="0" borderId="0" xfId="0" applyFont="1" applyFill="1" applyBorder="1"/>
    <xf numFmtId="167" fontId="0" fillId="0" borderId="0" xfId="0" applyNumberFormat="1" applyFill="1"/>
    <xf numFmtId="4" fontId="30" fillId="0" borderId="0" xfId="0" applyNumberFormat="1" applyFont="1" applyFill="1" applyBorder="1"/>
    <xf numFmtId="164" fontId="22" fillId="0" borderId="83" xfId="0" applyNumberFormat="1" applyFont="1" applyBorder="1" applyAlignment="1">
      <alignment horizontal="center" vertical="center"/>
    </xf>
    <xf numFmtId="164" fontId="22" fillId="0" borderId="84" xfId="0" applyNumberFormat="1" applyFont="1" applyBorder="1" applyAlignment="1">
      <alignment horizontal="center" vertical="center"/>
    </xf>
    <xf numFmtId="0" fontId="22" fillId="0" borderId="82" xfId="0" applyNumberFormat="1" applyFont="1" applyBorder="1" applyAlignment="1">
      <alignment horizontal="center" vertical="center"/>
    </xf>
    <xf numFmtId="0" fontId="22" fillId="0" borderId="81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164" fontId="22" fillId="0" borderId="16" xfId="0" applyNumberFormat="1" applyFont="1" applyBorder="1" applyAlignment="1">
      <alignment horizontal="center" vertical="center"/>
    </xf>
    <xf numFmtId="164" fontId="22" fillId="0" borderId="21" xfId="0" applyNumberFormat="1" applyFont="1" applyBorder="1" applyAlignment="1">
      <alignment horizontal="center" vertical="center"/>
    </xf>
    <xf numFmtId="164" fontId="22" fillId="0" borderId="18" xfId="0" applyNumberFormat="1" applyFont="1" applyBorder="1" applyAlignment="1">
      <alignment horizontal="center" vertical="center"/>
    </xf>
    <xf numFmtId="164" fontId="22" fillId="0" borderId="23" xfId="0" applyNumberFormat="1" applyFont="1" applyBorder="1" applyAlignment="1">
      <alignment horizontal="center" vertical="center"/>
    </xf>
    <xf numFmtId="164" fontId="22" fillId="0" borderId="80" xfId="0" applyNumberFormat="1" applyFont="1" applyBorder="1" applyAlignment="1">
      <alignment horizontal="center" vertical="center"/>
    </xf>
    <xf numFmtId="164" fontId="22" fillId="0" borderId="81" xfId="0" applyNumberFormat="1" applyFont="1" applyBorder="1" applyAlignment="1">
      <alignment horizontal="center" vertical="center"/>
    </xf>
    <xf numFmtId="165" fontId="22" fillId="0" borderId="16" xfId="0" applyNumberFormat="1" applyFont="1" applyBorder="1" applyAlignment="1">
      <alignment horizontal="center" vertical="center"/>
    </xf>
    <xf numFmtId="165" fontId="22" fillId="0" borderId="21" xfId="0" applyNumberFormat="1" applyFont="1" applyBorder="1" applyAlignment="1">
      <alignment horizontal="center" vertical="center"/>
    </xf>
    <xf numFmtId="165" fontId="22" fillId="0" borderId="17" xfId="0" applyNumberFormat="1" applyFont="1" applyBorder="1" applyAlignment="1">
      <alignment horizontal="center" vertical="center"/>
    </xf>
    <xf numFmtId="165" fontId="22" fillId="0" borderId="22" xfId="0" applyNumberFormat="1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/>
    </xf>
    <xf numFmtId="166" fontId="22" fillId="0" borderId="17" xfId="2" applyNumberFormat="1" applyFont="1" applyBorder="1" applyAlignment="1">
      <alignment horizontal="center" vertical="center"/>
    </xf>
    <xf numFmtId="166" fontId="22" fillId="0" borderId="22" xfId="2" applyNumberFormat="1" applyFont="1" applyBorder="1" applyAlignment="1">
      <alignment horizontal="center" vertical="center"/>
    </xf>
    <xf numFmtId="164" fontId="22" fillId="0" borderId="17" xfId="0" applyNumberFormat="1" applyFont="1" applyBorder="1" applyAlignment="1">
      <alignment horizontal="center" vertical="center"/>
    </xf>
    <xf numFmtId="164" fontId="22" fillId="0" borderId="22" xfId="0" applyNumberFormat="1" applyFont="1" applyBorder="1" applyAlignment="1">
      <alignment horizontal="center" vertical="center"/>
    </xf>
    <xf numFmtId="166" fontId="22" fillId="0" borderId="82" xfId="2" applyNumberFormat="1" applyFont="1" applyBorder="1" applyAlignment="1">
      <alignment horizontal="center" vertical="center"/>
    </xf>
    <xf numFmtId="166" fontId="22" fillId="0" borderId="81" xfId="2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166" fontId="22" fillId="0" borderId="16" xfId="2" applyNumberFormat="1" applyFont="1" applyBorder="1" applyAlignment="1">
      <alignment horizontal="center" vertical="center"/>
    </xf>
    <xf numFmtId="166" fontId="22" fillId="0" borderId="21" xfId="2" applyNumberFormat="1" applyFont="1" applyBorder="1" applyAlignment="1">
      <alignment horizontal="center" vertical="center"/>
    </xf>
    <xf numFmtId="166" fontId="22" fillId="0" borderId="16" xfId="2" applyNumberFormat="1" applyFont="1" applyFill="1" applyBorder="1" applyAlignment="1">
      <alignment horizontal="center" vertical="center"/>
    </xf>
    <xf numFmtId="166" fontId="22" fillId="0" borderId="21" xfId="2" applyNumberFormat="1" applyFont="1" applyFill="1" applyBorder="1" applyAlignment="1">
      <alignment horizontal="center" vertical="center"/>
    </xf>
    <xf numFmtId="166" fontId="22" fillId="0" borderId="17" xfId="2" applyNumberFormat="1" applyFont="1" applyFill="1" applyBorder="1" applyAlignment="1">
      <alignment horizontal="center" vertical="center"/>
    </xf>
    <xf numFmtId="166" fontId="22" fillId="0" borderId="22" xfId="2" applyNumberFormat="1" applyFont="1" applyFill="1" applyBorder="1" applyAlignment="1">
      <alignment horizontal="center" vertical="center"/>
    </xf>
    <xf numFmtId="166" fontId="22" fillId="0" borderId="17" xfId="0" applyNumberFormat="1" applyFont="1" applyBorder="1" applyAlignment="1">
      <alignment horizontal="center" vertical="center"/>
    </xf>
    <xf numFmtId="166" fontId="22" fillId="0" borderId="22" xfId="0" applyNumberFormat="1" applyFont="1" applyBorder="1" applyAlignment="1">
      <alignment horizontal="center" vertical="center"/>
    </xf>
    <xf numFmtId="166" fontId="22" fillId="33" borderId="18" xfId="0" applyNumberFormat="1" applyFont="1" applyFill="1" applyBorder="1" applyAlignment="1">
      <alignment horizontal="center" vertical="center"/>
    </xf>
    <xf numFmtId="166" fontId="22" fillId="33" borderId="23" xfId="0" applyNumberFormat="1" applyFont="1" applyFill="1" applyBorder="1" applyAlignment="1">
      <alignment horizontal="center" vertical="center"/>
    </xf>
    <xf numFmtId="166" fontId="22" fillId="33" borderId="82" xfId="0" applyNumberFormat="1" applyFont="1" applyFill="1" applyBorder="1" applyAlignment="1">
      <alignment horizontal="center" vertical="center"/>
    </xf>
    <xf numFmtId="166" fontId="22" fillId="33" borderId="81" xfId="0" applyNumberFormat="1" applyFont="1" applyFill="1" applyBorder="1" applyAlignment="1">
      <alignment horizontal="center" vertical="center"/>
    </xf>
    <xf numFmtId="166" fontId="22" fillId="33" borderId="17" xfId="2" applyNumberFormat="1" applyFont="1" applyFill="1" applyBorder="1" applyAlignment="1">
      <alignment horizontal="center" vertical="center"/>
    </xf>
    <xf numFmtId="166" fontId="22" fillId="33" borderId="22" xfId="2" applyNumberFormat="1" applyFont="1" applyFill="1" applyBorder="1" applyAlignment="1">
      <alignment horizontal="center" vertical="center"/>
    </xf>
    <xf numFmtId="166" fontId="22" fillId="33" borderId="25" xfId="0" applyNumberFormat="1" applyFont="1" applyFill="1" applyBorder="1" applyAlignment="1">
      <alignment horizontal="center" vertical="center"/>
    </xf>
    <xf numFmtId="166" fontId="22" fillId="33" borderId="26" xfId="0" applyNumberFormat="1" applyFont="1" applyFill="1" applyBorder="1" applyAlignment="1">
      <alignment horizontal="center" vertical="center"/>
    </xf>
    <xf numFmtId="166" fontId="22" fillId="33" borderId="0" xfId="0" applyNumberFormat="1" applyFont="1" applyFill="1" applyBorder="1" applyAlignment="1">
      <alignment horizontal="center" vertical="center"/>
    </xf>
    <xf numFmtId="166" fontId="22" fillId="33" borderId="27" xfId="0" applyNumberFormat="1" applyFont="1" applyFill="1" applyBorder="1" applyAlignment="1">
      <alignment horizontal="center" vertical="center"/>
    </xf>
    <xf numFmtId="164" fontId="22" fillId="33" borderId="28" xfId="0" applyNumberFormat="1" applyFont="1" applyFill="1" applyBorder="1" applyAlignment="1">
      <alignment horizontal="center" vertical="center"/>
    </xf>
    <xf numFmtId="164" fontId="22" fillId="33" borderId="29" xfId="0" applyNumberFormat="1" applyFont="1" applyFill="1" applyBorder="1" applyAlignment="1">
      <alignment horizontal="center" vertical="center"/>
    </xf>
    <xf numFmtId="164" fontId="22" fillId="33" borderId="82" xfId="0" applyNumberFormat="1" applyFont="1" applyFill="1" applyBorder="1" applyAlignment="1">
      <alignment horizontal="center" vertical="center"/>
    </xf>
    <xf numFmtId="164" fontId="22" fillId="33" borderId="81" xfId="0" applyNumberFormat="1" applyFont="1" applyFill="1" applyBorder="1" applyAlignment="1">
      <alignment horizontal="center" vertical="center"/>
    </xf>
    <xf numFmtId="0" fontId="22" fillId="33" borderId="0" xfId="0" quotePrefix="1" applyNumberFormat="1" applyFont="1" applyFill="1" applyBorder="1" applyAlignment="1">
      <alignment horizontal="center" vertical="center"/>
    </xf>
    <xf numFmtId="0" fontId="22" fillId="33" borderId="0" xfId="0" applyNumberFormat="1" applyFont="1" applyFill="1" applyBorder="1" applyAlignment="1">
      <alignment horizontal="center" vertical="center"/>
    </xf>
    <xf numFmtId="164" fontId="22" fillId="33" borderId="17" xfId="0" applyNumberFormat="1" applyFont="1" applyFill="1" applyBorder="1" applyAlignment="1">
      <alignment horizontal="center" vertical="center"/>
    </xf>
    <xf numFmtId="164" fontId="22" fillId="33" borderId="22" xfId="0" applyNumberFormat="1" applyFont="1" applyFill="1" applyBorder="1" applyAlignment="1">
      <alignment horizontal="center" vertical="center"/>
    </xf>
    <xf numFmtId="164" fontId="22" fillId="33" borderId="25" xfId="0" applyNumberFormat="1" applyFont="1" applyFill="1" applyBorder="1" applyAlignment="1">
      <alignment horizontal="center" vertical="center"/>
    </xf>
    <xf numFmtId="164" fontId="22" fillId="33" borderId="26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27" xfId="0" applyNumberFormat="1" applyFont="1" applyFill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6" fontId="22" fillId="0" borderId="27" xfId="0" applyNumberFormat="1" applyFont="1" applyBorder="1" applyAlignment="1">
      <alignment horizontal="center" vertical="center"/>
    </xf>
    <xf numFmtId="166" fontId="22" fillId="0" borderId="28" xfId="0" applyNumberFormat="1" applyFont="1" applyBorder="1" applyAlignment="1">
      <alignment horizontal="center" vertical="center" wrapText="1"/>
    </xf>
    <xf numFmtId="166" fontId="22" fillId="0" borderId="29" xfId="0" applyNumberFormat="1" applyFont="1" applyBorder="1" applyAlignment="1">
      <alignment horizontal="center" vertical="center" wrapText="1"/>
    </xf>
    <xf numFmtId="166" fontId="22" fillId="0" borderId="82" xfId="0" applyNumberFormat="1" applyFont="1" applyBorder="1" applyAlignment="1">
      <alignment horizontal="center" vertical="center"/>
    </xf>
    <xf numFmtId="166" fontId="22" fillId="0" borderId="81" xfId="0" applyNumberFormat="1" applyFont="1" applyBorder="1" applyAlignment="1">
      <alignment horizontal="center" vertical="center"/>
    </xf>
    <xf numFmtId="166" fontId="22" fillId="0" borderId="25" xfId="0" applyNumberFormat="1" applyFont="1" applyBorder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164" fontId="22" fillId="0" borderId="82" xfId="0" applyNumberFormat="1" applyFont="1" applyBorder="1" applyAlignment="1">
      <alignment horizontal="center" vertical="center"/>
    </xf>
    <xf numFmtId="166" fontId="22" fillId="0" borderId="18" xfId="2" applyNumberFormat="1" applyFont="1" applyBorder="1" applyAlignment="1">
      <alignment horizontal="center" vertical="center"/>
    </xf>
    <xf numFmtId="166" fontId="22" fillId="0" borderId="23" xfId="2" applyNumberFormat="1" applyFont="1" applyBorder="1" applyAlignment="1">
      <alignment horizontal="center" vertical="center"/>
    </xf>
    <xf numFmtId="164" fontId="22" fillId="0" borderId="71" xfId="0" applyNumberFormat="1" applyFont="1" applyBorder="1" applyAlignment="1">
      <alignment horizontal="center" vertical="center"/>
    </xf>
    <xf numFmtId="164" fontId="22" fillId="0" borderId="72" xfId="0" applyNumberFormat="1" applyFont="1" applyBorder="1" applyAlignment="1">
      <alignment horizontal="center" vertical="center"/>
    </xf>
    <xf numFmtId="166" fontId="22" fillId="33" borderId="0" xfId="2" applyNumberFormat="1" applyFont="1" applyFill="1" applyBorder="1" applyAlignment="1">
      <alignment horizontal="center" vertical="center"/>
    </xf>
    <xf numFmtId="166" fontId="22" fillId="0" borderId="18" xfId="2" applyNumberFormat="1" applyFont="1" applyFill="1" applyBorder="1" applyAlignment="1">
      <alignment horizontal="center" vertical="center"/>
    </xf>
    <xf numFmtId="166" fontId="22" fillId="0" borderId="23" xfId="2" applyNumberFormat="1" applyFont="1" applyFill="1" applyBorder="1" applyAlignment="1">
      <alignment horizontal="center" vertical="center"/>
    </xf>
    <xf numFmtId="166" fontId="22" fillId="0" borderId="82" xfId="2" applyNumberFormat="1" applyFont="1" applyFill="1" applyBorder="1" applyAlignment="1">
      <alignment horizontal="center" vertical="center"/>
    </xf>
    <xf numFmtId="166" fontId="22" fillId="0" borderId="81" xfId="2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6" xfId="0" applyBorder="1" applyAlignment="1">
      <alignment horizontal="center"/>
    </xf>
    <xf numFmtId="166" fontId="22" fillId="0" borderId="71" xfId="2" applyNumberFormat="1" applyFont="1" applyBorder="1" applyAlignment="1">
      <alignment horizontal="center" vertical="center"/>
    </xf>
    <xf numFmtId="166" fontId="22" fillId="0" borderId="72" xfId="2" applyNumberFormat="1" applyFont="1" applyBorder="1" applyAlignment="1">
      <alignment horizontal="center" vertical="center"/>
    </xf>
    <xf numFmtId="164" fontId="22" fillId="0" borderId="17" xfId="0" applyNumberFormat="1" applyFont="1" applyFill="1" applyBorder="1" applyAlignment="1">
      <alignment horizontal="center" vertical="center"/>
    </xf>
    <xf numFmtId="164" fontId="22" fillId="0" borderId="22" xfId="0" applyNumberFormat="1" applyFont="1" applyFill="1" applyBorder="1" applyAlignment="1">
      <alignment horizontal="center" vertical="center"/>
    </xf>
    <xf numFmtId="164" fontId="22" fillId="0" borderId="18" xfId="0" applyNumberFormat="1" applyFont="1" applyFill="1" applyBorder="1" applyAlignment="1">
      <alignment horizontal="center" vertical="center"/>
    </xf>
    <xf numFmtId="164" fontId="22" fillId="0" borderId="23" xfId="0" applyNumberFormat="1" applyFont="1" applyFill="1" applyBorder="1" applyAlignment="1">
      <alignment horizontal="center" vertical="center"/>
    </xf>
    <xf numFmtId="164" fontId="22" fillId="0" borderId="85" xfId="0" applyNumberFormat="1" applyFont="1" applyBorder="1" applyAlignment="1">
      <alignment horizontal="center" vertical="center"/>
    </xf>
    <xf numFmtId="164" fontId="22" fillId="0" borderId="82" xfId="0" applyNumberFormat="1" applyFont="1" applyFill="1" applyBorder="1" applyAlignment="1">
      <alignment horizontal="center" vertical="center"/>
    </xf>
    <xf numFmtId="164" fontId="22" fillId="0" borderId="81" xfId="0" applyNumberFormat="1" applyFont="1" applyFill="1" applyBorder="1" applyAlignment="1">
      <alignment horizontal="center" vertical="center"/>
    </xf>
    <xf numFmtId="165" fontId="22" fillId="33" borderId="17" xfId="0" applyNumberFormat="1" applyFont="1" applyFill="1" applyBorder="1" applyAlignment="1">
      <alignment horizontal="center" vertical="center"/>
    </xf>
    <xf numFmtId="165" fontId="22" fillId="33" borderId="22" xfId="0" applyNumberFormat="1" applyFont="1" applyFill="1" applyBorder="1" applyAlignment="1">
      <alignment horizontal="center" vertical="center"/>
    </xf>
    <xf numFmtId="164" fontId="22" fillId="33" borderId="18" xfId="0" applyNumberFormat="1" applyFont="1" applyFill="1" applyBorder="1" applyAlignment="1">
      <alignment horizontal="center" vertical="center"/>
    </xf>
    <xf numFmtId="164" fontId="22" fillId="33" borderId="23" xfId="0" applyNumberFormat="1" applyFont="1" applyFill="1" applyBorder="1" applyAlignment="1">
      <alignment horizontal="center" vertical="center"/>
    </xf>
    <xf numFmtId="164" fontId="22" fillId="0" borderId="16" xfId="0" quotePrefix="1" applyNumberFormat="1" applyFont="1" applyBorder="1" applyAlignment="1">
      <alignment horizontal="center" vertical="center"/>
    </xf>
    <xf numFmtId="9" fontId="22" fillId="0" borderId="71" xfId="2" applyFont="1" applyBorder="1" applyAlignment="1">
      <alignment horizontal="center" vertical="center"/>
    </xf>
    <xf numFmtId="9" fontId="22" fillId="0" borderId="72" xfId="2" applyFont="1" applyBorder="1" applyAlignment="1">
      <alignment horizontal="center" vertical="center"/>
    </xf>
    <xf numFmtId="164" fontId="22" fillId="0" borderId="69" xfId="0" applyNumberFormat="1" applyFont="1" applyBorder="1" applyAlignment="1">
      <alignment horizontal="center" vertical="center"/>
    </xf>
    <xf numFmtId="164" fontId="22" fillId="0" borderId="70" xfId="0" applyNumberFormat="1" applyFont="1" applyBorder="1" applyAlignment="1">
      <alignment horizontal="center" vertical="center"/>
    </xf>
    <xf numFmtId="0" fontId="22" fillId="0" borderId="69" xfId="0" applyNumberFormat="1" applyFont="1" applyBorder="1" applyAlignment="1">
      <alignment horizontal="center" vertical="center"/>
    </xf>
    <xf numFmtId="0" fontId="22" fillId="0" borderId="70" xfId="0" applyNumberFormat="1" applyFont="1" applyBorder="1" applyAlignment="1">
      <alignment horizontal="center" vertical="center"/>
    </xf>
    <xf numFmtId="165" fontId="22" fillId="0" borderId="71" xfId="0" applyNumberFormat="1" applyFont="1" applyBorder="1" applyAlignment="1">
      <alignment horizontal="center" vertical="center"/>
    </xf>
    <xf numFmtId="165" fontId="22" fillId="0" borderId="72" xfId="0" applyNumberFormat="1" applyFont="1" applyBorder="1" applyAlignment="1">
      <alignment horizontal="center" vertical="center"/>
    </xf>
    <xf numFmtId="164" fontId="22" fillId="0" borderId="78" xfId="0" applyNumberFormat="1" applyFont="1" applyBorder="1" applyAlignment="1">
      <alignment horizontal="center" vertical="center"/>
    </xf>
    <xf numFmtId="164" fontId="22" fillId="0" borderId="79" xfId="0" applyNumberFormat="1" applyFont="1" applyBorder="1" applyAlignment="1">
      <alignment horizontal="center" vertical="center"/>
    </xf>
    <xf numFmtId="164" fontId="22" fillId="0" borderId="74" xfId="0" applyNumberFormat="1" applyFont="1" applyBorder="1" applyAlignment="1">
      <alignment horizontal="center" vertical="center"/>
    </xf>
    <xf numFmtId="164" fontId="33" fillId="33" borderId="43" xfId="0" applyNumberFormat="1" applyFont="1" applyFill="1" applyBorder="1" applyAlignment="1">
      <alignment horizontal="center" vertical="center"/>
    </xf>
    <xf numFmtId="164" fontId="33" fillId="33" borderId="52" xfId="0" applyNumberFormat="1" applyFont="1" applyFill="1" applyBorder="1" applyAlignment="1">
      <alignment horizontal="center" vertical="center"/>
    </xf>
  </cellXfs>
  <cellStyles count="255">
    <cellStyle name="20% - Èmfasi1 10" xfId="5"/>
    <cellStyle name="20% - Èmfasi1 11" xfId="6"/>
    <cellStyle name="20% - Èmfasi1 12" xfId="7"/>
    <cellStyle name="20% - Èmfasi1 13" xfId="8"/>
    <cellStyle name="20% - Èmfasi1 14" xfId="9"/>
    <cellStyle name="20% - Èmfasi1 15" xfId="10"/>
    <cellStyle name="20% - Èmfasi1 16" xfId="11"/>
    <cellStyle name="20% - Èmfasi1 17" xfId="12"/>
    <cellStyle name="20% - Èmfasi1 18" xfId="13"/>
    <cellStyle name="20% - Èmfasi1 2" xfId="14"/>
    <cellStyle name="20% - Èmfasi1 3" xfId="15"/>
    <cellStyle name="20% - Èmfasi1 4" xfId="16"/>
    <cellStyle name="20% - Èmfasi1 5" xfId="17"/>
    <cellStyle name="20% - Èmfasi1 6" xfId="18"/>
    <cellStyle name="20% - Èmfasi1 7" xfId="19"/>
    <cellStyle name="20% - Èmfasi1 8" xfId="20"/>
    <cellStyle name="20% - Èmfasi1 9" xfId="21"/>
    <cellStyle name="20% - Èmfasi2 10" xfId="22"/>
    <cellStyle name="20% - Èmfasi2 11" xfId="23"/>
    <cellStyle name="20% - Èmfasi2 12" xfId="24"/>
    <cellStyle name="20% - Èmfasi2 13" xfId="25"/>
    <cellStyle name="20% - Èmfasi2 14" xfId="26"/>
    <cellStyle name="20% - Èmfasi2 15" xfId="27"/>
    <cellStyle name="20% - Èmfasi2 16" xfId="28"/>
    <cellStyle name="20% - Èmfasi2 17" xfId="29"/>
    <cellStyle name="20% - Èmfasi2 18" xfId="30"/>
    <cellStyle name="20% - Èmfasi2 2" xfId="31"/>
    <cellStyle name="20% - Èmfasi2 3" xfId="32"/>
    <cellStyle name="20% - Èmfasi2 4" xfId="33"/>
    <cellStyle name="20% - Èmfasi2 5" xfId="34"/>
    <cellStyle name="20% - Èmfasi2 6" xfId="35"/>
    <cellStyle name="20% - Èmfasi2 7" xfId="36"/>
    <cellStyle name="20% - Èmfasi2 8" xfId="37"/>
    <cellStyle name="20% - Èmfasi2 9" xfId="38"/>
    <cellStyle name="20% - Èmfasi3 10" xfId="39"/>
    <cellStyle name="20% - Èmfasi3 11" xfId="40"/>
    <cellStyle name="20% - Èmfasi3 12" xfId="41"/>
    <cellStyle name="20% - Èmfasi3 13" xfId="42"/>
    <cellStyle name="20% - Èmfasi3 14" xfId="43"/>
    <cellStyle name="20% - Èmfasi3 15" xfId="44"/>
    <cellStyle name="20% - Èmfasi3 16" xfId="45"/>
    <cellStyle name="20% - Èmfasi3 17" xfId="46"/>
    <cellStyle name="20% - Èmfasi3 18" xfId="47"/>
    <cellStyle name="20% - Èmfasi3 2" xfId="48"/>
    <cellStyle name="20% - Èmfasi3 3" xfId="49"/>
    <cellStyle name="20% - Èmfasi3 4" xfId="50"/>
    <cellStyle name="20% - Èmfasi3 5" xfId="51"/>
    <cellStyle name="20% - Èmfasi3 6" xfId="52"/>
    <cellStyle name="20% - Èmfasi3 7" xfId="53"/>
    <cellStyle name="20% - Èmfasi3 8" xfId="54"/>
    <cellStyle name="20% - Èmfasi3 9" xfId="55"/>
    <cellStyle name="20% - Èmfasi4 10" xfId="56"/>
    <cellStyle name="20% - Èmfasi4 11" xfId="57"/>
    <cellStyle name="20% - Èmfasi4 12" xfId="58"/>
    <cellStyle name="20% - Èmfasi4 13" xfId="59"/>
    <cellStyle name="20% - Èmfasi4 14" xfId="60"/>
    <cellStyle name="20% - Èmfasi4 15" xfId="61"/>
    <cellStyle name="20% - Èmfasi4 16" xfId="62"/>
    <cellStyle name="20% - Èmfasi4 17" xfId="63"/>
    <cellStyle name="20% - Èmfasi4 18" xfId="64"/>
    <cellStyle name="20% - Èmfasi4 2" xfId="65"/>
    <cellStyle name="20% - Èmfasi4 3" xfId="66"/>
    <cellStyle name="20% - Èmfasi4 4" xfId="67"/>
    <cellStyle name="20% - Èmfasi4 5" xfId="68"/>
    <cellStyle name="20% - Èmfasi4 6" xfId="69"/>
    <cellStyle name="20% - Èmfasi4 7" xfId="70"/>
    <cellStyle name="20% - Èmfasi4 8" xfId="71"/>
    <cellStyle name="20% - Èmfasi4 9" xfId="72"/>
    <cellStyle name="20% - Èmfasi5 10" xfId="73"/>
    <cellStyle name="20% - Èmfasi5 11" xfId="74"/>
    <cellStyle name="20% - Èmfasi5 12" xfId="75"/>
    <cellStyle name="20% - Èmfasi5 13" xfId="76"/>
    <cellStyle name="20% - Èmfasi5 14" xfId="77"/>
    <cellStyle name="20% - Èmfasi5 15" xfId="78"/>
    <cellStyle name="20% - Èmfasi5 16" xfId="79"/>
    <cellStyle name="20% - Èmfasi5 17" xfId="80"/>
    <cellStyle name="20% - Èmfasi5 18" xfId="81"/>
    <cellStyle name="20% - Èmfasi5 2" xfId="82"/>
    <cellStyle name="20% - Èmfasi5 3" xfId="83"/>
    <cellStyle name="20% - Èmfasi5 4" xfId="84"/>
    <cellStyle name="20% - Èmfasi5 5" xfId="85"/>
    <cellStyle name="20% - Èmfasi5 6" xfId="86"/>
    <cellStyle name="20% - Èmfasi5 7" xfId="87"/>
    <cellStyle name="20% - Èmfasi5 8" xfId="88"/>
    <cellStyle name="20% - Èmfasi5 9" xfId="89"/>
    <cellStyle name="20% - Èmfasi6 10" xfId="90"/>
    <cellStyle name="20% - Èmfasi6 11" xfId="91"/>
    <cellStyle name="20% - Èmfasi6 12" xfId="92"/>
    <cellStyle name="20% - Èmfasi6 13" xfId="93"/>
    <cellStyle name="20% - Èmfasi6 14" xfId="94"/>
    <cellStyle name="20% - Èmfasi6 15" xfId="95"/>
    <cellStyle name="20% - Èmfasi6 16" xfId="96"/>
    <cellStyle name="20% - Èmfasi6 17" xfId="97"/>
    <cellStyle name="20% - Èmfasi6 18" xfId="98"/>
    <cellStyle name="20% - Èmfasi6 2" xfId="99"/>
    <cellStyle name="20% - Èmfasi6 3" xfId="100"/>
    <cellStyle name="20% - Èmfasi6 4" xfId="101"/>
    <cellStyle name="20% - Èmfasi6 5" xfId="102"/>
    <cellStyle name="20% - Èmfasi6 6" xfId="103"/>
    <cellStyle name="20% - Èmfasi6 7" xfId="104"/>
    <cellStyle name="20% - Èmfasi6 8" xfId="105"/>
    <cellStyle name="20% - Èmfasi6 9" xfId="106"/>
    <cellStyle name="40% - Èmfasi1 10" xfId="107"/>
    <cellStyle name="40% - Èmfasi1 11" xfId="108"/>
    <cellStyle name="40% - Èmfasi1 12" xfId="109"/>
    <cellStyle name="40% - Èmfasi1 13" xfId="110"/>
    <cellStyle name="40% - Èmfasi1 14" xfId="111"/>
    <cellStyle name="40% - Èmfasi1 15" xfId="112"/>
    <cellStyle name="40% - Èmfasi1 16" xfId="113"/>
    <cellStyle name="40% - Èmfasi1 17" xfId="114"/>
    <cellStyle name="40% - Èmfasi1 18" xfId="115"/>
    <cellStyle name="40% - Èmfasi1 2" xfId="116"/>
    <cellStyle name="40% - Èmfasi1 3" xfId="117"/>
    <cellStyle name="40% - Èmfasi1 4" xfId="118"/>
    <cellStyle name="40% - Èmfasi1 5" xfId="119"/>
    <cellStyle name="40% - Èmfasi1 6" xfId="120"/>
    <cellStyle name="40% - Èmfasi1 7" xfId="121"/>
    <cellStyle name="40% - Èmfasi1 8" xfId="122"/>
    <cellStyle name="40% - Èmfasi1 9" xfId="123"/>
    <cellStyle name="40% - Èmfasi2 10" xfId="124"/>
    <cellStyle name="40% - Èmfasi2 11" xfId="125"/>
    <cellStyle name="40% - Èmfasi2 12" xfId="126"/>
    <cellStyle name="40% - Èmfasi2 13" xfId="127"/>
    <cellStyle name="40% - Èmfasi2 14" xfId="128"/>
    <cellStyle name="40% - Èmfasi2 15" xfId="129"/>
    <cellStyle name="40% - Èmfasi2 16" xfId="130"/>
    <cellStyle name="40% - Èmfasi2 17" xfId="131"/>
    <cellStyle name="40% - Èmfasi2 18" xfId="132"/>
    <cellStyle name="40% - Èmfasi2 2" xfId="133"/>
    <cellStyle name="40% - Èmfasi2 3" xfId="134"/>
    <cellStyle name="40% - Èmfasi2 4" xfId="135"/>
    <cellStyle name="40% - Èmfasi2 5" xfId="136"/>
    <cellStyle name="40% - Èmfasi2 6" xfId="137"/>
    <cellStyle name="40% - Èmfasi2 7" xfId="138"/>
    <cellStyle name="40% - Èmfasi2 8" xfId="139"/>
    <cellStyle name="40% - Èmfasi2 9" xfId="140"/>
    <cellStyle name="40% - Èmfasi3 10" xfId="141"/>
    <cellStyle name="40% - Èmfasi3 11" xfId="142"/>
    <cellStyle name="40% - Èmfasi3 12" xfId="143"/>
    <cellStyle name="40% - Èmfasi3 13" xfId="144"/>
    <cellStyle name="40% - Èmfasi3 14" xfId="145"/>
    <cellStyle name="40% - Èmfasi3 15" xfId="146"/>
    <cellStyle name="40% - Èmfasi3 16" xfId="147"/>
    <cellStyle name="40% - Èmfasi3 17" xfId="148"/>
    <cellStyle name="40% - Èmfasi3 18" xfId="149"/>
    <cellStyle name="40% - Èmfasi3 2" xfId="150"/>
    <cellStyle name="40% - Èmfasi3 3" xfId="151"/>
    <cellStyle name="40% - Èmfasi3 4" xfId="152"/>
    <cellStyle name="40% - Èmfasi3 5" xfId="153"/>
    <cellStyle name="40% - Èmfasi3 6" xfId="154"/>
    <cellStyle name="40% - Èmfasi3 7" xfId="155"/>
    <cellStyle name="40% - Èmfasi3 8" xfId="156"/>
    <cellStyle name="40% - Èmfasi3 9" xfId="157"/>
    <cellStyle name="40% - Èmfasi4 10" xfId="158"/>
    <cellStyle name="40% - Èmfasi4 11" xfId="159"/>
    <cellStyle name="40% - Èmfasi4 12" xfId="160"/>
    <cellStyle name="40% - Èmfasi4 13" xfId="161"/>
    <cellStyle name="40% - Èmfasi4 14" xfId="162"/>
    <cellStyle name="40% - Èmfasi4 15" xfId="163"/>
    <cellStyle name="40% - Èmfasi4 16" xfId="164"/>
    <cellStyle name="40% - Èmfasi4 17" xfId="165"/>
    <cellStyle name="40% - Èmfasi4 18" xfId="166"/>
    <cellStyle name="40% - Èmfasi4 2" xfId="167"/>
    <cellStyle name="40% - Èmfasi4 3" xfId="168"/>
    <cellStyle name="40% - Èmfasi4 4" xfId="169"/>
    <cellStyle name="40% - Èmfasi4 5" xfId="170"/>
    <cellStyle name="40% - Èmfasi4 6" xfId="171"/>
    <cellStyle name="40% - Èmfasi4 7" xfId="172"/>
    <cellStyle name="40% - Èmfasi4 8" xfId="173"/>
    <cellStyle name="40% - Èmfasi4 9" xfId="174"/>
    <cellStyle name="40% - Èmfasi5 10" xfId="175"/>
    <cellStyle name="40% - Èmfasi5 11" xfId="176"/>
    <cellStyle name="40% - Èmfasi5 12" xfId="177"/>
    <cellStyle name="40% - Èmfasi5 13" xfId="178"/>
    <cellStyle name="40% - Èmfasi5 14" xfId="179"/>
    <cellStyle name="40% - Èmfasi5 15" xfId="180"/>
    <cellStyle name="40% - Èmfasi5 16" xfId="181"/>
    <cellStyle name="40% - Èmfasi5 17" xfId="182"/>
    <cellStyle name="40% - Èmfasi5 18" xfId="183"/>
    <cellStyle name="40% - Èmfasi5 2" xfId="184"/>
    <cellStyle name="40% - Èmfasi5 3" xfId="185"/>
    <cellStyle name="40% - Èmfasi5 4" xfId="186"/>
    <cellStyle name="40% - Èmfasi5 5" xfId="187"/>
    <cellStyle name="40% - Èmfasi5 6" xfId="188"/>
    <cellStyle name="40% - Èmfasi5 7" xfId="189"/>
    <cellStyle name="40% - Èmfasi5 8" xfId="190"/>
    <cellStyle name="40% - Èmfasi5 9" xfId="191"/>
    <cellStyle name="40% - Èmfasi6 10" xfId="192"/>
    <cellStyle name="40% - Èmfasi6 11" xfId="193"/>
    <cellStyle name="40% - Èmfasi6 12" xfId="194"/>
    <cellStyle name="40% - Èmfasi6 13" xfId="195"/>
    <cellStyle name="40% - Èmfasi6 14" xfId="196"/>
    <cellStyle name="40% - Èmfasi6 15" xfId="197"/>
    <cellStyle name="40% - Èmfasi6 16" xfId="198"/>
    <cellStyle name="40% - Èmfasi6 17" xfId="199"/>
    <cellStyle name="40% - Èmfasi6 18" xfId="200"/>
    <cellStyle name="40% - Èmfasi6 2" xfId="201"/>
    <cellStyle name="40% - Èmfasi6 3" xfId="202"/>
    <cellStyle name="40% - Èmfasi6 4" xfId="203"/>
    <cellStyle name="40% - Èmfasi6 5" xfId="204"/>
    <cellStyle name="40% - Èmfasi6 6" xfId="205"/>
    <cellStyle name="40% - Èmfasi6 7" xfId="206"/>
    <cellStyle name="40% - Èmfasi6 8" xfId="207"/>
    <cellStyle name="40% - Èmfasi6 9" xfId="208"/>
    <cellStyle name="60% - Èmfasi1 2" xfId="209"/>
    <cellStyle name="60% - Èmfasi2 2" xfId="210"/>
    <cellStyle name="60% - Èmfasi3 2" xfId="211"/>
    <cellStyle name="60% - Èmfasi4 2" xfId="212"/>
    <cellStyle name="60% - Èmfasi5 2" xfId="213"/>
    <cellStyle name="60% - Èmfasi6 2" xfId="214"/>
    <cellStyle name="Bé 2" xfId="215"/>
    <cellStyle name="Càlcul 2" xfId="216"/>
    <cellStyle name="Cel·la de comprovació 2" xfId="217"/>
    <cellStyle name="Cel·la enllaçada 2" xfId="218"/>
    <cellStyle name="Coma" xfId="1" builtinId="3"/>
    <cellStyle name="Èmfasi1 2" xfId="219"/>
    <cellStyle name="Èmfasi2 2" xfId="220"/>
    <cellStyle name="Èmfasi3 2" xfId="221"/>
    <cellStyle name="Èmfasi4 2" xfId="222"/>
    <cellStyle name="Èmfasi5 2" xfId="223"/>
    <cellStyle name="Èmfasi6 2" xfId="224"/>
    <cellStyle name="Entrada 2" xfId="225"/>
    <cellStyle name="Incorrecte 2" xfId="226"/>
    <cellStyle name="Neutral 2" xfId="227"/>
    <cellStyle name="Normal" xfId="0" builtinId="0"/>
    <cellStyle name="Normal 2" xfId="4"/>
    <cellStyle name="Normal 2 2" xfId="228"/>
    <cellStyle name="Normal 3" xfId="3"/>
    <cellStyle name="Normal 4" xfId="229"/>
    <cellStyle name="Nota 10" xfId="230"/>
    <cellStyle name="Nota 11" xfId="231"/>
    <cellStyle name="Nota 12" xfId="232"/>
    <cellStyle name="Nota 13" xfId="233"/>
    <cellStyle name="Nota 14" xfId="234"/>
    <cellStyle name="Nota 15" xfId="235"/>
    <cellStyle name="Nota 16" xfId="236"/>
    <cellStyle name="Nota 17" xfId="237"/>
    <cellStyle name="Nota 18" xfId="238"/>
    <cellStyle name="Nota 2" xfId="239"/>
    <cellStyle name="Nota 3" xfId="240"/>
    <cellStyle name="Nota 4" xfId="241"/>
    <cellStyle name="Nota 5" xfId="242"/>
    <cellStyle name="Nota 6" xfId="243"/>
    <cellStyle name="Nota 7" xfId="244"/>
    <cellStyle name="Nota 8" xfId="245"/>
    <cellStyle name="Nota 9" xfId="246"/>
    <cellStyle name="Percentatge" xfId="2" builtinId="5"/>
    <cellStyle name="Resultat 2" xfId="247"/>
    <cellStyle name="Text d'advertiment 2" xfId="248"/>
    <cellStyle name="Text explicatiu 2" xfId="249"/>
    <cellStyle name="Títol 1 2" xfId="250"/>
    <cellStyle name="Títol 2 2" xfId="251"/>
    <cellStyle name="Títol 3 2" xfId="252"/>
    <cellStyle name="Títol 4 2" xfId="253"/>
    <cellStyle name="Total 2" xfId="254"/>
  </cellStyles>
  <dxfs count="1">
    <dxf>
      <font>
        <color rgb="FF9C0006"/>
      </font>
    </dxf>
  </dxfs>
  <tableStyles count="0" defaultTableStyle="TableStyleMedium2" defaultPivotStyle="PivotStyleLight16"/>
  <colors>
    <mruColors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16"/>
  <sheetViews>
    <sheetView tabSelected="1" topLeftCell="A10" zoomScale="90" zoomScaleNormal="90" zoomScaleSheetLayoutView="70" workbookViewId="0">
      <selection activeCell="R28" sqref="R28"/>
    </sheetView>
  </sheetViews>
  <sheetFormatPr defaultColWidth="9.1796875" defaultRowHeight="12.5" x14ac:dyDescent="0.25"/>
  <cols>
    <col min="1" max="1" width="58.453125" style="1" customWidth="1"/>
    <col min="2" max="18" width="9.54296875" style="1" customWidth="1"/>
    <col min="19" max="19" width="26.1796875" style="1" customWidth="1"/>
    <col min="20" max="20" width="9.1796875" style="1"/>
    <col min="21" max="21" width="17.26953125" style="15" bestFit="1" customWidth="1"/>
    <col min="22" max="22" width="9.1796875" style="15"/>
    <col min="23" max="23" width="13.81640625" style="15" customWidth="1"/>
    <col min="24" max="24" width="15.81640625" style="15" customWidth="1"/>
    <col min="25" max="25" width="7.54296875" style="15" customWidth="1"/>
    <col min="26" max="27" width="9.1796875" style="15"/>
    <col min="28" max="29" width="26.54296875" style="15" bestFit="1" customWidth="1"/>
    <col min="30" max="30" width="18.26953125" style="15" bestFit="1" customWidth="1"/>
    <col min="31" max="38" width="18.26953125" style="15" customWidth="1"/>
    <col min="39" max="39" width="9.1796875" style="15"/>
    <col min="40" max="40" width="36.1796875" style="15" bestFit="1" customWidth="1"/>
    <col min="41" max="41" width="41.1796875" style="15" bestFit="1" customWidth="1"/>
    <col min="42" max="42" width="20" style="15" bestFit="1" customWidth="1"/>
    <col min="43" max="43" width="13.81640625" style="15" bestFit="1" customWidth="1"/>
    <col min="44" max="45" width="9.1796875" style="15"/>
    <col min="46" max="46" width="17.54296875" style="15" bestFit="1" customWidth="1"/>
    <col min="47" max="47" width="15.7265625" style="15" bestFit="1" customWidth="1"/>
    <col min="48" max="54" width="9.1796875" style="15"/>
    <col min="55" max="16384" width="9.1796875" style="1"/>
  </cols>
  <sheetData>
    <row r="1" spans="1:54" x14ac:dyDescent="0.25"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N1" s="151"/>
      <c r="AO1" s="151"/>
      <c r="AP1" s="151"/>
      <c r="AQ1" s="151"/>
      <c r="AR1" s="151"/>
      <c r="AS1" s="151"/>
      <c r="AT1" s="151"/>
    </row>
    <row r="2" spans="1:54" x14ac:dyDescent="0.25">
      <c r="M2" s="2"/>
      <c r="N2" s="2"/>
      <c r="O2" s="2"/>
      <c r="P2" s="2"/>
      <c r="R2" s="2"/>
      <c r="V2" s="69"/>
      <c r="AO2" s="69"/>
    </row>
    <row r="3" spans="1:54" ht="18.5" x14ac:dyDescent="0.45">
      <c r="A3" s="3" t="s">
        <v>0</v>
      </c>
    </row>
    <row r="4" spans="1:54" ht="13" thickBot="1" x14ac:dyDescent="0.3"/>
    <row r="5" spans="1:54" s="7" customFormat="1" ht="16.5" thickTop="1" thickBot="1" x14ac:dyDescent="0.3">
      <c r="A5" s="86" t="s">
        <v>1</v>
      </c>
      <c r="B5" s="87" t="s">
        <v>2</v>
      </c>
      <c r="C5" s="88">
        <v>2005</v>
      </c>
      <c r="D5" s="89">
        <v>2006</v>
      </c>
      <c r="E5" s="89">
        <v>2007</v>
      </c>
      <c r="F5" s="89">
        <v>2008</v>
      </c>
      <c r="G5" s="89">
        <v>2009</v>
      </c>
      <c r="H5" s="89">
        <v>2010</v>
      </c>
      <c r="I5" s="89">
        <v>2011</v>
      </c>
      <c r="J5" s="89">
        <v>2012</v>
      </c>
      <c r="K5" s="90">
        <v>2013</v>
      </c>
      <c r="L5" s="90">
        <v>2014</v>
      </c>
      <c r="M5" s="91">
        <v>2015</v>
      </c>
      <c r="N5" s="91">
        <v>2016</v>
      </c>
      <c r="O5" s="91">
        <v>2017</v>
      </c>
      <c r="P5" s="91">
        <v>2018</v>
      </c>
      <c r="Q5" s="89">
        <v>2019</v>
      </c>
      <c r="R5" s="92">
        <v>2020</v>
      </c>
      <c r="S5" s="152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5"/>
      <c r="AW5" s="17"/>
      <c r="AX5" s="17"/>
      <c r="AY5" s="17"/>
      <c r="AZ5" s="17"/>
      <c r="BA5" s="17"/>
      <c r="BB5" s="17"/>
    </row>
    <row r="6" spans="1:54" ht="34.5" customHeight="1" x14ac:dyDescent="0.25">
      <c r="A6" s="8" t="s">
        <v>3</v>
      </c>
      <c r="B6" s="155" t="s">
        <v>4</v>
      </c>
      <c r="C6" s="157">
        <v>720.84032269667102</v>
      </c>
      <c r="D6" s="157">
        <v>660.93959894170496</v>
      </c>
      <c r="E6" s="157">
        <v>581.68191894602876</v>
      </c>
      <c r="F6" s="157">
        <v>476.57491047757674</v>
      </c>
      <c r="G6" s="157">
        <v>462.58655241292678</v>
      </c>
      <c r="H6" s="157">
        <v>741.10652102681536</v>
      </c>
      <c r="I6" s="157">
        <v>674.79808105243876</v>
      </c>
      <c r="J6" s="157">
        <v>718.77987717026451</v>
      </c>
      <c r="K6" s="171">
        <f>1101376210.44/1611822</f>
        <v>683.31131504595419</v>
      </c>
      <c r="L6" s="171">
        <f>(971.679973626667*1000000)/1602386</f>
        <v>606.39569593510362</v>
      </c>
      <c r="M6" s="171">
        <v>520.80421051319524</v>
      </c>
      <c r="N6" s="159">
        <v>519.6</v>
      </c>
      <c r="O6" s="159">
        <v>515.5</v>
      </c>
      <c r="P6" s="161">
        <v>515.94014353751027</v>
      </c>
      <c r="Q6" s="157">
        <f>780000000/1636762</f>
        <v>476.55065305768341</v>
      </c>
      <c r="R6" s="244">
        <f>+Full1!F3</f>
        <v>480.03936322778469</v>
      </c>
      <c r="S6" s="153"/>
    </row>
    <row r="7" spans="1:54" ht="26.15" customHeight="1" thickBot="1" x14ac:dyDescent="0.3">
      <c r="A7" s="9" t="s">
        <v>5</v>
      </c>
      <c r="B7" s="156"/>
      <c r="C7" s="158"/>
      <c r="D7" s="158"/>
      <c r="E7" s="158"/>
      <c r="F7" s="158"/>
      <c r="G7" s="158"/>
      <c r="H7" s="158"/>
      <c r="I7" s="158"/>
      <c r="J7" s="158"/>
      <c r="K7" s="172"/>
      <c r="L7" s="172"/>
      <c r="M7" s="172"/>
      <c r="N7" s="160"/>
      <c r="O7" s="160"/>
      <c r="P7" s="162"/>
      <c r="Q7" s="158"/>
      <c r="R7" s="245"/>
      <c r="S7" s="154"/>
      <c r="AO7" s="70"/>
    </row>
    <row r="8" spans="1:54" ht="13" thickTop="1" x14ac:dyDescent="0.25"/>
    <row r="9" spans="1:54" ht="13" thickBot="1" x14ac:dyDescent="0.3"/>
    <row r="10" spans="1:54" s="7" customFormat="1" ht="16.5" thickTop="1" thickBot="1" x14ac:dyDescent="0.3">
      <c r="A10" s="93" t="s">
        <v>1</v>
      </c>
      <c r="B10" s="85" t="s">
        <v>2</v>
      </c>
      <c r="C10" s="4">
        <v>2005</v>
      </c>
      <c r="D10" s="4">
        <v>2006</v>
      </c>
      <c r="E10" s="4">
        <v>2007</v>
      </c>
      <c r="F10" s="4">
        <v>2008</v>
      </c>
      <c r="G10" s="4">
        <v>2009</v>
      </c>
      <c r="H10" s="4">
        <v>2010</v>
      </c>
      <c r="I10" s="4">
        <v>2011</v>
      </c>
      <c r="J10" s="4">
        <v>2012</v>
      </c>
      <c r="K10" s="5">
        <v>2013</v>
      </c>
      <c r="L10" s="5">
        <v>2014</v>
      </c>
      <c r="M10" s="6">
        <v>2015</v>
      </c>
      <c r="N10" s="6">
        <v>2016</v>
      </c>
      <c r="O10" s="6">
        <v>2017</v>
      </c>
      <c r="P10" s="5">
        <v>2018</v>
      </c>
      <c r="Q10" s="4">
        <v>2019</v>
      </c>
      <c r="R10" s="92">
        <v>2020</v>
      </c>
      <c r="S10" s="175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5"/>
      <c r="AW10" s="17"/>
      <c r="AX10" s="17"/>
      <c r="AY10" s="17"/>
      <c r="AZ10" s="17"/>
      <c r="BA10" s="17"/>
      <c r="BB10" s="17"/>
    </row>
    <row r="11" spans="1:54" ht="15.5" x14ac:dyDescent="0.25">
      <c r="A11" s="8" t="s">
        <v>6</v>
      </c>
      <c r="B11" s="155" t="s">
        <v>7</v>
      </c>
      <c r="C11" s="163">
        <v>1148352697.0799999</v>
      </c>
      <c r="D11" s="163">
        <v>1061205941.9400001</v>
      </c>
      <c r="E11" s="163">
        <v>927846645.73000002</v>
      </c>
      <c r="F11" s="163">
        <v>770101210.44000006</v>
      </c>
      <c r="G11" s="163">
        <v>750101210.44000006</v>
      </c>
      <c r="H11" s="163">
        <v>1200101210.4400001</v>
      </c>
      <c r="I11" s="163">
        <v>1090101210.4400001</v>
      </c>
      <c r="J11" s="163">
        <v>1165101210.4400001</v>
      </c>
      <c r="K11" s="165">
        <v>1101376210.4000001</v>
      </c>
      <c r="L11" s="165">
        <f>+(971.679973626667*1000000)</f>
        <v>971679973.62666702</v>
      </c>
      <c r="M11" s="165">
        <v>835659000</v>
      </c>
      <c r="N11" s="167">
        <v>835.5</v>
      </c>
      <c r="O11" s="167">
        <v>835.5</v>
      </c>
      <c r="P11" s="149">
        <v>836</v>
      </c>
      <c r="Q11" s="149">
        <v>780</v>
      </c>
      <c r="R11" s="246">
        <f>+Full1!F6</f>
        <v>800</v>
      </c>
      <c r="S11" s="176"/>
      <c r="AN11" s="71"/>
    </row>
    <row r="12" spans="1:54" ht="13.5" customHeight="1" thickBot="1" x14ac:dyDescent="0.3">
      <c r="A12" s="9" t="s">
        <v>8</v>
      </c>
      <c r="B12" s="156"/>
      <c r="C12" s="164"/>
      <c r="D12" s="164"/>
      <c r="E12" s="164"/>
      <c r="F12" s="164"/>
      <c r="G12" s="164"/>
      <c r="H12" s="164"/>
      <c r="I12" s="164"/>
      <c r="J12" s="164"/>
      <c r="K12" s="166"/>
      <c r="L12" s="166"/>
      <c r="M12" s="166"/>
      <c r="N12" s="168"/>
      <c r="O12" s="168"/>
      <c r="P12" s="150"/>
      <c r="Q12" s="150"/>
      <c r="R12" s="247"/>
      <c r="S12" s="177"/>
    </row>
    <row r="13" spans="1:54" ht="13" thickTop="1" x14ac:dyDescent="0.25"/>
    <row r="14" spans="1:54" ht="13" thickBot="1" x14ac:dyDescent="0.3"/>
    <row r="15" spans="1:54" s="7" customFormat="1" ht="16.5" thickTop="1" thickBot="1" x14ac:dyDescent="0.3">
      <c r="A15" s="93" t="s">
        <v>1</v>
      </c>
      <c r="B15" s="85" t="s">
        <v>2</v>
      </c>
      <c r="C15" s="4">
        <v>2005</v>
      </c>
      <c r="D15" s="4">
        <v>2006</v>
      </c>
      <c r="E15" s="4">
        <v>2007</v>
      </c>
      <c r="F15" s="4">
        <v>2008</v>
      </c>
      <c r="G15" s="4">
        <v>2009</v>
      </c>
      <c r="H15" s="4">
        <v>2010</v>
      </c>
      <c r="I15" s="4">
        <v>2011</v>
      </c>
      <c r="J15" s="4">
        <v>2012</v>
      </c>
      <c r="K15" s="5">
        <v>2013</v>
      </c>
      <c r="L15" s="5">
        <v>2014</v>
      </c>
      <c r="M15" s="6">
        <v>2015</v>
      </c>
      <c r="N15" s="6">
        <v>2016</v>
      </c>
      <c r="O15" s="6">
        <v>2017</v>
      </c>
      <c r="P15" s="6">
        <v>2018</v>
      </c>
      <c r="Q15" s="4">
        <v>2019</v>
      </c>
      <c r="R15" s="92">
        <v>2020</v>
      </c>
      <c r="S15" s="175"/>
      <c r="U15" s="17"/>
      <c r="V15" s="17"/>
      <c r="W15" s="72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5"/>
      <c r="AW15" s="17"/>
      <c r="AX15" s="17"/>
      <c r="AY15" s="17"/>
      <c r="AZ15" s="17"/>
      <c r="BA15" s="17"/>
      <c r="BB15" s="17"/>
    </row>
    <row r="16" spans="1:54" ht="31" x14ac:dyDescent="0.3">
      <c r="A16" s="8" t="s">
        <v>9</v>
      </c>
      <c r="B16" s="155" t="s">
        <v>10</v>
      </c>
      <c r="C16" s="180">
        <v>0.626</v>
      </c>
      <c r="D16" s="180">
        <v>0.53800000000000003</v>
      </c>
      <c r="E16" s="180">
        <v>0.41099999999999998</v>
      </c>
      <c r="F16" s="180">
        <v>0.33700000000000002</v>
      </c>
      <c r="G16" s="180">
        <v>0.33600000000000002</v>
      </c>
      <c r="H16" s="180">
        <v>0.58799999999999997</v>
      </c>
      <c r="I16" s="180">
        <v>0.57899999999999996</v>
      </c>
      <c r="J16" s="180">
        <v>0.52100000000000002</v>
      </c>
      <c r="K16" s="182">
        <v>0.46700000000000003</v>
      </c>
      <c r="L16" s="184">
        <v>0.38600000000000001</v>
      </c>
      <c r="M16" s="169">
        <v>0.32800000000000001</v>
      </c>
      <c r="N16" s="169">
        <v>0.32900000000000001</v>
      </c>
      <c r="O16" s="169">
        <v>0.33</v>
      </c>
      <c r="P16" s="173">
        <f>+Full1!D8</f>
        <v>0.32503888024883359</v>
      </c>
      <c r="Q16" s="180">
        <f>+Full1!E8</f>
        <v>0.29567854435178165</v>
      </c>
      <c r="R16" s="242">
        <f>+Full1!F8</f>
        <v>0.30738492276953816</v>
      </c>
      <c r="S16" s="176"/>
      <c r="W16" s="10"/>
      <c r="X16" s="10"/>
    </row>
    <row r="17" spans="1:54" ht="13.5" thickBot="1" x14ac:dyDescent="0.35">
      <c r="A17" s="11" t="s">
        <v>11</v>
      </c>
      <c r="B17" s="156"/>
      <c r="C17" s="181"/>
      <c r="D17" s="181"/>
      <c r="E17" s="181"/>
      <c r="F17" s="181"/>
      <c r="G17" s="181"/>
      <c r="H17" s="181"/>
      <c r="I17" s="181"/>
      <c r="J17" s="181"/>
      <c r="K17" s="183"/>
      <c r="L17" s="185"/>
      <c r="M17" s="170"/>
      <c r="N17" s="170"/>
      <c r="O17" s="170"/>
      <c r="P17" s="174"/>
      <c r="Q17" s="181"/>
      <c r="R17" s="243"/>
      <c r="S17" s="177"/>
      <c r="W17" s="12"/>
      <c r="X17" s="12"/>
    </row>
    <row r="18" spans="1:54" ht="13" thickTop="1" x14ac:dyDescent="0.25"/>
    <row r="19" spans="1:54" ht="13" thickBot="1" x14ac:dyDescent="0.3"/>
    <row r="20" spans="1:54" s="7" customFormat="1" ht="16.5" thickTop="1" thickBot="1" x14ac:dyDescent="0.35">
      <c r="A20" s="13" t="s">
        <v>1</v>
      </c>
      <c r="B20" s="4" t="s">
        <v>2</v>
      </c>
      <c r="C20" s="4">
        <v>2005</v>
      </c>
      <c r="D20" s="4">
        <v>2006</v>
      </c>
      <c r="E20" s="4">
        <v>2007</v>
      </c>
      <c r="F20" s="4">
        <v>2008</v>
      </c>
      <c r="G20" s="4">
        <v>2009</v>
      </c>
      <c r="H20" s="4">
        <v>2010</v>
      </c>
      <c r="I20" s="4">
        <v>2011</v>
      </c>
      <c r="J20" s="4">
        <v>2012</v>
      </c>
      <c r="K20" s="5">
        <v>2013</v>
      </c>
      <c r="L20" s="5">
        <v>2014</v>
      </c>
      <c r="M20" s="6">
        <v>2015</v>
      </c>
      <c r="N20" s="6">
        <v>2016</v>
      </c>
      <c r="O20" s="6">
        <v>2017</v>
      </c>
      <c r="P20" s="6">
        <v>2018</v>
      </c>
      <c r="Q20" s="4">
        <v>2019</v>
      </c>
      <c r="R20" s="92">
        <v>2020</v>
      </c>
      <c r="S20" s="175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62"/>
      <c r="AO20" s="17"/>
      <c r="AP20" s="72"/>
      <c r="AQ20" s="72"/>
      <c r="AR20" s="17"/>
      <c r="AS20" s="17"/>
      <c r="AT20" s="17"/>
      <c r="AU20" s="17"/>
      <c r="AV20" s="15"/>
      <c r="AW20" s="17"/>
      <c r="AX20" s="17"/>
      <c r="AY20" s="17"/>
      <c r="AZ20" s="17"/>
      <c r="BA20" s="17"/>
      <c r="BB20" s="17"/>
    </row>
    <row r="21" spans="1:54" ht="34.5" customHeight="1" x14ac:dyDescent="0.25">
      <c r="A21" s="14" t="s">
        <v>12</v>
      </c>
      <c r="B21" s="155" t="s">
        <v>10</v>
      </c>
      <c r="C21" s="178">
        <v>3.044461041078237E-2</v>
      </c>
      <c r="D21" s="178">
        <v>3.2278272871459027E-2</v>
      </c>
      <c r="E21" s="178">
        <v>3.7882400630696297E-2</v>
      </c>
      <c r="F21" s="178">
        <v>4.1026881031750485E-2</v>
      </c>
      <c r="G21" s="178">
        <v>3.3222268109078051E-2</v>
      </c>
      <c r="H21" s="178">
        <v>2.8428047756439281E-2</v>
      </c>
      <c r="I21" s="178">
        <v>2.8571915712121872E-2</v>
      </c>
      <c r="J21" s="178">
        <v>2.8500000000000001E-2</v>
      </c>
      <c r="K21" s="190">
        <v>2.76E-2</v>
      </c>
      <c r="L21" s="184">
        <v>2.86E-2</v>
      </c>
      <c r="M21" s="192">
        <v>2.5000000000000001E-2</v>
      </c>
      <c r="N21" s="194">
        <v>2.4E-2</v>
      </c>
      <c r="O21" s="186">
        <v>2.1100000000000001E-2</v>
      </c>
      <c r="P21" s="188">
        <v>1.4999999999999999E-2</v>
      </c>
      <c r="Q21" s="188">
        <v>1.4999999999999999E-2</v>
      </c>
      <c r="R21" s="188">
        <v>1.4999999999999999E-2</v>
      </c>
      <c r="S21" s="176"/>
    </row>
    <row r="22" spans="1:54" ht="26.15" customHeight="1" thickBot="1" x14ac:dyDescent="0.35">
      <c r="A22" s="9" t="s">
        <v>13</v>
      </c>
      <c r="B22" s="156"/>
      <c r="C22" s="179"/>
      <c r="D22" s="179"/>
      <c r="E22" s="179"/>
      <c r="F22" s="179"/>
      <c r="G22" s="179"/>
      <c r="H22" s="179"/>
      <c r="I22" s="179"/>
      <c r="J22" s="179"/>
      <c r="K22" s="191"/>
      <c r="L22" s="185"/>
      <c r="M22" s="193"/>
      <c r="N22" s="195"/>
      <c r="O22" s="187"/>
      <c r="P22" s="189"/>
      <c r="Q22" s="189"/>
      <c r="R22" s="189"/>
      <c r="S22" s="177"/>
      <c r="W22" s="22"/>
      <c r="AP22" s="10"/>
      <c r="AQ22" s="10"/>
    </row>
    <row r="23" spans="1:54" ht="13.5" thickTop="1" x14ac:dyDescent="0.3">
      <c r="W23" s="22"/>
      <c r="AP23" s="22"/>
      <c r="AQ23" s="22"/>
    </row>
    <row r="24" spans="1:54" ht="13" thickBot="1" x14ac:dyDescent="0.3"/>
    <row r="25" spans="1:54" s="7" customFormat="1" ht="16.5" thickTop="1" thickBot="1" x14ac:dyDescent="0.3">
      <c r="A25" s="13" t="s">
        <v>1</v>
      </c>
      <c r="B25" s="4" t="s">
        <v>2</v>
      </c>
      <c r="C25" s="4">
        <v>2005</v>
      </c>
      <c r="D25" s="4">
        <v>2006</v>
      </c>
      <c r="E25" s="4">
        <v>2007</v>
      </c>
      <c r="F25" s="4">
        <v>2008</v>
      </c>
      <c r="G25" s="4">
        <v>2009</v>
      </c>
      <c r="H25" s="4">
        <v>2010</v>
      </c>
      <c r="I25" s="4">
        <v>2011</v>
      </c>
      <c r="J25" s="4">
        <v>2012</v>
      </c>
      <c r="K25" s="5">
        <v>2013</v>
      </c>
      <c r="L25" s="5">
        <v>2014</v>
      </c>
      <c r="M25" s="6">
        <v>2015</v>
      </c>
      <c r="N25" s="6">
        <v>2016</v>
      </c>
      <c r="O25" s="6">
        <v>2017</v>
      </c>
      <c r="P25" s="6">
        <v>2018</v>
      </c>
      <c r="Q25" s="4">
        <v>2019</v>
      </c>
      <c r="R25" s="92">
        <v>2020</v>
      </c>
      <c r="S25" s="175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5"/>
      <c r="AW25" s="17"/>
      <c r="AX25" s="17"/>
      <c r="AY25" s="17"/>
      <c r="AZ25" s="17"/>
      <c r="BA25" s="17"/>
      <c r="BB25" s="17"/>
    </row>
    <row r="26" spans="1:54" ht="34.5" customHeight="1" x14ac:dyDescent="0.25">
      <c r="A26" s="14" t="s">
        <v>14</v>
      </c>
      <c r="B26" s="155" t="s">
        <v>15</v>
      </c>
      <c r="C26" s="157">
        <v>5.9810063494321248</v>
      </c>
      <c r="D26" s="157">
        <v>5.4054749240680762</v>
      </c>
      <c r="E26" s="157">
        <v>5.8777774216566385</v>
      </c>
      <c r="F26" s="157">
        <v>4.5381547495108334</v>
      </c>
      <c r="G26" s="157">
        <v>5.8181704637126614</v>
      </c>
      <c r="H26" s="157">
        <v>5.8734507545130326</v>
      </c>
      <c r="I26" s="157">
        <v>5.3891429053033706</v>
      </c>
      <c r="J26" s="157">
        <v>5.2</v>
      </c>
      <c r="K26" s="202">
        <v>4.5999999999999996</v>
      </c>
      <c r="L26" s="171">
        <v>4.2</v>
      </c>
      <c r="M26" s="204">
        <v>5.5</v>
      </c>
      <c r="N26" s="206">
        <v>6.4</v>
      </c>
      <c r="O26" s="196">
        <v>6.8</v>
      </c>
      <c r="P26" s="198">
        <v>6.3</v>
      </c>
      <c r="Q26" s="157">
        <v>5.8</v>
      </c>
      <c r="R26" s="219">
        <v>5.9</v>
      </c>
      <c r="S26" s="176"/>
      <c r="AO26" s="200"/>
    </row>
    <row r="27" spans="1:54" ht="26.15" customHeight="1" thickBot="1" x14ac:dyDescent="0.3">
      <c r="A27" s="9" t="s">
        <v>16</v>
      </c>
      <c r="B27" s="156"/>
      <c r="C27" s="158"/>
      <c r="D27" s="158"/>
      <c r="E27" s="158"/>
      <c r="F27" s="158"/>
      <c r="G27" s="158"/>
      <c r="H27" s="158"/>
      <c r="I27" s="158"/>
      <c r="J27" s="158"/>
      <c r="K27" s="203"/>
      <c r="L27" s="172"/>
      <c r="M27" s="205"/>
      <c r="N27" s="207"/>
      <c r="O27" s="197"/>
      <c r="P27" s="199"/>
      <c r="Q27" s="158"/>
      <c r="R27" s="220"/>
      <c r="S27" s="177"/>
      <c r="AO27" s="201"/>
    </row>
    <row r="28" spans="1:54" ht="13" thickTop="1" x14ac:dyDescent="0.25"/>
    <row r="29" spans="1:54" ht="13" thickBot="1" x14ac:dyDescent="0.3"/>
    <row r="30" spans="1:54" s="7" customFormat="1" ht="16.5" thickTop="1" thickBot="1" x14ac:dyDescent="0.35">
      <c r="A30" s="13" t="s">
        <v>1</v>
      </c>
      <c r="B30" s="4" t="s">
        <v>2</v>
      </c>
      <c r="C30" s="4">
        <v>2005</v>
      </c>
      <c r="D30" s="4">
        <v>2006</v>
      </c>
      <c r="E30" s="4">
        <v>2007</v>
      </c>
      <c r="F30" s="4">
        <v>2008</v>
      </c>
      <c r="G30" s="4">
        <v>2009</v>
      </c>
      <c r="H30" s="4">
        <v>2010</v>
      </c>
      <c r="I30" s="4">
        <v>2011</v>
      </c>
      <c r="J30" s="4">
        <v>2012</v>
      </c>
      <c r="K30" s="5">
        <v>2013</v>
      </c>
      <c r="L30" s="5">
        <v>2014</v>
      </c>
      <c r="M30" s="6">
        <v>2015</v>
      </c>
      <c r="N30" s="6">
        <v>2016</v>
      </c>
      <c r="O30" s="6">
        <v>2017</v>
      </c>
      <c r="P30" s="6">
        <v>2018</v>
      </c>
      <c r="Q30" s="4">
        <v>2019</v>
      </c>
      <c r="R30" s="92">
        <v>2020</v>
      </c>
      <c r="S30" s="175"/>
      <c r="U30" s="17"/>
      <c r="V30" s="17"/>
      <c r="W30" s="16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6"/>
      <c r="AP30" s="17"/>
      <c r="AQ30" s="17"/>
      <c r="AR30" s="17"/>
      <c r="AS30" s="17"/>
      <c r="AT30" s="17"/>
      <c r="AU30" s="17"/>
      <c r="AV30" s="15"/>
      <c r="AW30" s="17"/>
      <c r="AX30" s="17"/>
      <c r="AY30" s="17"/>
      <c r="AZ30" s="17"/>
      <c r="BA30" s="17"/>
      <c r="BB30" s="17"/>
    </row>
    <row r="31" spans="1:54" ht="34.5" customHeight="1" x14ac:dyDescent="0.3">
      <c r="A31" s="14" t="s">
        <v>17</v>
      </c>
      <c r="B31" s="155" t="s">
        <v>10</v>
      </c>
      <c r="C31" s="178">
        <v>0.5547490072860517</v>
      </c>
      <c r="D31" s="178">
        <v>0.487470169525551</v>
      </c>
      <c r="E31" s="178">
        <v>0.38945055310276655</v>
      </c>
      <c r="F31" s="178">
        <v>0.32365800479538515</v>
      </c>
      <c r="G31" s="178">
        <v>0.27524952334634972</v>
      </c>
      <c r="H31" s="178">
        <v>0.40342696136052381</v>
      </c>
      <c r="I31" s="178">
        <v>0.45588934696098171</v>
      </c>
      <c r="J31" s="178">
        <v>0.46250538004477615</v>
      </c>
      <c r="K31" s="190">
        <v>0.441</v>
      </c>
      <c r="L31" s="184">
        <f>(971.679973626667*1000000)/2661281432.28</f>
        <v>0.36511733101230087</v>
      </c>
      <c r="M31" s="214">
        <v>0.29881738799098917</v>
      </c>
      <c r="N31" s="208">
        <v>0.30499999999999999</v>
      </c>
      <c r="O31" s="210">
        <v>0.30857309079064316</v>
      </c>
      <c r="P31" s="212">
        <v>0.31</v>
      </c>
      <c r="Q31" s="178">
        <f>+Full1!E17</f>
        <v>0.2874495120728795</v>
      </c>
      <c r="R31" s="228">
        <f>+Full1!F17</f>
        <v>0.2779534289029873</v>
      </c>
      <c r="S31" s="176"/>
      <c r="AN31" s="16"/>
      <c r="AO31" s="18"/>
    </row>
    <row r="32" spans="1:54" ht="26.15" customHeight="1" thickBot="1" x14ac:dyDescent="0.35">
      <c r="A32" s="9" t="s">
        <v>131</v>
      </c>
      <c r="B32" s="156"/>
      <c r="C32" s="179"/>
      <c r="D32" s="179"/>
      <c r="E32" s="179"/>
      <c r="F32" s="179"/>
      <c r="G32" s="179"/>
      <c r="H32" s="179"/>
      <c r="I32" s="179"/>
      <c r="J32" s="179"/>
      <c r="K32" s="191"/>
      <c r="L32" s="185"/>
      <c r="M32" s="215"/>
      <c r="N32" s="209"/>
      <c r="O32" s="211"/>
      <c r="P32" s="213"/>
      <c r="Q32" s="179"/>
      <c r="R32" s="229"/>
      <c r="S32" s="177"/>
      <c r="W32" s="16"/>
      <c r="AO32" s="19"/>
    </row>
    <row r="33" spans="1:54" s="100" customFormat="1" ht="14.5" thickTop="1" x14ac:dyDescent="0.3"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46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</row>
    <row r="34" spans="1:54" ht="18.5" x14ac:dyDescent="0.45">
      <c r="A34" s="3" t="s">
        <v>18</v>
      </c>
      <c r="AO34" s="19"/>
    </row>
    <row r="35" spans="1:54" ht="13" thickBot="1" x14ac:dyDescent="0.3"/>
    <row r="36" spans="1:54" s="7" customFormat="1" ht="16.5" thickTop="1" thickBot="1" x14ac:dyDescent="0.35">
      <c r="A36" s="13" t="s">
        <v>1</v>
      </c>
      <c r="B36" s="4" t="s">
        <v>2</v>
      </c>
      <c r="C36" s="4">
        <v>2005</v>
      </c>
      <c r="D36" s="4">
        <v>2006</v>
      </c>
      <c r="E36" s="4">
        <v>2007</v>
      </c>
      <c r="F36" s="4">
        <v>2008</v>
      </c>
      <c r="G36" s="4">
        <v>2009</v>
      </c>
      <c r="H36" s="4">
        <v>2010</v>
      </c>
      <c r="I36" s="4">
        <v>2011</v>
      </c>
      <c r="J36" s="4">
        <v>2012</v>
      </c>
      <c r="K36" s="5">
        <v>2013</v>
      </c>
      <c r="L36" s="5">
        <v>2014</v>
      </c>
      <c r="M36" s="6">
        <v>2015</v>
      </c>
      <c r="N36" s="6">
        <v>2016</v>
      </c>
      <c r="O36" s="6">
        <v>2017</v>
      </c>
      <c r="P36" s="5">
        <v>2018</v>
      </c>
      <c r="Q36" s="4">
        <v>2019</v>
      </c>
      <c r="R36" s="94">
        <v>2020</v>
      </c>
      <c r="S36" s="175"/>
      <c r="U36" s="17"/>
      <c r="V36" s="17"/>
      <c r="W36" s="16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5"/>
      <c r="AW36" s="17"/>
      <c r="AX36" s="17"/>
      <c r="AY36" s="17"/>
      <c r="AZ36" s="17"/>
      <c r="BA36" s="17"/>
      <c r="BB36" s="17"/>
    </row>
    <row r="37" spans="1:54" ht="34.5" customHeight="1" x14ac:dyDescent="0.3">
      <c r="A37" s="8" t="s">
        <v>19</v>
      </c>
      <c r="B37" s="155" t="s">
        <v>4</v>
      </c>
      <c r="C37" s="157">
        <v>1208.5282367120194</v>
      </c>
      <c r="D37" s="157">
        <v>1287.541155068317</v>
      </c>
      <c r="E37" s="157">
        <v>1465.8173119032544</v>
      </c>
      <c r="F37" s="157">
        <v>1444.9358128990018</v>
      </c>
      <c r="G37" s="157">
        <v>1436.0873225526152</v>
      </c>
      <c r="H37" s="157">
        <v>1379.3287036669947</v>
      </c>
      <c r="I37" s="157">
        <v>1416.3189495793122</v>
      </c>
      <c r="J37" s="157">
        <v>1427.2344872213273</v>
      </c>
      <c r="K37" s="171">
        <f>2430506527.51/1611822</f>
        <v>1507.9248995918906</v>
      </c>
      <c r="L37" s="171">
        <f>2610915641.61/1602386</f>
        <v>1629.3924445233547</v>
      </c>
      <c r="M37" s="171">
        <v>1615.2784258937836</v>
      </c>
      <c r="N37" s="159">
        <v>1577.5</v>
      </c>
      <c r="O37" s="159">
        <v>1582.5</v>
      </c>
      <c r="P37" s="216">
        <v>1608.37376822685</v>
      </c>
      <c r="Q37" s="157">
        <f>+Full1!E22</f>
        <v>1642.2943589721656</v>
      </c>
      <c r="R37" s="219">
        <f>+Full1!F22</f>
        <v>1655.0317126004334</v>
      </c>
      <c r="S37" s="176"/>
      <c r="AO37" s="16"/>
    </row>
    <row r="38" spans="1:54" ht="26.15" customHeight="1" thickBot="1" x14ac:dyDescent="0.35">
      <c r="A38" s="9" t="s">
        <v>132</v>
      </c>
      <c r="B38" s="156"/>
      <c r="C38" s="158"/>
      <c r="D38" s="158"/>
      <c r="E38" s="158"/>
      <c r="F38" s="158"/>
      <c r="G38" s="158"/>
      <c r="H38" s="158"/>
      <c r="I38" s="158"/>
      <c r="J38" s="158"/>
      <c r="K38" s="172"/>
      <c r="L38" s="172"/>
      <c r="M38" s="172"/>
      <c r="N38" s="160"/>
      <c r="O38" s="160"/>
      <c r="P38" s="162"/>
      <c r="Q38" s="158"/>
      <c r="R38" s="220"/>
      <c r="S38" s="177"/>
      <c r="W38" s="16"/>
    </row>
    <row r="39" spans="1:54" ht="13" thickTop="1" x14ac:dyDescent="0.25"/>
    <row r="40" spans="1:54" ht="13.5" customHeight="1" thickBot="1" x14ac:dyDescent="0.3"/>
    <row r="41" spans="1:54" s="7" customFormat="1" ht="16.5" thickTop="1" thickBot="1" x14ac:dyDescent="0.35">
      <c r="A41" s="13" t="s">
        <v>1</v>
      </c>
      <c r="B41" s="4" t="s">
        <v>2</v>
      </c>
      <c r="C41" s="4">
        <v>2005</v>
      </c>
      <c r="D41" s="4">
        <v>2006</v>
      </c>
      <c r="E41" s="4">
        <v>2007</v>
      </c>
      <c r="F41" s="4">
        <v>2008</v>
      </c>
      <c r="G41" s="4">
        <v>2009</v>
      </c>
      <c r="H41" s="4">
        <v>2010</v>
      </c>
      <c r="I41" s="4">
        <v>2011</v>
      </c>
      <c r="J41" s="4">
        <v>2012</v>
      </c>
      <c r="K41" s="5">
        <v>2013</v>
      </c>
      <c r="L41" s="5">
        <v>2014</v>
      </c>
      <c r="M41" s="6">
        <v>2015</v>
      </c>
      <c r="N41" s="6">
        <v>2016</v>
      </c>
      <c r="O41" s="6">
        <v>2017</v>
      </c>
      <c r="P41" s="6">
        <v>2018</v>
      </c>
      <c r="Q41" s="4">
        <v>2019</v>
      </c>
      <c r="R41" s="92">
        <v>2020</v>
      </c>
      <c r="S41" s="175"/>
      <c r="U41" s="17"/>
      <c r="V41" s="17"/>
      <c r="W41" s="16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5"/>
      <c r="AW41" s="17"/>
      <c r="AX41" s="17"/>
      <c r="AY41" s="17"/>
      <c r="AZ41" s="17"/>
      <c r="BA41" s="17"/>
      <c r="BB41" s="17"/>
    </row>
    <row r="42" spans="1:54" ht="34.5" customHeight="1" x14ac:dyDescent="0.3">
      <c r="A42" s="8" t="s">
        <v>20</v>
      </c>
      <c r="B42" s="155" t="s">
        <v>4</v>
      </c>
      <c r="C42" s="157">
        <v>678.43203927624245</v>
      </c>
      <c r="D42" s="157">
        <v>711.75480677029554</v>
      </c>
      <c r="E42" s="157">
        <v>760.10550199045827</v>
      </c>
      <c r="F42" s="157">
        <v>739.79933481361559</v>
      </c>
      <c r="G42" s="157">
        <v>726.81736588804324</v>
      </c>
      <c r="H42" s="157">
        <v>765.87969087966246</v>
      </c>
      <c r="I42" s="157">
        <v>771.04224836082619</v>
      </c>
      <c r="J42" s="157">
        <v>778.83389700316411</v>
      </c>
      <c r="K42" s="171">
        <f>1300625257.5/1611822</f>
        <v>806.92859230113504</v>
      </c>
      <c r="L42" s="171">
        <f>1341812433.18/1602386</f>
        <v>837.38402181496849</v>
      </c>
      <c r="M42" s="171">
        <v>872.94913302442114</v>
      </c>
      <c r="N42" s="159">
        <v>899.2</v>
      </c>
      <c r="O42" s="159">
        <v>889</v>
      </c>
      <c r="P42" s="216">
        <v>905.66188096594328</v>
      </c>
      <c r="Q42" s="157">
        <f>1511180161.32/1636762</f>
        <v>923.27422149341191</v>
      </c>
      <c r="R42" s="219">
        <f>+Full1!F25</f>
        <v>926.92480783424242</v>
      </c>
      <c r="S42" s="176"/>
      <c r="AO42" s="16"/>
    </row>
    <row r="43" spans="1:54" ht="26.15" customHeight="1" thickBot="1" x14ac:dyDescent="0.35">
      <c r="A43" s="9" t="s">
        <v>133</v>
      </c>
      <c r="B43" s="156"/>
      <c r="C43" s="158"/>
      <c r="D43" s="158"/>
      <c r="E43" s="158"/>
      <c r="F43" s="158"/>
      <c r="G43" s="158"/>
      <c r="H43" s="158"/>
      <c r="I43" s="158"/>
      <c r="J43" s="158"/>
      <c r="K43" s="172"/>
      <c r="L43" s="172"/>
      <c r="M43" s="172"/>
      <c r="N43" s="160"/>
      <c r="O43" s="160"/>
      <c r="P43" s="162"/>
      <c r="Q43" s="158"/>
      <c r="R43" s="220"/>
      <c r="S43" s="177"/>
      <c r="W43" s="16"/>
    </row>
    <row r="44" spans="1:54" ht="13" thickTop="1" x14ac:dyDescent="0.25"/>
    <row r="45" spans="1:54" ht="13.5" customHeight="1" thickBot="1" x14ac:dyDescent="0.3"/>
    <row r="46" spans="1:54" s="7" customFormat="1" ht="16.5" thickTop="1" thickBot="1" x14ac:dyDescent="0.3">
      <c r="A46" s="13" t="s">
        <v>1</v>
      </c>
      <c r="B46" s="4" t="s">
        <v>2</v>
      </c>
      <c r="C46" s="4">
        <v>2005</v>
      </c>
      <c r="D46" s="4">
        <v>2006</v>
      </c>
      <c r="E46" s="4">
        <v>2007</v>
      </c>
      <c r="F46" s="4">
        <v>2008</v>
      </c>
      <c r="G46" s="4">
        <v>2009</v>
      </c>
      <c r="H46" s="4">
        <v>2010</v>
      </c>
      <c r="I46" s="4">
        <v>2011</v>
      </c>
      <c r="J46" s="4">
        <v>2012</v>
      </c>
      <c r="K46" s="5">
        <v>2013</v>
      </c>
      <c r="L46" s="5">
        <v>2014</v>
      </c>
      <c r="M46" s="6">
        <v>2015</v>
      </c>
      <c r="N46" s="6">
        <v>2016</v>
      </c>
      <c r="O46" s="6">
        <v>2017</v>
      </c>
      <c r="P46" s="6">
        <v>2018</v>
      </c>
      <c r="Q46" s="4">
        <v>2019</v>
      </c>
      <c r="R46" s="92">
        <v>2020</v>
      </c>
      <c r="S46" s="175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5"/>
      <c r="AW46" s="17"/>
      <c r="AX46" s="17"/>
      <c r="AY46" s="17"/>
      <c r="AZ46" s="17"/>
      <c r="BA46" s="17"/>
      <c r="BB46" s="17"/>
    </row>
    <row r="47" spans="1:54" ht="34.5" customHeight="1" x14ac:dyDescent="0.3">
      <c r="A47" s="8" t="s">
        <v>21</v>
      </c>
      <c r="B47" s="155" t="s">
        <v>4</v>
      </c>
      <c r="C47" s="157">
        <v>813.32948098488771</v>
      </c>
      <c r="D47" s="157">
        <v>862.53636693900478</v>
      </c>
      <c r="E47" s="157">
        <v>945.84012632984559</v>
      </c>
      <c r="F47" s="157">
        <v>1008.9074502694459</v>
      </c>
      <c r="G47" s="157">
        <v>1069.0904596133175</v>
      </c>
      <c r="H47" s="157">
        <v>1095.1693179801362</v>
      </c>
      <c r="I47" s="157">
        <v>1108.0245261624023</v>
      </c>
      <c r="J47" s="157">
        <v>1115.4115229406586</v>
      </c>
      <c r="K47" s="171">
        <f>1838420398.85/1611822</f>
        <v>1140.5852500152</v>
      </c>
      <c r="L47" s="171">
        <f>1885498459.3/1602386</f>
        <v>1176.681810312871</v>
      </c>
      <c r="M47" s="171">
        <v>1263.9827561909688</v>
      </c>
      <c r="N47" s="159">
        <v>1301.3</v>
      </c>
      <c r="O47" s="171">
        <v>1297.0999999999999</v>
      </c>
      <c r="P47" s="216">
        <v>1343.3006808496709</v>
      </c>
      <c r="Q47" s="157">
        <f>2233766790.08/1636762</f>
        <v>1364.7474648604989</v>
      </c>
      <c r="R47" s="219">
        <f>+Full1!F28</f>
        <v>1399.326744793073</v>
      </c>
      <c r="S47" s="176"/>
      <c r="W47" s="16"/>
      <c r="AO47" s="68"/>
    </row>
    <row r="48" spans="1:54" ht="26.15" customHeight="1" thickBot="1" x14ac:dyDescent="0.3">
      <c r="A48" s="9" t="s">
        <v>22</v>
      </c>
      <c r="B48" s="156"/>
      <c r="C48" s="158"/>
      <c r="D48" s="158"/>
      <c r="E48" s="158"/>
      <c r="F48" s="158"/>
      <c r="G48" s="158"/>
      <c r="H48" s="158"/>
      <c r="I48" s="158"/>
      <c r="J48" s="158"/>
      <c r="K48" s="172"/>
      <c r="L48" s="172"/>
      <c r="M48" s="172"/>
      <c r="N48" s="160"/>
      <c r="O48" s="172"/>
      <c r="P48" s="162"/>
      <c r="Q48" s="158"/>
      <c r="R48" s="220"/>
      <c r="S48" s="177"/>
    </row>
    <row r="49" spans="1:54" ht="13" thickTop="1" x14ac:dyDescent="0.25"/>
    <row r="50" spans="1:54" ht="13.5" customHeight="1" thickBot="1" x14ac:dyDescent="0.35">
      <c r="W50" s="22"/>
    </row>
    <row r="51" spans="1:54" s="7" customFormat="1" ht="16.5" thickTop="1" thickBot="1" x14ac:dyDescent="0.3">
      <c r="A51" s="13" t="s">
        <v>1</v>
      </c>
      <c r="B51" s="4" t="s">
        <v>2</v>
      </c>
      <c r="C51" s="4">
        <v>2005</v>
      </c>
      <c r="D51" s="4">
        <v>2006</v>
      </c>
      <c r="E51" s="4">
        <v>2007</v>
      </c>
      <c r="F51" s="4">
        <v>2008</v>
      </c>
      <c r="G51" s="4">
        <v>2009</v>
      </c>
      <c r="H51" s="4">
        <v>2010</v>
      </c>
      <c r="I51" s="4">
        <v>2011</v>
      </c>
      <c r="J51" s="4">
        <v>2012</v>
      </c>
      <c r="K51" s="5">
        <v>2013</v>
      </c>
      <c r="L51" s="5">
        <v>2014</v>
      </c>
      <c r="M51" s="6">
        <v>2015</v>
      </c>
      <c r="N51" s="6">
        <v>2016</v>
      </c>
      <c r="O51" s="6">
        <v>2017</v>
      </c>
      <c r="P51" s="6">
        <v>2018</v>
      </c>
      <c r="Q51" s="4">
        <v>2019</v>
      </c>
      <c r="R51" s="92">
        <v>2020</v>
      </c>
      <c r="S51" s="175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5"/>
      <c r="AW51" s="17"/>
      <c r="AX51" s="17"/>
      <c r="AY51" s="17"/>
      <c r="AZ51" s="17"/>
      <c r="BA51" s="17"/>
      <c r="BB51" s="17"/>
    </row>
    <row r="52" spans="1:54" ht="34.5" customHeight="1" x14ac:dyDescent="0.25">
      <c r="A52" s="8" t="s">
        <v>23</v>
      </c>
      <c r="B52" s="155" t="s">
        <v>4</v>
      </c>
      <c r="C52" s="157">
        <v>26.43922202658381</v>
      </c>
      <c r="D52" s="157">
        <v>22.017715068865137</v>
      </c>
      <c r="E52" s="157">
        <v>22.265288230905707</v>
      </c>
      <c r="F52" s="157">
        <v>17.650847690586346</v>
      </c>
      <c r="G52" s="157">
        <v>16.173894052371299</v>
      </c>
      <c r="H52" s="157">
        <v>12.979505958302687</v>
      </c>
      <c r="I52" s="157">
        <v>20.964508018828212</v>
      </c>
      <c r="J52" s="157">
        <v>19.992231454159715</v>
      </c>
      <c r="K52" s="171">
        <f>33348541.77/1611822</f>
        <v>20.689965622754869</v>
      </c>
      <c r="L52" s="171">
        <f>29699297.56/1602386</f>
        <v>18.534421518909923</v>
      </c>
      <c r="M52" s="171">
        <v>14.599546946037998</v>
      </c>
      <c r="N52" s="159">
        <v>11.5</v>
      </c>
      <c r="O52" s="159">
        <v>10.9</v>
      </c>
      <c r="P52" s="216">
        <v>7.3492607861421941</v>
      </c>
      <c r="Q52" s="157">
        <f>18068145.28/1636762</f>
        <v>11.038956965032179</v>
      </c>
      <c r="R52" s="219">
        <f>+Full1!F31</f>
        <v>8.4126898405669266</v>
      </c>
      <c r="S52" s="176"/>
      <c r="W52" s="73"/>
      <c r="AO52" s="68"/>
    </row>
    <row r="53" spans="1:54" ht="26.15" customHeight="1" thickBot="1" x14ac:dyDescent="0.3">
      <c r="A53" s="9" t="s">
        <v>24</v>
      </c>
      <c r="B53" s="156"/>
      <c r="C53" s="158"/>
      <c r="D53" s="158"/>
      <c r="E53" s="158"/>
      <c r="F53" s="158"/>
      <c r="G53" s="158"/>
      <c r="H53" s="158"/>
      <c r="I53" s="158"/>
      <c r="J53" s="158"/>
      <c r="K53" s="172"/>
      <c r="L53" s="172"/>
      <c r="M53" s="172"/>
      <c r="N53" s="160"/>
      <c r="O53" s="160"/>
      <c r="P53" s="162"/>
      <c r="Q53" s="158"/>
      <c r="R53" s="220"/>
      <c r="S53" s="177"/>
    </row>
    <row r="54" spans="1:54" ht="13" thickTop="1" x14ac:dyDescent="0.25"/>
    <row r="55" spans="1:54" ht="13.5" customHeight="1" thickBot="1" x14ac:dyDescent="0.3"/>
    <row r="56" spans="1:54" s="7" customFormat="1" ht="16.5" thickTop="1" thickBot="1" x14ac:dyDescent="0.35">
      <c r="A56" s="13" t="s">
        <v>1</v>
      </c>
      <c r="B56" s="4" t="s">
        <v>2</v>
      </c>
      <c r="C56" s="4">
        <v>2005</v>
      </c>
      <c r="D56" s="4">
        <v>2006</v>
      </c>
      <c r="E56" s="4">
        <v>2007</v>
      </c>
      <c r="F56" s="4">
        <v>2008</v>
      </c>
      <c r="G56" s="4">
        <v>2009</v>
      </c>
      <c r="H56" s="4">
        <v>2010</v>
      </c>
      <c r="I56" s="4">
        <v>2011</v>
      </c>
      <c r="J56" s="4">
        <v>2012</v>
      </c>
      <c r="K56" s="5">
        <v>2013</v>
      </c>
      <c r="L56" s="5">
        <v>2014</v>
      </c>
      <c r="M56" s="6">
        <v>2015</v>
      </c>
      <c r="N56" s="6">
        <v>2016</v>
      </c>
      <c r="O56" s="6">
        <v>2017</v>
      </c>
      <c r="P56" s="6">
        <v>2018</v>
      </c>
      <c r="Q56" s="4">
        <v>2019</v>
      </c>
      <c r="R56" s="92">
        <v>2020</v>
      </c>
      <c r="S56" s="175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0"/>
      <c r="AQ56" s="17"/>
      <c r="AR56" s="17"/>
      <c r="AS56" s="17"/>
      <c r="AT56" s="17"/>
      <c r="AU56" s="17"/>
      <c r="AV56" s="15"/>
      <c r="AW56" s="17"/>
      <c r="AX56" s="17"/>
      <c r="AY56" s="17"/>
      <c r="AZ56" s="17"/>
      <c r="BA56" s="17"/>
      <c r="BB56" s="17"/>
    </row>
    <row r="57" spans="1:54" ht="34.5" customHeight="1" x14ac:dyDescent="0.3">
      <c r="A57" s="8" t="s">
        <v>25</v>
      </c>
      <c r="B57" s="155" t="s">
        <v>10</v>
      </c>
      <c r="C57" s="178">
        <v>2.1877206691103587E-2</v>
      </c>
      <c r="D57" s="178">
        <v>1.7100591295426883E-2</v>
      </c>
      <c r="E57" s="178">
        <v>1.5189674763764312E-2</v>
      </c>
      <c r="F57" s="178">
        <v>1.2215662130467318E-2</v>
      </c>
      <c r="G57" s="178">
        <v>1.126247255189367E-2</v>
      </c>
      <c r="H57" s="178">
        <v>9.41001657095673E-3</v>
      </c>
      <c r="I57" s="178">
        <v>1.480210938719367E-2</v>
      </c>
      <c r="J57" s="178">
        <v>1.4007671222324825E-2</v>
      </c>
      <c r="K57" s="169">
        <v>1.4E-2</v>
      </c>
      <c r="L57" s="169">
        <f>29699297.56/2610915641.61</f>
        <v>1.1375050609328061E-2</v>
      </c>
      <c r="M57" s="169">
        <v>9.0384089281447672E-3</v>
      </c>
      <c r="N57" s="217">
        <v>7.0000000000000001E-3</v>
      </c>
      <c r="O57" s="217">
        <v>7.0000000000000001E-3</v>
      </c>
      <c r="P57" s="173">
        <v>4.5693736936809025E-3</v>
      </c>
      <c r="Q57" s="178">
        <f>18068145.28/2688044999.58</f>
        <v>6.721667711226227E-3</v>
      </c>
      <c r="R57" s="228">
        <f>+Full1!F34</f>
        <v>5.0830988775125447E-3</v>
      </c>
      <c r="S57" s="176"/>
      <c r="AO57" s="68"/>
      <c r="AP57" s="22"/>
    </row>
    <row r="58" spans="1:54" ht="26.15" customHeight="1" thickBot="1" x14ac:dyDescent="0.35">
      <c r="A58" s="20" t="s">
        <v>137</v>
      </c>
      <c r="B58" s="156"/>
      <c r="C58" s="179"/>
      <c r="D58" s="179"/>
      <c r="E58" s="179"/>
      <c r="F58" s="179"/>
      <c r="G58" s="179"/>
      <c r="H58" s="179"/>
      <c r="I58" s="179"/>
      <c r="J58" s="179"/>
      <c r="K58" s="170"/>
      <c r="L58" s="170"/>
      <c r="M58" s="170"/>
      <c r="N58" s="218"/>
      <c r="O58" s="218"/>
      <c r="P58" s="174"/>
      <c r="Q58" s="179"/>
      <c r="R58" s="229"/>
      <c r="S58" s="177"/>
      <c r="W58" s="16"/>
      <c r="X58" s="16"/>
      <c r="Y58" s="16"/>
    </row>
    <row r="59" spans="1:54" ht="13" thickTop="1" x14ac:dyDescent="0.25"/>
    <row r="60" spans="1:54" ht="13.5" customHeight="1" thickBot="1" x14ac:dyDescent="0.3"/>
    <row r="61" spans="1:54" s="7" customFormat="1" ht="16.5" thickTop="1" thickBot="1" x14ac:dyDescent="0.3">
      <c r="A61" s="13" t="s">
        <v>1</v>
      </c>
      <c r="B61" s="4" t="s">
        <v>2</v>
      </c>
      <c r="C61" s="4">
        <v>2005</v>
      </c>
      <c r="D61" s="4">
        <v>2006</v>
      </c>
      <c r="E61" s="4">
        <v>2007</v>
      </c>
      <c r="F61" s="4">
        <v>2008</v>
      </c>
      <c r="G61" s="4">
        <v>2009</v>
      </c>
      <c r="H61" s="4">
        <v>2010</v>
      </c>
      <c r="I61" s="4">
        <v>2011</v>
      </c>
      <c r="J61" s="4">
        <v>2012</v>
      </c>
      <c r="K61" s="5">
        <v>2013</v>
      </c>
      <c r="L61" s="5">
        <v>2014</v>
      </c>
      <c r="M61" s="6">
        <v>2015</v>
      </c>
      <c r="N61" s="6">
        <v>2016</v>
      </c>
      <c r="O61" s="6">
        <v>2017</v>
      </c>
      <c r="P61" s="6">
        <v>2018</v>
      </c>
      <c r="Q61" s="4">
        <v>2019</v>
      </c>
      <c r="R61" s="92">
        <v>2020</v>
      </c>
      <c r="S61" s="175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5"/>
      <c r="AW61" s="17"/>
      <c r="AX61" s="17"/>
      <c r="AY61" s="17"/>
      <c r="AZ61" s="17"/>
      <c r="BA61" s="17"/>
      <c r="BB61" s="17"/>
    </row>
    <row r="62" spans="1:54" ht="34.5" customHeight="1" x14ac:dyDescent="0.25">
      <c r="A62" s="8" t="s">
        <v>26</v>
      </c>
      <c r="B62" s="155" t="s">
        <v>10</v>
      </c>
      <c r="C62" s="178">
        <v>0.32700829299804252</v>
      </c>
      <c r="D62" s="178">
        <v>0.3300902549454906</v>
      </c>
      <c r="E62" s="178">
        <v>0.35473532844161682</v>
      </c>
      <c r="F62" s="178">
        <v>0.30176313628405677</v>
      </c>
      <c r="G62" s="178">
        <v>0.25555330596956205</v>
      </c>
      <c r="H62" s="178">
        <v>0.20601281255976964</v>
      </c>
      <c r="I62" s="178">
        <v>0.21767302026742086</v>
      </c>
      <c r="J62" s="178">
        <v>0.21848054196599093</v>
      </c>
      <c r="K62" s="169">
        <v>0.24399999999999999</v>
      </c>
      <c r="L62" s="169">
        <v>0.27784014571327897</v>
      </c>
      <c r="M62" s="169">
        <v>0.21748304445311464</v>
      </c>
      <c r="N62" s="217">
        <v>0.17499999999999999</v>
      </c>
      <c r="O62" s="217">
        <v>0.18</v>
      </c>
      <c r="P62" s="173">
        <v>0.16480813888764709</v>
      </c>
      <c r="Q62" s="178">
        <f>(2688044999.58-2233766790.08)/2688044999.58</f>
        <v>0.16899948087587069</v>
      </c>
      <c r="R62" s="242">
        <f>+Full1!F37</f>
        <v>0.15450155175914373</v>
      </c>
      <c r="S62" s="176"/>
    </row>
    <row r="63" spans="1:54" ht="26.15" customHeight="1" thickBot="1" x14ac:dyDescent="0.3">
      <c r="A63" s="20" t="s">
        <v>136</v>
      </c>
      <c r="B63" s="156"/>
      <c r="C63" s="179"/>
      <c r="D63" s="179"/>
      <c r="E63" s="179"/>
      <c r="F63" s="179"/>
      <c r="G63" s="179"/>
      <c r="H63" s="179"/>
      <c r="I63" s="179"/>
      <c r="J63" s="179"/>
      <c r="K63" s="170"/>
      <c r="L63" s="170"/>
      <c r="M63" s="170"/>
      <c r="N63" s="218"/>
      <c r="O63" s="218"/>
      <c r="P63" s="174"/>
      <c r="Q63" s="179"/>
      <c r="R63" s="243"/>
      <c r="S63" s="177"/>
    </row>
    <row r="64" spans="1:54" ht="12" customHeight="1" thickTop="1" x14ac:dyDescent="0.25"/>
    <row r="65" spans="1:54" ht="12" customHeight="1" thickBot="1" x14ac:dyDescent="0.3"/>
    <row r="66" spans="1:54" s="7" customFormat="1" ht="16.5" thickTop="1" thickBot="1" x14ac:dyDescent="0.3">
      <c r="A66" s="13" t="s">
        <v>1</v>
      </c>
      <c r="B66" s="4" t="s">
        <v>2</v>
      </c>
      <c r="C66" s="4">
        <v>2005</v>
      </c>
      <c r="D66" s="4">
        <v>2006</v>
      </c>
      <c r="E66" s="4">
        <v>2007</v>
      </c>
      <c r="F66" s="4">
        <v>2008</v>
      </c>
      <c r="G66" s="4">
        <v>2009</v>
      </c>
      <c r="H66" s="4">
        <v>2010</v>
      </c>
      <c r="I66" s="4">
        <v>2011</v>
      </c>
      <c r="J66" s="4">
        <v>2012</v>
      </c>
      <c r="K66" s="5">
        <v>2013</v>
      </c>
      <c r="L66" s="6">
        <v>2014</v>
      </c>
      <c r="M66" s="6">
        <v>2015</v>
      </c>
      <c r="N66" s="6">
        <v>2016</v>
      </c>
      <c r="O66" s="6">
        <v>2017</v>
      </c>
      <c r="P66" s="6">
        <v>2018</v>
      </c>
      <c r="Q66" s="4">
        <v>2019</v>
      </c>
      <c r="R66" s="92">
        <v>2020</v>
      </c>
      <c r="S66" s="175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5"/>
      <c r="AW66" s="17"/>
      <c r="AX66" s="17"/>
      <c r="AY66" s="17"/>
      <c r="AZ66" s="17"/>
      <c r="BA66" s="17"/>
      <c r="BB66" s="17"/>
    </row>
    <row r="67" spans="1:54" ht="34.5" customHeight="1" x14ac:dyDescent="0.25">
      <c r="A67" s="8" t="s">
        <v>27</v>
      </c>
      <c r="B67" s="155" t="s">
        <v>10</v>
      </c>
      <c r="C67" s="178">
        <v>0.29373297002724802</v>
      </c>
      <c r="D67" s="178">
        <v>0.29837892603850102</v>
      </c>
      <c r="E67" s="178">
        <v>0.331506220086079</v>
      </c>
      <c r="F67" s="178">
        <v>0.28472977061815802</v>
      </c>
      <c r="G67" s="178">
        <v>0.22459833421626299</v>
      </c>
      <c r="H67" s="178">
        <v>0.130877987985967</v>
      </c>
      <c r="I67" s="178">
        <v>5.0839681381121098E-2</v>
      </c>
      <c r="J67" s="178">
        <v>0.19136452752546701</v>
      </c>
      <c r="K67" s="169">
        <v>0.198325373879747</v>
      </c>
      <c r="L67" s="169">
        <v>0.25088808014550801</v>
      </c>
      <c r="M67" s="169">
        <v>0.19700000000000001</v>
      </c>
      <c r="N67" s="217">
        <v>0.19600000000000001</v>
      </c>
      <c r="O67" s="217">
        <v>0.16600000000000001</v>
      </c>
      <c r="P67" s="173">
        <v>0.15357698289269051</v>
      </c>
      <c r="Q67" s="178">
        <f>+Full1!E40</f>
        <v>0.15504169825625475</v>
      </c>
      <c r="R67" s="228">
        <f>+Full1!F40</f>
        <v>0.10316606470452624</v>
      </c>
      <c r="S67" s="176"/>
    </row>
    <row r="68" spans="1:54" ht="26.15" customHeight="1" thickBot="1" x14ac:dyDescent="0.3">
      <c r="A68" s="20" t="s">
        <v>28</v>
      </c>
      <c r="B68" s="156"/>
      <c r="C68" s="179"/>
      <c r="D68" s="179"/>
      <c r="E68" s="179"/>
      <c r="F68" s="179"/>
      <c r="G68" s="179"/>
      <c r="H68" s="179"/>
      <c r="I68" s="179"/>
      <c r="J68" s="179"/>
      <c r="K68" s="170"/>
      <c r="L68" s="170"/>
      <c r="M68" s="170"/>
      <c r="N68" s="218"/>
      <c r="O68" s="218"/>
      <c r="P68" s="174"/>
      <c r="Q68" s="179"/>
      <c r="R68" s="229"/>
      <c r="S68" s="177"/>
    </row>
    <row r="69" spans="1:54" ht="19" thickTop="1" x14ac:dyDescent="0.45">
      <c r="A69" s="3" t="s">
        <v>29</v>
      </c>
      <c r="W69" s="22"/>
    </row>
    <row r="70" spans="1:54" ht="13.5" customHeight="1" thickBot="1" x14ac:dyDescent="0.3"/>
    <row r="71" spans="1:54" s="7" customFormat="1" ht="16.5" thickTop="1" thickBot="1" x14ac:dyDescent="0.3">
      <c r="A71" s="13" t="s">
        <v>1</v>
      </c>
      <c r="B71" s="4" t="s">
        <v>2</v>
      </c>
      <c r="C71" s="4">
        <v>2005</v>
      </c>
      <c r="D71" s="4">
        <v>2006</v>
      </c>
      <c r="E71" s="4">
        <v>2007</v>
      </c>
      <c r="F71" s="4">
        <v>2008</v>
      </c>
      <c r="G71" s="4">
        <v>2009</v>
      </c>
      <c r="H71" s="4">
        <v>2010</v>
      </c>
      <c r="I71" s="4">
        <v>2011</v>
      </c>
      <c r="J71" s="4">
        <v>2012</v>
      </c>
      <c r="K71" s="5">
        <v>2013</v>
      </c>
      <c r="L71" s="5">
        <v>2014</v>
      </c>
      <c r="M71" s="6">
        <v>2015</v>
      </c>
      <c r="N71" s="6">
        <v>2016</v>
      </c>
      <c r="O71" s="6">
        <v>2017</v>
      </c>
      <c r="P71" s="6">
        <v>2018</v>
      </c>
      <c r="Q71" s="4">
        <v>2019</v>
      </c>
      <c r="R71" s="92">
        <v>2020</v>
      </c>
      <c r="S71" s="175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5"/>
      <c r="AW71" s="17"/>
      <c r="AX71" s="17"/>
      <c r="AY71" s="17"/>
      <c r="AZ71" s="17"/>
      <c r="BA71" s="17"/>
      <c r="BB71" s="17"/>
    </row>
    <row r="72" spans="1:54" ht="34.5" customHeight="1" x14ac:dyDescent="0.25">
      <c r="A72" s="8" t="s">
        <v>30</v>
      </c>
      <c r="B72" s="155" t="s">
        <v>4</v>
      </c>
      <c r="C72" s="157">
        <v>287.24888826326446</v>
      </c>
      <c r="D72" s="157">
        <v>333.79834094626187</v>
      </c>
      <c r="E72" s="157">
        <v>363.0797434973137</v>
      </c>
      <c r="F72" s="157">
        <v>375.65909140248078</v>
      </c>
      <c r="G72" s="157">
        <v>537.21573077888456</v>
      </c>
      <c r="H72" s="157">
        <v>452.92324432159586</v>
      </c>
      <c r="I72" s="157">
        <v>328.84512251709742</v>
      </c>
      <c r="J72" s="157">
        <v>263.24178686110497</v>
      </c>
      <c r="K72" s="171">
        <f>334091750.25/1611822</f>
        <v>207.27583458347138</v>
      </c>
      <c r="L72" s="171">
        <f>613191186.36/1602386</f>
        <v>382.67382912731392</v>
      </c>
      <c r="M72" s="171">
        <v>279.76767761154963</v>
      </c>
      <c r="N72" s="159">
        <v>270.5</v>
      </c>
      <c r="O72" s="159">
        <v>260.7</v>
      </c>
      <c r="P72" s="216">
        <f>+Full1!D45</f>
        <v>254.78494368167728</v>
      </c>
      <c r="Q72" s="157">
        <f>+Full1!E45</f>
        <v>212.29354053918649</v>
      </c>
      <c r="R72" s="219">
        <f>+Full1!F45</f>
        <v>189.50993981506483</v>
      </c>
      <c r="S72" s="176"/>
      <c r="AO72" s="68"/>
    </row>
    <row r="73" spans="1:54" ht="26.15" customHeight="1" thickBot="1" x14ac:dyDescent="0.35">
      <c r="A73" s="9" t="s">
        <v>31</v>
      </c>
      <c r="B73" s="156"/>
      <c r="C73" s="158"/>
      <c r="D73" s="158"/>
      <c r="E73" s="158"/>
      <c r="F73" s="158"/>
      <c r="G73" s="158"/>
      <c r="H73" s="158"/>
      <c r="I73" s="158"/>
      <c r="J73" s="158"/>
      <c r="K73" s="172"/>
      <c r="L73" s="172"/>
      <c r="M73" s="172"/>
      <c r="N73" s="160"/>
      <c r="O73" s="160"/>
      <c r="P73" s="162"/>
      <c r="Q73" s="158"/>
      <c r="R73" s="220"/>
      <c r="S73" s="177"/>
      <c r="W73" s="22"/>
    </row>
    <row r="74" spans="1:54" ht="13" thickTop="1" x14ac:dyDescent="0.25"/>
    <row r="75" spans="1:54" ht="13.5" customHeight="1" thickBot="1" x14ac:dyDescent="0.3"/>
    <row r="76" spans="1:54" s="7" customFormat="1" ht="16.5" thickTop="1" thickBot="1" x14ac:dyDescent="0.3">
      <c r="A76" s="13" t="s">
        <v>1</v>
      </c>
      <c r="B76" s="4" t="s">
        <v>2</v>
      </c>
      <c r="C76" s="4">
        <v>2005</v>
      </c>
      <c r="D76" s="4">
        <v>2006</v>
      </c>
      <c r="E76" s="4">
        <v>2007</v>
      </c>
      <c r="F76" s="4">
        <v>2008</v>
      </c>
      <c r="G76" s="4">
        <v>2009</v>
      </c>
      <c r="H76" s="4">
        <v>2010</v>
      </c>
      <c r="I76" s="4">
        <v>2011</v>
      </c>
      <c r="J76" s="4">
        <v>2012</v>
      </c>
      <c r="K76" s="5">
        <v>2013</v>
      </c>
      <c r="L76" s="5">
        <v>2014</v>
      </c>
      <c r="M76" s="6">
        <v>2015</v>
      </c>
      <c r="N76" s="6">
        <v>2016</v>
      </c>
      <c r="O76" s="6">
        <v>2017</v>
      </c>
      <c r="P76" s="6">
        <v>2018</v>
      </c>
      <c r="Q76" s="4">
        <v>2019</v>
      </c>
      <c r="R76" s="92">
        <v>2020</v>
      </c>
      <c r="S76" s="175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5"/>
      <c r="AW76" s="17"/>
      <c r="AX76" s="17"/>
      <c r="AY76" s="17"/>
      <c r="AZ76" s="17"/>
      <c r="BA76" s="17"/>
      <c r="BB76" s="17"/>
    </row>
    <row r="77" spans="1:54" ht="34.5" customHeight="1" x14ac:dyDescent="0.25">
      <c r="A77" s="8" t="s">
        <v>32</v>
      </c>
      <c r="B77" s="155" t="s">
        <v>4</v>
      </c>
      <c r="C77" s="157">
        <v>60.179469064544989</v>
      </c>
      <c r="D77" s="157">
        <v>94.048404000493278</v>
      </c>
      <c r="E77" s="157">
        <v>125.33817255863232</v>
      </c>
      <c r="F77" s="157">
        <v>111.58945944323563</v>
      </c>
      <c r="G77" s="157">
        <v>285.95475340371507</v>
      </c>
      <c r="H77" s="157">
        <v>181.22188564208685</v>
      </c>
      <c r="I77" s="157">
        <v>111.21213343914505</v>
      </c>
      <c r="J77" s="157">
        <v>243.3272655608497</v>
      </c>
      <c r="K77" s="171">
        <f>311710839.7/1611822</f>
        <v>193.39036177692077</v>
      </c>
      <c r="L77" s="171">
        <f>454767110.56/1602386</f>
        <v>283.80621807729221</v>
      </c>
      <c r="M77" s="171">
        <v>247.32070240658624</v>
      </c>
      <c r="N77" s="159">
        <v>230.3</v>
      </c>
      <c r="O77" s="159">
        <v>219.1</v>
      </c>
      <c r="P77" s="216">
        <v>213.18174466764137</v>
      </c>
      <c r="Q77" s="157">
        <f>329974393.45/1636762</f>
        <v>201.60193934732109</v>
      </c>
      <c r="R77" s="219">
        <f>+Full1!F48</f>
        <v>165.35195886062658</v>
      </c>
      <c r="S77" s="176"/>
      <c r="AO77" s="74"/>
    </row>
    <row r="78" spans="1:54" ht="26.15" customHeight="1" thickBot="1" x14ac:dyDescent="0.35">
      <c r="A78" s="9" t="s">
        <v>33</v>
      </c>
      <c r="B78" s="156"/>
      <c r="C78" s="158"/>
      <c r="D78" s="158"/>
      <c r="E78" s="158"/>
      <c r="F78" s="158"/>
      <c r="G78" s="158"/>
      <c r="H78" s="158"/>
      <c r="I78" s="158"/>
      <c r="J78" s="158"/>
      <c r="K78" s="172"/>
      <c r="L78" s="172"/>
      <c r="M78" s="172"/>
      <c r="N78" s="160"/>
      <c r="O78" s="160"/>
      <c r="P78" s="162"/>
      <c r="Q78" s="158"/>
      <c r="R78" s="220"/>
      <c r="S78" s="177"/>
      <c r="W78" s="22"/>
    </row>
    <row r="79" spans="1:54" ht="13" thickTop="1" x14ac:dyDescent="0.25">
      <c r="A79" s="21" t="s">
        <v>34</v>
      </c>
    </row>
    <row r="80" spans="1:54" ht="13.5" customHeight="1" thickBot="1" x14ac:dyDescent="0.3">
      <c r="AN80" s="75"/>
      <c r="AR80" s="76"/>
      <c r="AS80" s="77"/>
    </row>
    <row r="81" spans="1:54" s="7" customFormat="1" ht="16.5" thickTop="1" thickBot="1" x14ac:dyDescent="0.3">
      <c r="A81" s="13" t="s">
        <v>1</v>
      </c>
      <c r="B81" s="4" t="s">
        <v>2</v>
      </c>
      <c r="C81" s="4">
        <v>2005</v>
      </c>
      <c r="D81" s="4">
        <v>2006</v>
      </c>
      <c r="E81" s="4">
        <v>2007</v>
      </c>
      <c r="F81" s="4">
        <v>2008</v>
      </c>
      <c r="G81" s="4">
        <v>2009</v>
      </c>
      <c r="H81" s="4">
        <v>2010</v>
      </c>
      <c r="I81" s="4">
        <v>2011</v>
      </c>
      <c r="J81" s="4">
        <v>2012</v>
      </c>
      <c r="K81" s="5">
        <v>2013</v>
      </c>
      <c r="L81" s="5">
        <v>2014</v>
      </c>
      <c r="M81" s="6">
        <v>2015</v>
      </c>
      <c r="N81" s="6">
        <v>2016</v>
      </c>
      <c r="O81" s="6">
        <v>2017</v>
      </c>
      <c r="P81" s="6">
        <v>2018</v>
      </c>
      <c r="Q81" s="4">
        <v>2019</v>
      </c>
      <c r="R81" s="92">
        <v>2020</v>
      </c>
      <c r="S81" s="175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76"/>
      <c r="AS81" s="77"/>
      <c r="AT81" s="17"/>
      <c r="AU81" s="17"/>
      <c r="AV81" s="15"/>
      <c r="AW81" s="17"/>
      <c r="AX81" s="17"/>
      <c r="AY81" s="17"/>
      <c r="AZ81" s="17"/>
      <c r="BA81" s="17"/>
      <c r="BB81" s="17"/>
    </row>
    <row r="82" spans="1:54" ht="34.5" customHeight="1" x14ac:dyDescent="0.25">
      <c r="A82" s="8" t="s">
        <v>35</v>
      </c>
      <c r="B82" s="155" t="s">
        <v>10</v>
      </c>
      <c r="C82" s="178">
        <v>0.23936286951631608</v>
      </c>
      <c r="D82" s="178">
        <v>0.2667499028790995</v>
      </c>
      <c r="E82" s="178">
        <v>0.26</v>
      </c>
      <c r="F82" s="178">
        <v>0.252</v>
      </c>
      <c r="G82" s="178">
        <v>0.32</v>
      </c>
      <c r="H82" s="178">
        <v>0.28000000000000003</v>
      </c>
      <c r="I82" s="178">
        <v>0.216</v>
      </c>
      <c r="J82" s="178">
        <v>0.18259141080698638</v>
      </c>
      <c r="K82" s="169">
        <f>334091750.25/2285271901.89</f>
        <v>0.14619343543921159</v>
      </c>
      <c r="L82" s="169">
        <f>613191186.36/2646991423.5</f>
        <v>0.23165590221263518</v>
      </c>
      <c r="M82" s="169">
        <v>0.1608828480957529</v>
      </c>
      <c r="N82" s="217">
        <v>0.161</v>
      </c>
      <c r="O82" s="217">
        <v>0.158</v>
      </c>
      <c r="P82" s="173">
        <v>0.15501243142023627</v>
      </c>
      <c r="Q82" s="178">
        <f>347474174.35/2661366517.39</f>
        <v>0.13056231529160728</v>
      </c>
      <c r="R82" s="228">
        <f>+Full1!F51</f>
        <v>0.11482354583649032</v>
      </c>
      <c r="S82" s="176"/>
      <c r="AN82" s="221"/>
      <c r="AR82" s="76"/>
      <c r="AS82" s="77"/>
    </row>
    <row r="83" spans="1:54" ht="26.15" customHeight="1" thickBot="1" x14ac:dyDescent="0.3">
      <c r="A83" s="20" t="s">
        <v>36</v>
      </c>
      <c r="B83" s="156"/>
      <c r="C83" s="179"/>
      <c r="D83" s="179"/>
      <c r="E83" s="179"/>
      <c r="F83" s="179"/>
      <c r="G83" s="179"/>
      <c r="H83" s="179"/>
      <c r="I83" s="179"/>
      <c r="J83" s="179"/>
      <c r="K83" s="170"/>
      <c r="L83" s="170"/>
      <c r="M83" s="170"/>
      <c r="N83" s="218"/>
      <c r="O83" s="218"/>
      <c r="P83" s="174"/>
      <c r="Q83" s="179"/>
      <c r="R83" s="229"/>
      <c r="S83" s="177"/>
      <c r="AN83" s="221"/>
      <c r="AR83" s="76"/>
      <c r="AS83" s="77"/>
    </row>
    <row r="84" spans="1:54" ht="13" thickTop="1" x14ac:dyDescent="0.25">
      <c r="AR84" s="76"/>
      <c r="AS84" s="78"/>
    </row>
    <row r="85" spans="1:54" ht="6.75" customHeight="1" thickBot="1" x14ac:dyDescent="0.3">
      <c r="AR85" s="76"/>
      <c r="AS85" s="77"/>
    </row>
    <row r="86" spans="1:54" s="7" customFormat="1" ht="16.5" thickTop="1" thickBot="1" x14ac:dyDescent="0.3">
      <c r="A86" s="13" t="s">
        <v>1</v>
      </c>
      <c r="B86" s="4" t="s">
        <v>2</v>
      </c>
      <c r="C86" s="4">
        <v>2005</v>
      </c>
      <c r="D86" s="4">
        <v>2006</v>
      </c>
      <c r="E86" s="4">
        <v>2007</v>
      </c>
      <c r="F86" s="4">
        <v>2008</v>
      </c>
      <c r="G86" s="4">
        <v>2009</v>
      </c>
      <c r="H86" s="4">
        <v>2010</v>
      </c>
      <c r="I86" s="4">
        <v>2011</v>
      </c>
      <c r="J86" s="4">
        <v>2012</v>
      </c>
      <c r="K86" s="5">
        <v>2013</v>
      </c>
      <c r="L86" s="5">
        <v>2014</v>
      </c>
      <c r="M86" s="6">
        <v>2015</v>
      </c>
      <c r="N86" s="6">
        <v>2016</v>
      </c>
      <c r="O86" s="6">
        <v>2017</v>
      </c>
      <c r="P86" s="6">
        <v>2018</v>
      </c>
      <c r="Q86" s="4">
        <v>2019</v>
      </c>
      <c r="R86" s="92">
        <v>2020</v>
      </c>
      <c r="S86" s="175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76"/>
      <c r="AS86" s="70"/>
      <c r="AT86" s="17"/>
      <c r="AU86" s="17"/>
      <c r="AV86" s="15"/>
      <c r="AW86" s="17"/>
      <c r="AX86" s="17"/>
      <c r="AY86" s="17"/>
      <c r="AZ86" s="17"/>
      <c r="BA86" s="17"/>
      <c r="BB86" s="17"/>
    </row>
    <row r="87" spans="1:54" ht="34.5" customHeight="1" x14ac:dyDescent="0.3">
      <c r="A87" s="14" t="s">
        <v>37</v>
      </c>
      <c r="B87" s="155" t="s">
        <v>10</v>
      </c>
      <c r="C87" s="178">
        <v>2.545274483759712E-2</v>
      </c>
      <c r="D87" s="178">
        <v>2.9401304738534015E-2</v>
      </c>
      <c r="E87" s="178">
        <v>4.0339574556689246E-2</v>
      </c>
      <c r="F87" s="178">
        <v>2.9887463573341565E-2</v>
      </c>
      <c r="G87" s="178">
        <v>1.3370657994246582E-2</v>
      </c>
      <c r="H87" s="178">
        <v>1.2896850884786003E-2</v>
      </c>
      <c r="I87" s="178">
        <v>1.15019032003709E-2</v>
      </c>
      <c r="J87" s="178">
        <v>1.3934449435122485E-2</v>
      </c>
      <c r="K87" s="169">
        <v>1.2E-2</v>
      </c>
      <c r="L87" s="169">
        <f>28509287.72/2646991423.5</f>
        <v>1.0770449600589723E-2</v>
      </c>
      <c r="M87" s="182">
        <v>9.803874283123749E-3</v>
      </c>
      <c r="N87" s="222">
        <v>1.6E-2</v>
      </c>
      <c r="O87" s="222">
        <v>1.4999999999999999E-2</v>
      </c>
      <c r="P87" s="224">
        <v>1.4022031153940743E-2</v>
      </c>
      <c r="Q87" s="178">
        <f>+Full1!E54</f>
        <v>2.280690763289012E-2</v>
      </c>
      <c r="R87" s="228">
        <f>+Full1!F54</f>
        <v>1.8853928524275757E-2</v>
      </c>
      <c r="S87" s="176"/>
      <c r="AO87" s="79"/>
      <c r="AP87" s="70"/>
      <c r="AS87" s="22"/>
    </row>
    <row r="88" spans="1:54" ht="32" thickBot="1" x14ac:dyDescent="0.3">
      <c r="A88" s="20" t="s">
        <v>38</v>
      </c>
      <c r="B88" s="156"/>
      <c r="C88" s="179"/>
      <c r="D88" s="179"/>
      <c r="E88" s="179"/>
      <c r="F88" s="179"/>
      <c r="G88" s="179"/>
      <c r="H88" s="179"/>
      <c r="I88" s="179"/>
      <c r="J88" s="179"/>
      <c r="K88" s="170"/>
      <c r="L88" s="170"/>
      <c r="M88" s="183"/>
      <c r="N88" s="223"/>
      <c r="O88" s="223"/>
      <c r="P88" s="225"/>
      <c r="Q88" s="179"/>
      <c r="R88" s="229"/>
      <c r="S88" s="177"/>
      <c r="AO88" s="70"/>
      <c r="AS88" s="70"/>
    </row>
    <row r="89" spans="1:54" ht="13" thickTop="1" x14ac:dyDescent="0.25">
      <c r="C89" s="23"/>
      <c r="D89" s="23"/>
      <c r="E89" s="23"/>
      <c r="F89" s="23"/>
      <c r="G89" s="23"/>
      <c r="H89" s="23"/>
      <c r="I89" s="23"/>
      <c r="J89" s="23"/>
      <c r="K89" s="23"/>
      <c r="Q89" s="23"/>
    </row>
    <row r="90" spans="1:54" ht="3.75" customHeight="1" thickBot="1" x14ac:dyDescent="0.3">
      <c r="A90" s="83"/>
    </row>
    <row r="91" spans="1:54" s="7" customFormat="1" ht="16.5" thickTop="1" thickBot="1" x14ac:dyDescent="0.3">
      <c r="A91" s="13" t="s">
        <v>1</v>
      </c>
      <c r="B91" s="4" t="s">
        <v>2</v>
      </c>
      <c r="C91" s="4">
        <v>2005</v>
      </c>
      <c r="D91" s="4">
        <v>2006</v>
      </c>
      <c r="E91" s="4">
        <v>2007</v>
      </c>
      <c r="F91" s="4">
        <v>2008</v>
      </c>
      <c r="G91" s="4">
        <v>2009</v>
      </c>
      <c r="H91" s="4">
        <v>2010</v>
      </c>
      <c r="I91" s="4">
        <v>2011</v>
      </c>
      <c r="J91" s="4">
        <v>2012</v>
      </c>
      <c r="K91" s="5">
        <v>2013</v>
      </c>
      <c r="L91" s="5">
        <v>2014</v>
      </c>
      <c r="M91" s="6">
        <v>2015</v>
      </c>
      <c r="N91" s="6">
        <v>2016</v>
      </c>
      <c r="O91" s="6">
        <v>2017</v>
      </c>
      <c r="P91" s="6">
        <v>2018</v>
      </c>
      <c r="Q91" s="4">
        <v>2019</v>
      </c>
      <c r="R91" s="92">
        <v>2020</v>
      </c>
      <c r="S91" s="175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5"/>
      <c r="AW91" s="17"/>
      <c r="AX91" s="17"/>
      <c r="AY91" s="17"/>
      <c r="AZ91" s="17"/>
      <c r="BA91" s="17"/>
      <c r="BB91" s="17"/>
    </row>
    <row r="92" spans="1:54" ht="34.5" customHeight="1" x14ac:dyDescent="0.25">
      <c r="A92" s="14" t="s">
        <v>39</v>
      </c>
      <c r="B92" s="155" t="s">
        <v>10</v>
      </c>
      <c r="C92" s="178">
        <v>0.23104574870790687</v>
      </c>
      <c r="D92" s="178">
        <v>0.23779763882564442</v>
      </c>
      <c r="E92" s="178">
        <v>0.23173084766520566</v>
      </c>
      <c r="F92" s="178">
        <v>0.2519490415845177</v>
      </c>
      <c r="G92" s="178">
        <v>0.25427405657681124</v>
      </c>
      <c r="H92" s="178">
        <v>0.1981618727813487</v>
      </c>
      <c r="I92" s="178">
        <v>0.15504678606807415</v>
      </c>
      <c r="J92" s="178">
        <v>0.14377370568528092</v>
      </c>
      <c r="K92" s="169">
        <f>255220740.8/2285271901.89</f>
        <v>0.1116806891070264</v>
      </c>
      <c r="L92" s="169">
        <f>298930832.49/2646991423.5</f>
        <v>0.11293230111593522</v>
      </c>
      <c r="M92" s="169">
        <v>0.10165187296110885</v>
      </c>
      <c r="N92" s="217">
        <v>0.105</v>
      </c>
      <c r="O92" s="217">
        <v>9.7000000000000003E-2</v>
      </c>
      <c r="P92" s="173">
        <v>6.128571219732621E-2</v>
      </c>
      <c r="Q92" s="178">
        <v>4.7E-2</v>
      </c>
      <c r="R92" s="228">
        <f>+Full1!F57</f>
        <v>6.4010534750570447E-2</v>
      </c>
      <c r="S92" s="176"/>
      <c r="AO92" s="68"/>
      <c r="AU92" s="68"/>
    </row>
    <row r="93" spans="1:54" ht="26.15" customHeight="1" thickBot="1" x14ac:dyDescent="0.3">
      <c r="A93" s="20" t="s">
        <v>40</v>
      </c>
      <c r="B93" s="156"/>
      <c r="C93" s="179"/>
      <c r="D93" s="179"/>
      <c r="E93" s="179"/>
      <c r="F93" s="179"/>
      <c r="G93" s="179"/>
      <c r="H93" s="179"/>
      <c r="I93" s="179"/>
      <c r="J93" s="179"/>
      <c r="K93" s="170"/>
      <c r="L93" s="170"/>
      <c r="M93" s="170"/>
      <c r="N93" s="218"/>
      <c r="O93" s="218"/>
      <c r="P93" s="174"/>
      <c r="Q93" s="179"/>
      <c r="R93" s="229"/>
      <c r="S93" s="177"/>
      <c r="AT93" s="68"/>
    </row>
    <row r="94" spans="1:54" ht="13" thickTop="1" x14ac:dyDescent="0.25">
      <c r="A94" s="21" t="s">
        <v>41</v>
      </c>
    </row>
    <row r="95" spans="1:54" ht="13" thickBot="1" x14ac:dyDescent="0.3">
      <c r="A95" s="21"/>
    </row>
    <row r="96" spans="1:54" ht="26.15" customHeight="1" thickTop="1" thickBot="1" x14ac:dyDescent="0.3">
      <c r="A96" s="13" t="s">
        <v>1</v>
      </c>
      <c r="B96" s="4" t="s">
        <v>2</v>
      </c>
      <c r="C96" s="24"/>
      <c r="D96" s="25"/>
      <c r="E96" s="25"/>
      <c r="F96" s="25"/>
      <c r="G96" s="25"/>
      <c r="H96" s="25"/>
      <c r="I96" s="25"/>
      <c r="J96" s="26"/>
      <c r="K96" s="5">
        <v>2013</v>
      </c>
      <c r="L96" s="6">
        <v>2014</v>
      </c>
      <c r="M96" s="6">
        <v>2015</v>
      </c>
      <c r="N96" s="6">
        <v>2016</v>
      </c>
      <c r="O96" s="6">
        <v>2017</v>
      </c>
      <c r="P96" s="6">
        <v>2018</v>
      </c>
      <c r="Q96" s="25">
        <v>2019</v>
      </c>
      <c r="R96" s="96">
        <v>2020</v>
      </c>
      <c r="S96" s="15"/>
    </row>
    <row r="97" spans="1:54" ht="16" thickTop="1" x14ac:dyDescent="0.25">
      <c r="A97" s="27" t="s">
        <v>42</v>
      </c>
      <c r="B97" s="28"/>
      <c r="C97" s="29"/>
      <c r="D97" s="30"/>
      <c r="E97" s="30"/>
      <c r="F97" s="30"/>
      <c r="G97" s="30"/>
      <c r="H97" s="30"/>
      <c r="I97" s="30"/>
      <c r="J97" s="31"/>
      <c r="K97" s="32">
        <f>3007720.35/1611822</f>
        <v>1.8660375339212396</v>
      </c>
      <c r="L97" s="32">
        <f>1399895.15/1602386</f>
        <v>0.87363166552878013</v>
      </c>
      <c r="M97" s="32">
        <f>2082917.64/1604555</f>
        <v>1.2981279170860456</v>
      </c>
      <c r="N97" s="32">
        <f>656149.32/1608746</f>
        <v>0.40786383928848924</v>
      </c>
      <c r="O97" s="33">
        <v>1.45</v>
      </c>
      <c r="P97" s="41">
        <v>1.73</v>
      </c>
      <c r="Q97" s="253">
        <v>1.24</v>
      </c>
      <c r="R97" s="252">
        <v>2.1</v>
      </c>
      <c r="S97" s="35"/>
    </row>
    <row r="98" spans="1:54" ht="15.5" x14ac:dyDescent="0.25">
      <c r="A98" s="36" t="s">
        <v>43</v>
      </c>
      <c r="B98" s="37"/>
      <c r="C98" s="38"/>
      <c r="D98" s="39"/>
      <c r="E98" s="39"/>
      <c r="F98" s="39"/>
      <c r="G98" s="39"/>
      <c r="H98" s="39"/>
      <c r="I98" s="39"/>
      <c r="J98" s="40"/>
      <c r="K98" s="34">
        <f>12238749.43/1611822</f>
        <v>7.5931147670152157</v>
      </c>
      <c r="L98" s="34">
        <f>1211515.17/1602386</f>
        <v>0.7560694926191317</v>
      </c>
      <c r="M98" s="34">
        <f>532323.46/1604555</f>
        <v>0.33175768982677439</v>
      </c>
      <c r="N98" s="34">
        <f>250493.77/1608746</f>
        <v>0.15570747029052442</v>
      </c>
      <c r="O98" s="41">
        <v>1.17</v>
      </c>
      <c r="P98" s="41">
        <v>0</v>
      </c>
      <c r="Q98" s="253">
        <v>0</v>
      </c>
      <c r="R98" s="252">
        <v>0</v>
      </c>
      <c r="S98" s="35"/>
    </row>
    <row r="99" spans="1:54" ht="15.5" x14ac:dyDescent="0.25">
      <c r="A99" s="42" t="s">
        <v>44</v>
      </c>
      <c r="B99" s="37"/>
      <c r="C99" s="38"/>
      <c r="D99" s="39"/>
      <c r="E99" s="43"/>
      <c r="F99" s="43"/>
      <c r="G99" s="43"/>
      <c r="H99" s="43"/>
      <c r="I99" s="39"/>
      <c r="J99" s="40"/>
      <c r="K99" s="34">
        <f>185373.05/1611822</f>
        <v>0.11500838802299508</v>
      </c>
      <c r="L99" s="34">
        <f>0/1602386</f>
        <v>0</v>
      </c>
      <c r="M99" s="34">
        <f>39264.5/1604555</f>
        <v>2.4470647625042457E-2</v>
      </c>
      <c r="N99" s="34">
        <v>0</v>
      </c>
      <c r="O99" s="41">
        <v>0.99</v>
      </c>
      <c r="P99" s="41">
        <v>1.54</v>
      </c>
      <c r="Q99" s="253">
        <v>1.06</v>
      </c>
      <c r="R99" s="97">
        <v>11.2</v>
      </c>
      <c r="S99" s="35"/>
    </row>
    <row r="100" spans="1:54" ht="15.5" x14ac:dyDescent="0.25">
      <c r="A100" s="44" t="s">
        <v>45</v>
      </c>
      <c r="B100" s="37"/>
      <c r="C100" s="38"/>
      <c r="D100" s="39"/>
      <c r="E100" s="43"/>
      <c r="F100" s="43"/>
      <c r="G100" s="43"/>
      <c r="H100" s="43"/>
      <c r="I100" s="39"/>
      <c r="J100" s="40"/>
      <c r="K100" s="34">
        <v>0</v>
      </c>
      <c r="L100" s="34">
        <f>797780.76/1602386</f>
        <v>0.49787052557873074</v>
      </c>
      <c r="M100" s="34">
        <f>1513450.18/1604555</f>
        <v>0.94322112984596973</v>
      </c>
      <c r="N100" s="34">
        <f>1253416.89/1608746</f>
        <v>0.77912665517117052</v>
      </c>
      <c r="O100" s="41">
        <v>1.53</v>
      </c>
      <c r="P100" s="41">
        <v>0.14000000000000001</v>
      </c>
      <c r="Q100" s="253">
        <v>0</v>
      </c>
      <c r="R100" s="97">
        <v>0</v>
      </c>
    </row>
    <row r="101" spans="1:54" ht="15.5" x14ac:dyDescent="0.25">
      <c r="A101" s="36" t="s">
        <v>46</v>
      </c>
      <c r="B101" s="37"/>
      <c r="C101" s="38"/>
      <c r="D101" s="39"/>
      <c r="E101" s="43"/>
      <c r="F101" s="43"/>
      <c r="G101" s="43"/>
      <c r="H101" s="43"/>
      <c r="I101" s="39"/>
      <c r="J101" s="40"/>
      <c r="K101" s="34">
        <f>73786.57/1611822</f>
        <v>4.577836138233627E-2</v>
      </c>
      <c r="L101" s="34">
        <f>54201.24/1602386</f>
        <v>3.3825332972205198E-2</v>
      </c>
      <c r="M101" s="34">
        <f>2169858.05/1604555</f>
        <v>1.3523114196771067</v>
      </c>
      <c r="N101" s="34">
        <f>1308991.93/1608746</f>
        <v>0.81367222047482946</v>
      </c>
      <c r="O101" s="41">
        <v>1.32</v>
      </c>
      <c r="P101" s="41">
        <v>3.49</v>
      </c>
      <c r="Q101" s="253">
        <v>2.41</v>
      </c>
      <c r="R101" s="97">
        <v>2.6</v>
      </c>
    </row>
    <row r="102" spans="1:54" ht="15.5" x14ac:dyDescent="0.25">
      <c r="A102" s="44" t="s">
        <v>47</v>
      </c>
      <c r="B102" s="37"/>
      <c r="C102" s="38"/>
      <c r="D102" s="39"/>
      <c r="E102" s="43"/>
      <c r="F102" s="43"/>
      <c r="G102" s="43"/>
      <c r="H102" s="43"/>
      <c r="I102" s="39"/>
      <c r="J102" s="40"/>
      <c r="K102" s="34">
        <f>6034330.85/1611822</f>
        <v>3.743794817293721</v>
      </c>
      <c r="L102" s="34">
        <f>1248992.46/1602386</f>
        <v>0.77945792087549437</v>
      </c>
      <c r="M102" s="34">
        <f>3725827.01/1604555</f>
        <v>2.3220313482554351</v>
      </c>
      <c r="N102" s="34">
        <f>4873456.16/1608746</f>
        <v>3.0293509105850149</v>
      </c>
      <c r="O102" s="41">
        <v>3.12</v>
      </c>
      <c r="P102" s="41">
        <v>13.25</v>
      </c>
      <c r="Q102" s="253">
        <v>20.7</v>
      </c>
      <c r="R102" s="97">
        <v>9.4</v>
      </c>
    </row>
    <row r="103" spans="1:54" ht="15.5" x14ac:dyDescent="0.25">
      <c r="A103" s="44" t="s">
        <v>48</v>
      </c>
      <c r="B103" s="37"/>
      <c r="C103" s="38"/>
      <c r="D103" s="39"/>
      <c r="E103" s="43"/>
      <c r="F103" s="43"/>
      <c r="G103" s="43"/>
      <c r="H103" s="43"/>
      <c r="I103" s="39"/>
      <c r="J103" s="40"/>
      <c r="K103" s="34">
        <v>0</v>
      </c>
      <c r="L103" s="34">
        <f>1038354.95/1602386</f>
        <v>0.64800550553986369</v>
      </c>
      <c r="M103" s="34">
        <f>992090.18/1604555</f>
        <v>0.61829615064612931</v>
      </c>
      <c r="N103" s="34">
        <v>0</v>
      </c>
      <c r="O103" s="41">
        <v>0.28000000000000003</v>
      </c>
      <c r="P103" s="41">
        <v>0.33</v>
      </c>
      <c r="Q103" s="253">
        <v>0.02</v>
      </c>
      <c r="R103" s="97">
        <v>0</v>
      </c>
      <c r="S103" s="35"/>
    </row>
    <row r="104" spans="1:54" ht="15.5" x14ac:dyDescent="0.25">
      <c r="A104" s="36" t="s">
        <v>49</v>
      </c>
      <c r="B104" s="37"/>
      <c r="C104" s="38"/>
      <c r="D104" s="39"/>
      <c r="E104" s="39"/>
      <c r="F104" s="39"/>
      <c r="G104" s="39"/>
      <c r="H104" s="39"/>
      <c r="I104" s="39"/>
      <c r="J104" s="40"/>
      <c r="K104" s="34">
        <f>10859434.94/1611822</f>
        <v>6.7373661235545859</v>
      </c>
      <c r="L104" s="34">
        <f>2926349.79/1602386</f>
        <v>1.8262452305499424</v>
      </c>
      <c r="M104" s="34">
        <f>5135520.4/1604555</f>
        <v>3.2005885744022486</v>
      </c>
      <c r="N104" s="34">
        <f>1101079.02/1608746</f>
        <v>0.68443310503957744</v>
      </c>
      <c r="O104" s="41">
        <v>0.51</v>
      </c>
      <c r="P104" s="41">
        <v>1.05</v>
      </c>
      <c r="Q104" s="253">
        <v>0.48</v>
      </c>
      <c r="R104" s="97">
        <v>0.1</v>
      </c>
      <c r="T104" s="15"/>
    </row>
    <row r="105" spans="1:54" ht="16" thickBot="1" x14ac:dyDescent="0.3">
      <c r="A105" s="45" t="s">
        <v>50</v>
      </c>
      <c r="B105" s="46"/>
      <c r="C105" s="47"/>
      <c r="D105" s="48"/>
      <c r="E105" s="48"/>
      <c r="F105" s="48"/>
      <c r="G105" s="48"/>
      <c r="H105" s="48"/>
      <c r="I105" s="48"/>
      <c r="J105" s="49"/>
      <c r="K105" s="50">
        <f>64625797.42/1611822</f>
        <v>40.094872399061437</v>
      </c>
      <c r="L105" s="50">
        <f>171225559.15/1602386</f>
        <v>106.85662452742348</v>
      </c>
      <c r="M105" s="50">
        <f>144793728.07/1604555</f>
        <v>90.239180377113897</v>
      </c>
      <c r="N105" s="50">
        <f>106283352.3/1608746</f>
        <v>66.065962122050337</v>
      </c>
      <c r="O105" s="51">
        <v>60.61</v>
      </c>
      <c r="P105" s="51">
        <v>94.42</v>
      </c>
      <c r="Q105" s="254">
        <v>90.4</v>
      </c>
      <c r="R105" s="98">
        <v>101.8</v>
      </c>
      <c r="S105" s="95"/>
      <c r="T105" s="15"/>
    </row>
    <row r="106" spans="1:54" ht="34.5" customHeight="1" thickTop="1" x14ac:dyDescent="0.25">
      <c r="A106" s="14" t="s">
        <v>51</v>
      </c>
      <c r="B106" s="155" t="s">
        <v>4</v>
      </c>
      <c r="C106" s="52"/>
      <c r="D106" s="53"/>
      <c r="E106" s="53"/>
      <c r="F106" s="53"/>
      <c r="G106" s="53"/>
      <c r="H106" s="53"/>
      <c r="I106" s="53"/>
      <c r="J106" s="54"/>
      <c r="K106" s="157">
        <f>SUM(K97:K105)</f>
        <v>60.195972390251526</v>
      </c>
      <c r="L106" s="157">
        <f>SUM(L97:L105)</f>
        <v>112.27173020108762</v>
      </c>
      <c r="M106" s="157">
        <f>SUM(M97:M105)</f>
        <v>100.32998525447864</v>
      </c>
      <c r="N106" s="171">
        <f>SUM(N97:N105)</f>
        <v>71.936116322899949</v>
      </c>
      <c r="O106" s="171">
        <f>SUM(O97:O105)</f>
        <v>70.98</v>
      </c>
      <c r="P106" s="147">
        <v>115.95</v>
      </c>
      <c r="Q106" s="147">
        <f>SUM(Q97:Q105)</f>
        <v>116.31</v>
      </c>
      <c r="R106" s="250">
        <v>127.3</v>
      </c>
      <c r="S106" s="226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</row>
    <row r="107" spans="1:54" ht="25.5" customHeight="1" thickBot="1" x14ac:dyDescent="0.3">
      <c r="A107" s="20" t="s">
        <v>52</v>
      </c>
      <c r="B107" s="156"/>
      <c r="C107" s="56"/>
      <c r="D107" s="57"/>
      <c r="E107" s="57"/>
      <c r="F107" s="57"/>
      <c r="G107" s="57"/>
      <c r="H107" s="57"/>
      <c r="I107" s="57"/>
      <c r="J107" s="58"/>
      <c r="K107" s="158"/>
      <c r="L107" s="158"/>
      <c r="M107" s="158"/>
      <c r="N107" s="172"/>
      <c r="O107" s="172"/>
      <c r="P107" s="148"/>
      <c r="Q107" s="148"/>
      <c r="R107" s="251"/>
      <c r="S107" s="227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</row>
    <row r="108" spans="1:54" ht="17.25" customHeight="1" thickTop="1" x14ac:dyDescent="0.25">
      <c r="A108" s="21" t="s">
        <v>53</v>
      </c>
      <c r="B108" s="53"/>
      <c r="C108" s="59"/>
      <c r="D108" s="59"/>
      <c r="E108" s="59"/>
      <c r="F108" s="59"/>
      <c r="H108" s="59"/>
      <c r="I108" s="59"/>
      <c r="J108" s="59"/>
      <c r="K108" s="59"/>
      <c r="L108" s="59"/>
      <c r="M108" s="59"/>
      <c r="N108" s="59"/>
      <c r="O108" s="59"/>
      <c r="P108" s="99"/>
      <c r="Q108" s="99"/>
      <c r="R108" s="84"/>
      <c r="S108" s="35"/>
      <c r="T108" s="15"/>
    </row>
    <row r="109" spans="1:54" ht="18.5" x14ac:dyDescent="0.45">
      <c r="A109" s="60" t="s">
        <v>54</v>
      </c>
      <c r="T109" s="15"/>
    </row>
    <row r="110" spans="1:54" ht="13.5" customHeight="1" thickBot="1" x14ac:dyDescent="0.3">
      <c r="T110" s="15"/>
    </row>
    <row r="111" spans="1:54" s="7" customFormat="1" ht="16.5" thickTop="1" thickBot="1" x14ac:dyDescent="0.3">
      <c r="A111" s="13" t="s">
        <v>1</v>
      </c>
      <c r="B111" s="4" t="s">
        <v>2</v>
      </c>
      <c r="C111" s="4">
        <v>2005</v>
      </c>
      <c r="D111" s="4">
        <v>2006</v>
      </c>
      <c r="E111" s="4">
        <v>2007</v>
      </c>
      <c r="F111" s="4">
        <v>2008</v>
      </c>
      <c r="G111" s="4">
        <v>2009</v>
      </c>
      <c r="H111" s="4">
        <v>2010</v>
      </c>
      <c r="I111" s="4">
        <v>2011</v>
      </c>
      <c r="J111" s="4">
        <v>2012</v>
      </c>
      <c r="K111" s="5">
        <v>2013</v>
      </c>
      <c r="L111" s="5">
        <v>2014</v>
      </c>
      <c r="M111" s="6">
        <v>2015</v>
      </c>
      <c r="N111" s="6">
        <v>2016</v>
      </c>
      <c r="O111" s="6">
        <v>2017</v>
      </c>
      <c r="P111" s="6">
        <v>2018</v>
      </c>
      <c r="Q111" s="4">
        <v>2019</v>
      </c>
      <c r="R111" s="92">
        <v>2020</v>
      </c>
      <c r="S111" s="175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5"/>
      <c r="AW111" s="17"/>
      <c r="AX111" s="17"/>
      <c r="AY111" s="17"/>
      <c r="AZ111" s="17"/>
      <c r="BA111" s="17"/>
      <c r="BB111" s="17"/>
    </row>
    <row r="112" spans="1:54" ht="34.5" customHeight="1" x14ac:dyDescent="0.3">
      <c r="A112" s="14" t="s">
        <v>55</v>
      </c>
      <c r="B112" s="155" t="s">
        <v>10</v>
      </c>
      <c r="C112" s="178">
        <v>1.0381096817753341</v>
      </c>
      <c r="D112" s="178">
        <v>1.025690017606157</v>
      </c>
      <c r="E112" s="178">
        <v>1.0129999999999999</v>
      </c>
      <c r="F112" s="178">
        <v>0.93700000000000006</v>
      </c>
      <c r="G112" s="178">
        <v>0.95499999999999996</v>
      </c>
      <c r="H112" s="178">
        <v>1.0009999999999999</v>
      </c>
      <c r="I112" s="178">
        <v>0.91100000000000003</v>
      </c>
      <c r="J112" s="178">
        <v>0.99548946881936806</v>
      </c>
      <c r="K112" s="169">
        <f>2500163020.84/2348803519.49</f>
        <v>1.06444110803396</v>
      </c>
      <c r="L112" s="169">
        <v>0.98499999999999999</v>
      </c>
      <c r="M112" s="169">
        <v>0.98507799689067144</v>
      </c>
      <c r="N112" s="217">
        <v>0.96499999999999997</v>
      </c>
      <c r="O112" s="217">
        <v>0.97899999999999998</v>
      </c>
      <c r="P112" s="173">
        <v>0.97068457052849821</v>
      </c>
      <c r="Q112" s="178">
        <f>2713520908.56/2709318157.51</f>
        <v>1.0015512209366588</v>
      </c>
      <c r="R112" s="228">
        <f>+Full1!F73</f>
        <v>0.94512199126522822</v>
      </c>
      <c r="S112" s="176"/>
      <c r="U112" s="22"/>
      <c r="W112" s="22"/>
      <c r="Y112" s="22"/>
      <c r="AO112" s="16"/>
    </row>
    <row r="113" spans="1:54" ht="26.15" customHeight="1" thickBot="1" x14ac:dyDescent="0.3">
      <c r="A113" s="20" t="s">
        <v>56</v>
      </c>
      <c r="B113" s="156"/>
      <c r="C113" s="179"/>
      <c r="D113" s="179"/>
      <c r="E113" s="179"/>
      <c r="F113" s="179"/>
      <c r="G113" s="179"/>
      <c r="H113" s="179"/>
      <c r="I113" s="179"/>
      <c r="J113" s="179"/>
      <c r="K113" s="170"/>
      <c r="L113" s="170"/>
      <c r="M113" s="170"/>
      <c r="N113" s="218"/>
      <c r="O113" s="218"/>
      <c r="P113" s="174"/>
      <c r="Q113" s="179"/>
      <c r="R113" s="229"/>
      <c r="S113" s="177"/>
    </row>
    <row r="114" spans="1:54" ht="13.5" customHeight="1" thickTop="1" x14ac:dyDescent="0.3">
      <c r="AO114" s="16"/>
    </row>
    <row r="115" spans="1:54" ht="13.5" customHeight="1" thickBot="1" x14ac:dyDescent="0.3"/>
    <row r="116" spans="1:54" s="7" customFormat="1" ht="16.5" thickTop="1" thickBot="1" x14ac:dyDescent="0.35">
      <c r="A116" s="13" t="s">
        <v>1</v>
      </c>
      <c r="B116" s="4" t="s">
        <v>2</v>
      </c>
      <c r="C116" s="4">
        <v>2005</v>
      </c>
      <c r="D116" s="4">
        <v>2006</v>
      </c>
      <c r="E116" s="4">
        <v>2007</v>
      </c>
      <c r="F116" s="4">
        <v>2008</v>
      </c>
      <c r="G116" s="4">
        <v>2009</v>
      </c>
      <c r="H116" s="4">
        <v>2010</v>
      </c>
      <c r="I116" s="4">
        <v>2011</v>
      </c>
      <c r="J116" s="4">
        <v>2012</v>
      </c>
      <c r="K116" s="5">
        <v>2013</v>
      </c>
      <c r="L116" s="5">
        <v>2014</v>
      </c>
      <c r="M116" s="6">
        <v>2015</v>
      </c>
      <c r="N116" s="6">
        <v>2016</v>
      </c>
      <c r="O116" s="6">
        <v>2017</v>
      </c>
      <c r="P116" s="6">
        <v>2018</v>
      </c>
      <c r="Q116" s="4">
        <v>2019</v>
      </c>
      <c r="R116" s="92">
        <v>2020</v>
      </c>
      <c r="S116" s="175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6"/>
      <c r="AP116" s="17"/>
      <c r="AQ116" s="17"/>
      <c r="AR116" s="17"/>
      <c r="AS116" s="17"/>
      <c r="AT116" s="17"/>
      <c r="AU116" s="17"/>
      <c r="AV116" s="15"/>
      <c r="AW116" s="17"/>
      <c r="AX116" s="17"/>
      <c r="AY116" s="17"/>
      <c r="AZ116" s="17"/>
      <c r="BA116" s="17"/>
      <c r="BB116" s="17"/>
    </row>
    <row r="117" spans="1:54" ht="34.5" customHeight="1" x14ac:dyDescent="0.3">
      <c r="A117" s="14" t="s">
        <v>57</v>
      </c>
      <c r="B117" s="155" t="s">
        <v>10</v>
      </c>
      <c r="C117" s="178">
        <v>1.0663152584502087</v>
      </c>
      <c r="D117" s="178">
        <v>1.0744089427376966</v>
      </c>
      <c r="E117" s="178">
        <v>1.1113869213206942</v>
      </c>
      <c r="F117" s="178">
        <v>1.0354269379660004</v>
      </c>
      <c r="G117" s="178">
        <v>1.0146400251373096</v>
      </c>
      <c r="H117" s="178">
        <v>1.0533153349345168</v>
      </c>
      <c r="I117" s="178">
        <v>1.0419637945556162</v>
      </c>
      <c r="J117" s="178">
        <v>1.0408786052174679</v>
      </c>
      <c r="K117" s="169">
        <f>2430506527.51/2221961334.98</f>
        <v>1.0938563553050653</v>
      </c>
      <c r="L117" s="169">
        <v>1.123</v>
      </c>
      <c r="M117" s="169">
        <v>1.0936236202115717</v>
      </c>
      <c r="N117" s="217">
        <v>1.069</v>
      </c>
      <c r="O117" s="217">
        <v>1.0169999999999999</v>
      </c>
      <c r="P117" s="173">
        <v>1.007946754405302</v>
      </c>
      <c r="Q117" s="178">
        <f>2688044999.58/2593968009.29</f>
        <v>1.0362675985027856</v>
      </c>
      <c r="R117" s="228">
        <f>+Full1!F76</f>
        <v>0.98499999999999999</v>
      </c>
      <c r="S117" s="176"/>
      <c r="U117" s="10"/>
      <c r="V117" s="10"/>
    </row>
    <row r="118" spans="1:54" ht="26.15" customHeight="1" thickBot="1" x14ac:dyDescent="0.35">
      <c r="A118" s="20" t="s">
        <v>58</v>
      </c>
      <c r="B118" s="156"/>
      <c r="C118" s="179"/>
      <c r="D118" s="179"/>
      <c r="E118" s="179"/>
      <c r="F118" s="179"/>
      <c r="G118" s="179"/>
      <c r="H118" s="179"/>
      <c r="I118" s="179"/>
      <c r="J118" s="179"/>
      <c r="K118" s="170"/>
      <c r="L118" s="170"/>
      <c r="M118" s="170"/>
      <c r="N118" s="218"/>
      <c r="O118" s="218"/>
      <c r="P118" s="174"/>
      <c r="Q118" s="179"/>
      <c r="R118" s="229"/>
      <c r="S118" s="177"/>
      <c r="U118" s="22"/>
      <c r="V118" s="22"/>
      <c r="W118" s="73"/>
      <c r="AO118" s="16"/>
    </row>
    <row r="119" spans="1:54" ht="13.5" customHeight="1" thickTop="1" x14ac:dyDescent="0.25"/>
    <row r="120" spans="1:54" ht="13.5" customHeight="1" thickBot="1" x14ac:dyDescent="0.3"/>
    <row r="121" spans="1:54" s="7" customFormat="1" ht="16.5" thickTop="1" thickBot="1" x14ac:dyDescent="0.35">
      <c r="A121" s="13" t="s">
        <v>1</v>
      </c>
      <c r="B121" s="4" t="s">
        <v>2</v>
      </c>
      <c r="C121" s="4">
        <v>2005</v>
      </c>
      <c r="D121" s="4">
        <v>2006</v>
      </c>
      <c r="E121" s="4">
        <v>2007</v>
      </c>
      <c r="F121" s="4">
        <v>2008</v>
      </c>
      <c r="G121" s="4">
        <v>2009</v>
      </c>
      <c r="H121" s="4">
        <v>2010</v>
      </c>
      <c r="I121" s="4">
        <v>2011</v>
      </c>
      <c r="J121" s="4">
        <v>2012</v>
      </c>
      <c r="K121" s="5">
        <v>2013</v>
      </c>
      <c r="L121" s="5">
        <v>2014</v>
      </c>
      <c r="M121" s="6">
        <v>2015</v>
      </c>
      <c r="N121" s="6">
        <v>2016</v>
      </c>
      <c r="O121" s="6">
        <v>2017</v>
      </c>
      <c r="P121" s="6">
        <v>2018</v>
      </c>
      <c r="Q121" s="4">
        <v>2019</v>
      </c>
      <c r="R121" s="92">
        <v>2020</v>
      </c>
      <c r="S121" s="175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6"/>
      <c r="AP121" s="17"/>
      <c r="AQ121" s="17"/>
      <c r="AR121" s="17"/>
      <c r="AS121" s="17"/>
      <c r="AT121" s="17"/>
      <c r="AU121" s="17"/>
      <c r="AV121" s="15"/>
      <c r="AW121" s="17"/>
      <c r="AX121" s="17"/>
      <c r="AY121" s="17"/>
      <c r="AZ121" s="17"/>
      <c r="BA121" s="17"/>
      <c r="BB121" s="17"/>
    </row>
    <row r="122" spans="1:54" ht="34.5" customHeight="1" x14ac:dyDescent="0.3">
      <c r="A122" s="14" t="s">
        <v>59</v>
      </c>
      <c r="B122" s="155" t="s">
        <v>10</v>
      </c>
      <c r="C122" s="178">
        <v>0.86357196214619014</v>
      </c>
      <c r="D122" s="178">
        <v>0.86404179289746452</v>
      </c>
      <c r="E122" s="178">
        <v>0.65710389785111256</v>
      </c>
      <c r="F122" s="178">
        <v>0.63840717520936219</v>
      </c>
      <c r="G122" s="178">
        <v>0.87837218678539541</v>
      </c>
      <c r="H122" s="178">
        <v>0.82618260755294937</v>
      </c>
      <c r="I122" s="178">
        <v>0.98394234083001963</v>
      </c>
      <c r="J122" s="178">
        <v>0.9244794269844413</v>
      </c>
      <c r="K122" s="169">
        <f>28408197.23/17675195.4</f>
        <v>1.6072352574953714</v>
      </c>
      <c r="L122" s="169">
        <v>1.4079999999999999</v>
      </c>
      <c r="M122" s="169">
        <v>0.80080268129218068</v>
      </c>
      <c r="N122" s="217">
        <v>2.12</v>
      </c>
      <c r="O122" s="217">
        <v>0.65200000000000002</v>
      </c>
      <c r="P122" s="173">
        <v>0.90700000000000003</v>
      </c>
      <c r="Q122" s="178">
        <f>24695276/31540700</f>
        <v>0.78296537489656226</v>
      </c>
      <c r="R122" s="228">
        <f>+Full1!F79</f>
        <v>0.42299999999999999</v>
      </c>
      <c r="S122" s="176"/>
      <c r="U122" s="10"/>
      <c r="V122" s="10"/>
    </row>
    <row r="123" spans="1:54" ht="26.15" customHeight="1" thickBot="1" x14ac:dyDescent="0.35">
      <c r="A123" s="20" t="s">
        <v>60</v>
      </c>
      <c r="B123" s="156"/>
      <c r="C123" s="179"/>
      <c r="D123" s="179"/>
      <c r="E123" s="179"/>
      <c r="F123" s="179"/>
      <c r="G123" s="179"/>
      <c r="H123" s="179"/>
      <c r="I123" s="179"/>
      <c r="J123" s="179"/>
      <c r="K123" s="170"/>
      <c r="L123" s="170"/>
      <c r="M123" s="170"/>
      <c r="N123" s="218"/>
      <c r="O123" s="218"/>
      <c r="P123" s="174"/>
      <c r="Q123" s="179"/>
      <c r="R123" s="229"/>
      <c r="S123" s="177"/>
      <c r="U123" s="22"/>
      <c r="V123" s="22"/>
      <c r="AO123" s="16"/>
    </row>
    <row r="124" spans="1:54" ht="13.5" customHeight="1" thickTop="1" x14ac:dyDescent="0.25"/>
    <row r="125" spans="1:54" ht="13.5" customHeight="1" thickBot="1" x14ac:dyDescent="0.3"/>
    <row r="126" spans="1:54" s="7" customFormat="1" ht="16.5" thickTop="1" thickBot="1" x14ac:dyDescent="0.35">
      <c r="A126" s="13" t="s">
        <v>1</v>
      </c>
      <c r="B126" s="4" t="s">
        <v>2</v>
      </c>
      <c r="C126" s="4">
        <v>2005</v>
      </c>
      <c r="D126" s="4">
        <v>2006</v>
      </c>
      <c r="E126" s="4">
        <v>2007</v>
      </c>
      <c r="F126" s="4">
        <v>2008</v>
      </c>
      <c r="G126" s="4">
        <v>2009</v>
      </c>
      <c r="H126" s="4">
        <v>2010</v>
      </c>
      <c r="I126" s="4">
        <v>2011</v>
      </c>
      <c r="J126" s="4">
        <v>2012</v>
      </c>
      <c r="K126" s="5">
        <v>2013</v>
      </c>
      <c r="L126" s="5">
        <v>2014</v>
      </c>
      <c r="M126" s="6">
        <v>2015</v>
      </c>
      <c r="N126" s="6">
        <v>2016</v>
      </c>
      <c r="O126" s="6">
        <v>2017</v>
      </c>
      <c r="P126" s="6">
        <v>2018</v>
      </c>
      <c r="Q126" s="4">
        <v>2019</v>
      </c>
      <c r="R126" s="92">
        <v>2020</v>
      </c>
      <c r="S126" s="175"/>
      <c r="U126" s="10"/>
      <c r="V126" s="10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68"/>
      <c r="AP126" s="17"/>
      <c r="AQ126" s="17"/>
      <c r="AR126" s="17"/>
      <c r="AS126" s="17"/>
      <c r="AT126" s="17"/>
      <c r="AU126" s="17"/>
      <c r="AV126" s="15"/>
      <c r="AW126" s="17"/>
      <c r="AX126" s="17"/>
      <c r="AY126" s="17"/>
      <c r="AZ126" s="17"/>
      <c r="BA126" s="17"/>
      <c r="BB126" s="17"/>
    </row>
    <row r="127" spans="1:54" ht="34.5" customHeight="1" x14ac:dyDescent="0.3">
      <c r="A127" s="14" t="s">
        <v>61</v>
      </c>
      <c r="B127" s="155" t="s">
        <v>10</v>
      </c>
      <c r="C127" s="178">
        <v>0.95876869940992926</v>
      </c>
      <c r="D127" s="178">
        <v>0.94663444825816923</v>
      </c>
      <c r="E127" s="178">
        <v>0.94899999999999995</v>
      </c>
      <c r="F127" s="178">
        <v>0.94699999999999995</v>
      </c>
      <c r="G127" s="178">
        <v>0.95399999999999996</v>
      </c>
      <c r="H127" s="178">
        <v>0.88</v>
      </c>
      <c r="I127" s="178">
        <v>0.93500000000000005</v>
      </c>
      <c r="J127" s="178">
        <v>0.92348965474774058</v>
      </c>
      <c r="K127" s="169">
        <f>2285271901.89/2342625404.29</f>
        <v>0.97551742489645599</v>
      </c>
      <c r="L127" s="169">
        <v>0.98</v>
      </c>
      <c r="M127" s="169">
        <v>0.98285576388216633</v>
      </c>
      <c r="N127" s="217">
        <v>0.97599999999999998</v>
      </c>
      <c r="O127" s="217">
        <v>0.96599999999999997</v>
      </c>
      <c r="P127" s="173">
        <v>0.95871335769626298</v>
      </c>
      <c r="Q127" s="178">
        <f>2661366517.39/2709318157.51</f>
        <v>0.98230121479565535</v>
      </c>
      <c r="R127" s="228">
        <f>+Full1!F82</f>
        <v>0.90300000000000002</v>
      </c>
      <c r="S127" s="176"/>
      <c r="U127" s="22"/>
      <c r="V127" s="22"/>
    </row>
    <row r="128" spans="1:54" ht="26.15" customHeight="1" thickBot="1" x14ac:dyDescent="0.3">
      <c r="A128" s="9" t="s">
        <v>62</v>
      </c>
      <c r="B128" s="156"/>
      <c r="C128" s="179"/>
      <c r="D128" s="179"/>
      <c r="E128" s="179"/>
      <c r="F128" s="179"/>
      <c r="G128" s="179"/>
      <c r="H128" s="179"/>
      <c r="I128" s="179"/>
      <c r="J128" s="179"/>
      <c r="K128" s="170"/>
      <c r="L128" s="170"/>
      <c r="M128" s="170"/>
      <c r="N128" s="218"/>
      <c r="O128" s="218"/>
      <c r="P128" s="174"/>
      <c r="Q128" s="179"/>
      <c r="R128" s="229"/>
      <c r="S128" s="177"/>
      <c r="AO128" s="68"/>
    </row>
    <row r="129" spans="1:54" ht="13.5" customHeight="1" thickTop="1" x14ac:dyDescent="0.25"/>
    <row r="130" spans="1:54" ht="13.5" customHeight="1" thickBot="1" x14ac:dyDescent="0.3">
      <c r="AO130" s="17"/>
    </row>
    <row r="131" spans="1:54" s="7" customFormat="1" ht="16.5" thickTop="1" thickBot="1" x14ac:dyDescent="0.3">
      <c r="A131" s="13" t="s">
        <v>1</v>
      </c>
      <c r="B131" s="4" t="s">
        <v>2</v>
      </c>
      <c r="C131" s="4">
        <v>2005</v>
      </c>
      <c r="D131" s="4">
        <v>2006</v>
      </c>
      <c r="E131" s="4">
        <v>2007</v>
      </c>
      <c r="F131" s="4">
        <v>2008</v>
      </c>
      <c r="G131" s="4">
        <v>2009</v>
      </c>
      <c r="H131" s="4">
        <v>2010</v>
      </c>
      <c r="I131" s="4">
        <v>2011</v>
      </c>
      <c r="J131" s="4">
        <v>2012</v>
      </c>
      <c r="K131" s="5">
        <v>2013</v>
      </c>
      <c r="L131" s="5">
        <v>2014</v>
      </c>
      <c r="M131" s="6">
        <v>2015</v>
      </c>
      <c r="N131" s="6">
        <v>2016</v>
      </c>
      <c r="O131" s="6">
        <v>2017</v>
      </c>
      <c r="P131" s="6">
        <v>2018</v>
      </c>
      <c r="Q131" s="4">
        <v>2019</v>
      </c>
      <c r="R131" s="92">
        <v>2020</v>
      </c>
      <c r="S131" s="175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68"/>
      <c r="AP131" s="17"/>
      <c r="AQ131" s="17"/>
      <c r="AR131" s="17"/>
      <c r="AS131" s="17"/>
      <c r="AT131" s="17"/>
      <c r="AU131" s="17"/>
      <c r="AV131" s="15"/>
      <c r="AW131" s="17"/>
      <c r="AX131" s="17"/>
      <c r="AY131" s="17"/>
      <c r="AZ131" s="17"/>
      <c r="BA131" s="17"/>
      <c r="BB131" s="17"/>
    </row>
    <row r="132" spans="1:54" ht="34.5" customHeight="1" x14ac:dyDescent="0.3">
      <c r="A132" s="14" t="s">
        <v>63</v>
      </c>
      <c r="B132" s="155" t="s">
        <v>10</v>
      </c>
      <c r="C132" s="178">
        <v>0.96215523835684713</v>
      </c>
      <c r="D132" s="178">
        <v>0.96779385712394594</v>
      </c>
      <c r="E132" s="178">
        <v>0.97297523105579242</v>
      </c>
      <c r="F132" s="178">
        <v>0.96604148907576937</v>
      </c>
      <c r="G132" s="178">
        <v>0.97656403277271964</v>
      </c>
      <c r="H132" s="178">
        <v>0.97488396271258326</v>
      </c>
      <c r="I132" s="178">
        <v>0.96891716239654979</v>
      </c>
      <c r="J132" s="178">
        <v>0.95802931857034479</v>
      </c>
      <c r="K132" s="169">
        <f>1838420398.85/1876112854.18</f>
        <v>0.97990928144539868</v>
      </c>
      <c r="L132" s="169">
        <v>0.98199999999999998</v>
      </c>
      <c r="M132" s="169">
        <v>0.98693536665838466</v>
      </c>
      <c r="N132" s="217">
        <v>0.97899999999999998</v>
      </c>
      <c r="O132" s="217">
        <v>0.97</v>
      </c>
      <c r="P132" s="173">
        <v>0.97336544712826756</v>
      </c>
      <c r="Q132" s="178">
        <f>2233766790.08/2268783988.04</f>
        <v>0.98456565360801429</v>
      </c>
      <c r="R132" s="228">
        <f>+Full1!F85</f>
        <v>0.94399999999999995</v>
      </c>
      <c r="S132" s="176"/>
      <c r="U132" s="10"/>
      <c r="V132" s="10"/>
    </row>
    <row r="133" spans="1:54" ht="26.15" customHeight="1" thickBot="1" x14ac:dyDescent="0.35">
      <c r="A133" s="20" t="s">
        <v>64</v>
      </c>
      <c r="B133" s="156"/>
      <c r="C133" s="179"/>
      <c r="D133" s="179"/>
      <c r="E133" s="179"/>
      <c r="F133" s="179"/>
      <c r="G133" s="179"/>
      <c r="H133" s="179"/>
      <c r="I133" s="179"/>
      <c r="J133" s="179"/>
      <c r="K133" s="170"/>
      <c r="L133" s="170"/>
      <c r="M133" s="170"/>
      <c r="N133" s="218"/>
      <c r="O133" s="218"/>
      <c r="P133" s="174"/>
      <c r="Q133" s="179"/>
      <c r="R133" s="229"/>
      <c r="S133" s="177"/>
      <c r="U133" s="22"/>
      <c r="V133" s="22"/>
      <c r="AO133" s="68"/>
    </row>
    <row r="134" spans="1:54" ht="13" thickTop="1" x14ac:dyDescent="0.25"/>
    <row r="135" spans="1:54" ht="13" thickBot="1" x14ac:dyDescent="0.3"/>
    <row r="136" spans="1:54" s="7" customFormat="1" ht="16.5" thickTop="1" thickBot="1" x14ac:dyDescent="0.3">
      <c r="A136" s="13" t="s">
        <v>1</v>
      </c>
      <c r="B136" s="4" t="s">
        <v>2</v>
      </c>
      <c r="C136" s="4">
        <v>2005</v>
      </c>
      <c r="D136" s="4">
        <v>2006</v>
      </c>
      <c r="E136" s="4">
        <v>2007</v>
      </c>
      <c r="F136" s="4">
        <v>2008</v>
      </c>
      <c r="G136" s="4">
        <v>2009</v>
      </c>
      <c r="H136" s="4">
        <v>2010</v>
      </c>
      <c r="I136" s="4">
        <v>2011</v>
      </c>
      <c r="J136" s="4">
        <v>2012</v>
      </c>
      <c r="K136" s="5">
        <v>2013</v>
      </c>
      <c r="L136" s="5">
        <v>2014</v>
      </c>
      <c r="M136" s="6">
        <v>2015</v>
      </c>
      <c r="N136" s="6">
        <v>2016</v>
      </c>
      <c r="O136" s="6">
        <v>2017</v>
      </c>
      <c r="P136" s="6">
        <v>2018</v>
      </c>
      <c r="Q136" s="4">
        <v>2019</v>
      </c>
      <c r="R136" s="92">
        <v>2020</v>
      </c>
      <c r="S136" s="175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68"/>
      <c r="AP136" s="17"/>
      <c r="AQ136" s="17"/>
      <c r="AR136" s="17"/>
      <c r="AS136" s="17"/>
      <c r="AT136" s="17"/>
      <c r="AU136" s="17"/>
      <c r="AV136" s="15"/>
      <c r="AW136" s="17"/>
      <c r="AX136" s="17"/>
      <c r="AY136" s="17"/>
      <c r="AZ136" s="17"/>
      <c r="BA136" s="17"/>
      <c r="BB136" s="17"/>
    </row>
    <row r="137" spans="1:54" ht="34.5" customHeight="1" x14ac:dyDescent="0.3">
      <c r="A137" s="14" t="s">
        <v>65</v>
      </c>
      <c r="B137" s="155" t="s">
        <v>10</v>
      </c>
      <c r="C137" s="178">
        <v>0.94148931637563726</v>
      </c>
      <c r="D137" s="178">
        <v>0.88883790179417088</v>
      </c>
      <c r="E137" s="178">
        <v>0.88471019656551819</v>
      </c>
      <c r="F137" s="178">
        <v>0.88842744708671983</v>
      </c>
      <c r="G137" s="178">
        <v>0.90821542610562189</v>
      </c>
      <c r="H137" s="178">
        <v>0.70311262478952619</v>
      </c>
      <c r="I137" s="178">
        <v>0.82923660996546067</v>
      </c>
      <c r="J137" s="178">
        <v>0.85199999999999998</v>
      </c>
      <c r="K137" s="169">
        <f>334091750.25/353730709.2</f>
        <v>0.94448048066164336</v>
      </c>
      <c r="L137" s="169">
        <v>0.97199999999999998</v>
      </c>
      <c r="M137" s="169">
        <v>0.96549351073247791</v>
      </c>
      <c r="N137" s="217">
        <v>0.97699999999999998</v>
      </c>
      <c r="O137" s="217">
        <v>0.96399999999999997</v>
      </c>
      <c r="P137" s="173">
        <v>0.9545093137731766</v>
      </c>
      <c r="Q137" s="178">
        <f>347474174.35/353133592.24</f>
        <v>0.98397371982058934</v>
      </c>
      <c r="R137" s="228">
        <f>+Full1!F88</f>
        <v>0.71599999999999997</v>
      </c>
      <c r="S137" s="176"/>
      <c r="U137" s="10"/>
      <c r="V137" s="10"/>
    </row>
    <row r="138" spans="1:54" ht="26.15" customHeight="1" thickBot="1" x14ac:dyDescent="0.35">
      <c r="A138" s="20" t="s">
        <v>66</v>
      </c>
      <c r="B138" s="156"/>
      <c r="C138" s="179"/>
      <c r="D138" s="179"/>
      <c r="E138" s="179"/>
      <c r="F138" s="179"/>
      <c r="G138" s="179"/>
      <c r="H138" s="179"/>
      <c r="I138" s="179"/>
      <c r="J138" s="179"/>
      <c r="K138" s="170"/>
      <c r="L138" s="170"/>
      <c r="M138" s="170"/>
      <c r="N138" s="218"/>
      <c r="O138" s="218"/>
      <c r="P138" s="174"/>
      <c r="Q138" s="179"/>
      <c r="R138" s="229"/>
      <c r="S138" s="177"/>
      <c r="U138" s="22"/>
      <c r="V138" s="22"/>
      <c r="AO138" s="68"/>
    </row>
    <row r="139" spans="1:54" ht="13" thickTop="1" x14ac:dyDescent="0.25">
      <c r="A139" s="61" t="s">
        <v>67</v>
      </c>
    </row>
    <row r="140" spans="1:54" ht="13" thickBot="1" x14ac:dyDescent="0.3"/>
    <row r="141" spans="1:54" s="7" customFormat="1" ht="16.5" thickTop="1" thickBot="1" x14ac:dyDescent="0.3">
      <c r="A141" s="13" t="s">
        <v>1</v>
      </c>
      <c r="B141" s="4" t="s">
        <v>2</v>
      </c>
      <c r="C141" s="4">
        <v>2005</v>
      </c>
      <c r="D141" s="4">
        <v>2006</v>
      </c>
      <c r="E141" s="4">
        <v>2007</v>
      </c>
      <c r="F141" s="4">
        <v>2008</v>
      </c>
      <c r="G141" s="4">
        <v>2009</v>
      </c>
      <c r="H141" s="4">
        <v>2010</v>
      </c>
      <c r="I141" s="4">
        <v>2011</v>
      </c>
      <c r="J141" s="4">
        <v>2012</v>
      </c>
      <c r="K141" s="5">
        <v>2013</v>
      </c>
      <c r="L141" s="5">
        <v>2014</v>
      </c>
      <c r="M141" s="6">
        <v>2015</v>
      </c>
      <c r="N141" s="6">
        <v>2016</v>
      </c>
      <c r="O141" s="6">
        <v>2017</v>
      </c>
      <c r="P141" s="6">
        <v>2018</v>
      </c>
      <c r="Q141" s="4">
        <v>2019</v>
      </c>
      <c r="R141" s="92">
        <v>2020</v>
      </c>
      <c r="S141" s="175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5"/>
      <c r="AW141" s="17"/>
      <c r="AX141" s="17"/>
      <c r="AY141" s="17"/>
      <c r="AZ141" s="17"/>
      <c r="BA141" s="17"/>
      <c r="BB141" s="17"/>
    </row>
    <row r="142" spans="1:54" ht="34.5" customHeight="1" x14ac:dyDescent="0.3">
      <c r="A142" s="14" t="s">
        <v>68</v>
      </c>
      <c r="B142" s="155" t="s">
        <v>4</v>
      </c>
      <c r="C142" s="157">
        <v>1100.5783692481523</v>
      </c>
      <c r="D142" s="157">
        <v>1196.3347078852669</v>
      </c>
      <c r="E142" s="157">
        <v>1308.9198698271591</v>
      </c>
      <c r="F142" s="157">
        <v>1384.5665416719266</v>
      </c>
      <c r="G142" s="157">
        <v>1606.3061903922021</v>
      </c>
      <c r="H142" s="157">
        <v>1548.0925623017322</v>
      </c>
      <c r="I142" s="157">
        <v>1436.8696486794993</v>
      </c>
      <c r="J142" s="157">
        <v>1378.6533098017637</v>
      </c>
      <c r="K142" s="171">
        <f>2172512149.1/1611822</f>
        <v>1347.8610845986716</v>
      </c>
      <c r="L142" s="171">
        <f>2498689645.66/1602386</f>
        <v>1559.3556394401846</v>
      </c>
      <c r="M142" s="171">
        <v>1543.7504338025185</v>
      </c>
      <c r="N142" s="159">
        <v>1571.8</v>
      </c>
      <c r="O142" s="159">
        <v>1557.8</v>
      </c>
      <c r="P142" s="216">
        <v>1598.1</v>
      </c>
      <c r="Q142" s="157">
        <f>2581240964.43/1636762</f>
        <v>1577.0411119209755</v>
      </c>
      <c r="R142" s="219">
        <f>+Full1!F91</f>
        <v>1605.0320126250351</v>
      </c>
      <c r="S142" s="176"/>
      <c r="U142" s="10"/>
      <c r="W142" s="10"/>
      <c r="Y142" s="10"/>
      <c r="AB142" s="62"/>
      <c r="AC142" s="62"/>
      <c r="AD142" s="62"/>
      <c r="AE142" s="62"/>
      <c r="AF142" s="62"/>
      <c r="AG142" s="62"/>
      <c r="AJ142" s="62"/>
      <c r="AK142" s="62"/>
      <c r="AL142" s="62"/>
      <c r="AO142" s="68"/>
    </row>
    <row r="143" spans="1:54" ht="26.15" customHeight="1" thickBot="1" x14ac:dyDescent="0.35">
      <c r="A143" s="9" t="s">
        <v>69</v>
      </c>
      <c r="B143" s="156"/>
      <c r="C143" s="158"/>
      <c r="D143" s="158"/>
      <c r="E143" s="158"/>
      <c r="F143" s="158"/>
      <c r="G143" s="158"/>
      <c r="H143" s="158"/>
      <c r="I143" s="158"/>
      <c r="J143" s="158"/>
      <c r="K143" s="172"/>
      <c r="L143" s="172"/>
      <c r="M143" s="172"/>
      <c r="N143" s="160"/>
      <c r="O143" s="160"/>
      <c r="P143" s="162"/>
      <c r="Q143" s="158"/>
      <c r="R143" s="220"/>
      <c r="S143" s="177"/>
      <c r="U143" s="22"/>
      <c r="W143" s="22"/>
      <c r="Y143" s="22"/>
      <c r="AB143" s="63"/>
      <c r="AC143" s="63"/>
      <c r="AD143" s="63"/>
      <c r="AE143" s="63"/>
      <c r="AF143" s="63"/>
      <c r="AG143" s="63"/>
      <c r="AH143" s="80"/>
      <c r="AI143" s="80"/>
      <c r="AJ143" s="63"/>
      <c r="AK143" s="63"/>
      <c r="AL143" s="63"/>
    </row>
    <row r="144" spans="1:54" ht="13" thickTop="1" x14ac:dyDescent="0.25">
      <c r="A144" s="1" t="s">
        <v>70</v>
      </c>
    </row>
    <row r="145" spans="1:54" ht="13" thickBot="1" x14ac:dyDescent="0.3"/>
    <row r="146" spans="1:54" s="7" customFormat="1" ht="16.5" thickTop="1" thickBot="1" x14ac:dyDescent="0.3">
      <c r="A146" s="13" t="s">
        <v>1</v>
      </c>
      <c r="B146" s="4" t="s">
        <v>2</v>
      </c>
      <c r="C146" s="4">
        <v>2005</v>
      </c>
      <c r="D146" s="4">
        <v>2006</v>
      </c>
      <c r="E146" s="4">
        <v>2007</v>
      </c>
      <c r="F146" s="4">
        <v>2008</v>
      </c>
      <c r="G146" s="4">
        <v>2009</v>
      </c>
      <c r="H146" s="4">
        <v>2010</v>
      </c>
      <c r="I146" s="4">
        <v>2011</v>
      </c>
      <c r="J146" s="4">
        <v>2012</v>
      </c>
      <c r="K146" s="5">
        <v>2013</v>
      </c>
      <c r="L146" s="5">
        <v>2014</v>
      </c>
      <c r="M146" s="6">
        <v>2015</v>
      </c>
      <c r="N146" s="6">
        <v>2016</v>
      </c>
      <c r="O146" s="6">
        <v>2017</v>
      </c>
      <c r="P146" s="6">
        <v>2018</v>
      </c>
      <c r="Q146" s="4">
        <v>2019</v>
      </c>
      <c r="R146" s="92">
        <v>2020</v>
      </c>
      <c r="S146" s="175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68"/>
      <c r="AP146" s="17"/>
      <c r="AQ146" s="17"/>
      <c r="AR146" s="17"/>
      <c r="AS146" s="17"/>
      <c r="AT146" s="17"/>
      <c r="AU146" s="17"/>
      <c r="AV146" s="15"/>
      <c r="AW146" s="17"/>
      <c r="AX146" s="17"/>
      <c r="AY146" s="17"/>
      <c r="AZ146" s="17"/>
      <c r="BA146" s="17"/>
      <c r="BB146" s="17"/>
    </row>
    <row r="147" spans="1:54" ht="34.5" customHeight="1" x14ac:dyDescent="0.3">
      <c r="A147" s="14" t="s">
        <v>71</v>
      </c>
      <c r="B147" s="155" t="s">
        <v>4</v>
      </c>
      <c r="C147" s="157">
        <v>1200.056169295231</v>
      </c>
      <c r="D147" s="157">
        <v>1251.3531864434647</v>
      </c>
      <c r="E147" s="157">
        <v>1398.8030491439461</v>
      </c>
      <c r="F147" s="157">
        <v>1489.1807001821885</v>
      </c>
      <c r="G147" s="157">
        <v>1680.0659144256344</v>
      </c>
      <c r="H147" s="157">
        <v>1615.6769962274684</v>
      </c>
      <c r="I147" s="157">
        <v>1519.0892322006032</v>
      </c>
      <c r="J147" s="157">
        <v>1441.6986302787946</v>
      </c>
      <c r="K147" s="171">
        <f>2285271901.89/1611822</f>
        <v>1417.819028335635</v>
      </c>
      <c r="L147" s="171">
        <f>2646991423.5/1602386</f>
        <v>1651.906234515279</v>
      </c>
      <c r="M147" s="171">
        <v>1738.9527903250435</v>
      </c>
      <c r="N147" s="159">
        <v>1679.8</v>
      </c>
      <c r="O147" s="159">
        <v>1648.6</v>
      </c>
      <c r="P147" s="216">
        <v>1643.6</v>
      </c>
      <c r="Q147" s="157">
        <f>2661366517.39/1636762</f>
        <v>1625.9948101128934</v>
      </c>
      <c r="R147" s="219">
        <f>+Full1!F94</f>
        <v>1650.4449364847919</v>
      </c>
      <c r="S147" s="176"/>
      <c r="U147" s="10"/>
      <c r="W147" s="10"/>
      <c r="Y147" s="10"/>
      <c r="AB147" s="62"/>
      <c r="AC147" s="62"/>
    </row>
    <row r="148" spans="1:54" ht="26.15" customHeight="1" thickBot="1" x14ac:dyDescent="0.35">
      <c r="A148" s="9" t="s">
        <v>72</v>
      </c>
      <c r="B148" s="156"/>
      <c r="C148" s="158"/>
      <c r="D148" s="158"/>
      <c r="E148" s="158"/>
      <c r="F148" s="158"/>
      <c r="G148" s="158"/>
      <c r="H148" s="158"/>
      <c r="I148" s="158"/>
      <c r="J148" s="158"/>
      <c r="K148" s="172"/>
      <c r="L148" s="172"/>
      <c r="M148" s="172"/>
      <c r="N148" s="160"/>
      <c r="O148" s="160"/>
      <c r="P148" s="162"/>
      <c r="Q148" s="158"/>
      <c r="R148" s="220"/>
      <c r="S148" s="177"/>
      <c r="U148" s="22"/>
      <c r="W148" s="22"/>
      <c r="Y148" s="22"/>
      <c r="AB148" s="63"/>
      <c r="AC148" s="63"/>
    </row>
    <row r="149" spans="1:54" ht="13" thickTop="1" x14ac:dyDescent="0.25"/>
    <row r="150" spans="1:54" ht="18.5" x14ac:dyDescent="0.45">
      <c r="A150" s="3" t="s">
        <v>73</v>
      </c>
    </row>
    <row r="151" spans="1:54" ht="13.5" customHeight="1" thickBot="1" x14ac:dyDescent="0.35">
      <c r="AO151" s="16"/>
    </row>
    <row r="152" spans="1:54" s="7" customFormat="1" ht="16.5" thickTop="1" thickBot="1" x14ac:dyDescent="0.35">
      <c r="A152" s="13" t="s">
        <v>1</v>
      </c>
      <c r="B152" s="4" t="s">
        <v>2</v>
      </c>
      <c r="C152" s="4">
        <v>2005</v>
      </c>
      <c r="D152" s="4">
        <v>2006</v>
      </c>
      <c r="E152" s="4">
        <v>2007</v>
      </c>
      <c r="F152" s="4">
        <v>2008</v>
      </c>
      <c r="G152" s="4">
        <v>2009</v>
      </c>
      <c r="H152" s="4">
        <v>2010</v>
      </c>
      <c r="I152" s="4">
        <v>2011</v>
      </c>
      <c r="J152" s="4">
        <v>2012</v>
      </c>
      <c r="K152" s="5">
        <v>2013</v>
      </c>
      <c r="L152" s="5">
        <v>2014</v>
      </c>
      <c r="M152" s="6">
        <v>2015</v>
      </c>
      <c r="N152" s="6">
        <v>2016</v>
      </c>
      <c r="O152" s="6">
        <v>2017</v>
      </c>
      <c r="P152" s="5">
        <v>2018</v>
      </c>
      <c r="Q152" s="4">
        <v>2019</v>
      </c>
      <c r="R152" s="94">
        <v>2020</v>
      </c>
      <c r="S152" s="175"/>
      <c r="U152" s="10"/>
      <c r="V152" s="10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5"/>
      <c r="AW152" s="17"/>
      <c r="AX152" s="17"/>
      <c r="AY152" s="17"/>
      <c r="AZ152" s="17"/>
      <c r="BA152" s="17"/>
      <c r="BB152" s="17"/>
    </row>
    <row r="153" spans="1:54" ht="34.5" customHeight="1" x14ac:dyDescent="0.3">
      <c r="A153" s="14" t="s">
        <v>74</v>
      </c>
      <c r="B153" s="155" t="s">
        <v>10</v>
      </c>
      <c r="C153" s="178">
        <v>0.52211216333123844</v>
      </c>
      <c r="D153" s="178">
        <v>0.52494847770127839</v>
      </c>
      <c r="E153" s="178">
        <v>0.50890959220980447</v>
      </c>
      <c r="F153" s="178">
        <v>0.50242253922847646</v>
      </c>
      <c r="G153" s="178">
        <v>0.43247286908148974</v>
      </c>
      <c r="H153" s="178">
        <v>0.4169124244531372</v>
      </c>
      <c r="I153" s="178">
        <v>0.52091130214288239</v>
      </c>
      <c r="J153" s="178">
        <v>0.50114767951395323</v>
      </c>
      <c r="K153" s="169">
        <v>0.52</v>
      </c>
      <c r="L153" s="169">
        <v>0.50419787133539995</v>
      </c>
      <c r="M153" s="169">
        <v>0.50086457542713558</v>
      </c>
      <c r="N153" s="217">
        <v>0.52800000000000002</v>
      </c>
      <c r="O153" s="217">
        <v>0.53210000000000002</v>
      </c>
      <c r="P153" s="173">
        <v>0.54421360333251889</v>
      </c>
      <c r="Q153" s="178">
        <f>1511180161.32/2713520908.56</f>
        <v>0.55690750587285753</v>
      </c>
      <c r="R153" s="228">
        <f>+Full1!F99</f>
        <v>0.53671000423878978</v>
      </c>
      <c r="S153" s="176"/>
      <c r="U153" s="22"/>
      <c r="V153" s="22"/>
      <c r="AO153" s="22"/>
    </row>
    <row r="154" spans="1:54" ht="26.15" customHeight="1" thickBot="1" x14ac:dyDescent="0.35">
      <c r="A154" s="20" t="s">
        <v>75</v>
      </c>
      <c r="B154" s="156"/>
      <c r="C154" s="179"/>
      <c r="D154" s="179"/>
      <c r="E154" s="179"/>
      <c r="F154" s="179"/>
      <c r="G154" s="179"/>
      <c r="H154" s="179"/>
      <c r="I154" s="179"/>
      <c r="J154" s="179"/>
      <c r="K154" s="170"/>
      <c r="L154" s="170"/>
      <c r="M154" s="170"/>
      <c r="N154" s="218"/>
      <c r="O154" s="218"/>
      <c r="P154" s="174"/>
      <c r="Q154" s="179"/>
      <c r="R154" s="229"/>
      <c r="S154" s="177"/>
      <c r="U154" s="10"/>
      <c r="V154" s="10"/>
      <c r="W154" s="22"/>
    </row>
    <row r="155" spans="1:54" ht="13.5" thickTop="1" x14ac:dyDescent="0.3">
      <c r="U155" s="22"/>
      <c r="V155" s="22"/>
    </row>
    <row r="156" spans="1:54" ht="13.5" customHeight="1" thickBot="1" x14ac:dyDescent="0.3"/>
    <row r="157" spans="1:54" s="7" customFormat="1" ht="16.5" thickTop="1" thickBot="1" x14ac:dyDescent="0.3">
      <c r="A157" s="13" t="s">
        <v>1</v>
      </c>
      <c r="B157" s="4" t="s">
        <v>2</v>
      </c>
      <c r="C157" s="4">
        <v>2005</v>
      </c>
      <c r="D157" s="4">
        <v>2006</v>
      </c>
      <c r="E157" s="4">
        <v>2007</v>
      </c>
      <c r="F157" s="4">
        <v>2008</v>
      </c>
      <c r="G157" s="4">
        <v>2009</v>
      </c>
      <c r="H157" s="4">
        <v>2010</v>
      </c>
      <c r="I157" s="4">
        <v>2011</v>
      </c>
      <c r="J157" s="4">
        <v>2012</v>
      </c>
      <c r="K157" s="5">
        <v>2013</v>
      </c>
      <c r="L157" s="5">
        <v>2014</v>
      </c>
      <c r="M157" s="6">
        <v>2015</v>
      </c>
      <c r="N157" s="6">
        <v>2016</v>
      </c>
      <c r="O157" s="6">
        <v>2017</v>
      </c>
      <c r="P157" s="6">
        <v>2018</v>
      </c>
      <c r="Q157" s="4">
        <v>2019</v>
      </c>
      <c r="R157" s="92">
        <v>2020</v>
      </c>
      <c r="S157" s="175"/>
      <c r="U157" s="64"/>
      <c r="V157" s="17"/>
      <c r="W157" s="64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5"/>
      <c r="AW157" s="17"/>
      <c r="AX157" s="17"/>
      <c r="AY157" s="17"/>
      <c r="AZ157" s="17"/>
      <c r="BA157" s="17"/>
      <c r="BB157" s="17"/>
    </row>
    <row r="158" spans="1:54" ht="34.5" customHeight="1" x14ac:dyDescent="0.3">
      <c r="A158" s="14" t="s">
        <v>76</v>
      </c>
      <c r="B158" s="155" t="s">
        <v>10</v>
      </c>
      <c r="C158" s="178">
        <v>0.42297005293122497</v>
      </c>
      <c r="D158" s="178">
        <v>0.42356943433710564</v>
      </c>
      <c r="E158" s="178">
        <v>0.45221144230596988</v>
      </c>
      <c r="F158" s="178">
        <v>0.46671562587522669</v>
      </c>
      <c r="G158" s="178">
        <v>0.52989168781204732</v>
      </c>
      <c r="H158" s="178">
        <v>0.46344395130467914</v>
      </c>
      <c r="I158" s="178">
        <v>0.44241396242881781</v>
      </c>
      <c r="J158" s="178">
        <v>0.44049359161979618</v>
      </c>
      <c r="K158" s="169">
        <v>0.45</v>
      </c>
      <c r="L158" s="169">
        <v>0.41069160492385098</v>
      </c>
      <c r="M158" s="169">
        <v>0.44584569282949871</v>
      </c>
      <c r="N158" s="217">
        <v>0.42199999999999999</v>
      </c>
      <c r="O158" s="217">
        <v>0.42399999999999999</v>
      </c>
      <c r="P158" s="173">
        <v>0.43007123684278203</v>
      </c>
      <c r="Q158" s="178">
        <f>1146859394.07/2712740275.58</f>
        <v>0.42276785742962236</v>
      </c>
      <c r="R158" s="228">
        <f>+Full1!F102</f>
        <v>0.4338884244821164</v>
      </c>
      <c r="S158" s="176"/>
      <c r="AO158" s="16"/>
    </row>
    <row r="159" spans="1:54" ht="26.15" customHeight="1" thickBot="1" x14ac:dyDescent="0.3">
      <c r="A159" s="20" t="s">
        <v>77</v>
      </c>
      <c r="B159" s="156"/>
      <c r="C159" s="179"/>
      <c r="D159" s="179"/>
      <c r="E159" s="179"/>
      <c r="F159" s="179"/>
      <c r="G159" s="179"/>
      <c r="H159" s="179"/>
      <c r="I159" s="179"/>
      <c r="J159" s="179"/>
      <c r="K159" s="170"/>
      <c r="L159" s="170"/>
      <c r="M159" s="170"/>
      <c r="N159" s="218"/>
      <c r="O159" s="218"/>
      <c r="P159" s="174"/>
      <c r="Q159" s="179"/>
      <c r="R159" s="229"/>
      <c r="S159" s="177"/>
    </row>
    <row r="160" spans="1:54" ht="13.5" thickTop="1" x14ac:dyDescent="0.3">
      <c r="U160" s="64"/>
      <c r="W160" s="64"/>
      <c r="AO160" s="22"/>
    </row>
    <row r="161" spans="1:54" ht="18.5" x14ac:dyDescent="0.45">
      <c r="A161" s="3" t="s">
        <v>78</v>
      </c>
    </row>
    <row r="162" spans="1:54" ht="13.5" customHeight="1" thickBot="1" x14ac:dyDescent="0.3"/>
    <row r="163" spans="1:54" s="7" customFormat="1" ht="16.5" thickTop="1" thickBot="1" x14ac:dyDescent="0.3">
      <c r="A163" s="13" t="s">
        <v>1</v>
      </c>
      <c r="B163" s="4" t="s">
        <v>2</v>
      </c>
      <c r="C163" s="4">
        <v>2005</v>
      </c>
      <c r="D163" s="4">
        <v>2006</v>
      </c>
      <c r="E163" s="4">
        <v>2007</v>
      </c>
      <c r="F163" s="4">
        <v>2008</v>
      </c>
      <c r="G163" s="4">
        <v>2009</v>
      </c>
      <c r="H163" s="4">
        <v>2010</v>
      </c>
      <c r="I163" s="4">
        <v>2011</v>
      </c>
      <c r="J163" s="4">
        <v>2012</v>
      </c>
      <c r="K163" s="5">
        <v>2013</v>
      </c>
      <c r="L163" s="5">
        <v>2014</v>
      </c>
      <c r="M163" s="6">
        <v>2015</v>
      </c>
      <c r="N163" s="6">
        <v>2016</v>
      </c>
      <c r="O163" s="6">
        <v>2017</v>
      </c>
      <c r="P163" s="6">
        <v>2018</v>
      </c>
      <c r="Q163" s="4">
        <v>2019</v>
      </c>
      <c r="R163" s="92">
        <v>2020</v>
      </c>
      <c r="S163" s="175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5"/>
      <c r="AW163" s="17"/>
      <c r="AX163" s="17"/>
      <c r="AY163" s="17"/>
      <c r="AZ163" s="17"/>
      <c r="BA163" s="17"/>
      <c r="BB163" s="17"/>
    </row>
    <row r="164" spans="1:54" ht="34.5" customHeight="1" x14ac:dyDescent="0.25">
      <c r="A164" s="14" t="s">
        <v>79</v>
      </c>
      <c r="B164" s="155" t="s">
        <v>4</v>
      </c>
      <c r="C164" s="157">
        <v>113.32034861509973</v>
      </c>
      <c r="D164" s="157">
        <v>113.40954454466299</v>
      </c>
      <c r="E164" s="157">
        <v>126.1393333813969</v>
      </c>
      <c r="F164" s="157">
        <v>4.8807998351391291</v>
      </c>
      <c r="G164" s="157">
        <v>66.278921116200252</v>
      </c>
      <c r="H164" s="157">
        <v>180.65742170406779</v>
      </c>
      <c r="I164" s="157">
        <v>118.61226834908955</v>
      </c>
      <c r="J164" s="157">
        <v>173.51074808922957</v>
      </c>
      <c r="K164" s="202">
        <v>128.4</v>
      </c>
      <c r="L164" s="202">
        <f>115027963.9/1602386</f>
        <v>71.78542741886163</v>
      </c>
      <c r="M164" s="230">
        <v>155.78961144990356</v>
      </c>
      <c r="N164" s="232">
        <v>94.4</v>
      </c>
      <c r="O164" s="232">
        <v>17.899999999999999</v>
      </c>
      <c r="P164" s="235">
        <v>6.8127805717678296</v>
      </c>
      <c r="Q164" s="157">
        <f>51103758.98/1636762</f>
        <v>31.222473994386476</v>
      </c>
      <c r="R164" s="219">
        <f>+Full1!F107</f>
        <v>70.389371928498136</v>
      </c>
      <c r="S164" s="176"/>
    </row>
    <row r="165" spans="1:54" ht="26.15" customHeight="1" thickBot="1" x14ac:dyDescent="0.35">
      <c r="A165" s="9" t="s">
        <v>80</v>
      </c>
      <c r="B165" s="156"/>
      <c r="C165" s="158"/>
      <c r="D165" s="158"/>
      <c r="E165" s="158"/>
      <c r="F165" s="158"/>
      <c r="G165" s="158"/>
      <c r="H165" s="158"/>
      <c r="I165" s="158"/>
      <c r="J165" s="158"/>
      <c r="K165" s="203"/>
      <c r="L165" s="203"/>
      <c r="M165" s="231"/>
      <c r="N165" s="233"/>
      <c r="O165" s="233"/>
      <c r="P165" s="236"/>
      <c r="Q165" s="158"/>
      <c r="R165" s="220"/>
      <c r="S165" s="177"/>
      <c r="U165" s="16"/>
      <c r="W165" s="22"/>
    </row>
    <row r="166" spans="1:54" ht="13.5" customHeight="1" thickTop="1" x14ac:dyDescent="0.25"/>
    <row r="167" spans="1:54" ht="13.5" customHeight="1" thickBot="1" x14ac:dyDescent="0.3"/>
    <row r="168" spans="1:54" s="7" customFormat="1" ht="21" thickTop="1" thickBot="1" x14ac:dyDescent="0.45">
      <c r="A168" s="13" t="s">
        <v>1</v>
      </c>
      <c r="B168" s="4" t="s">
        <v>2</v>
      </c>
      <c r="C168" s="4">
        <v>2005</v>
      </c>
      <c r="D168" s="4">
        <v>2006</v>
      </c>
      <c r="E168" s="4">
        <v>2007</v>
      </c>
      <c r="F168" s="4">
        <v>2008</v>
      </c>
      <c r="G168" s="4">
        <v>2009</v>
      </c>
      <c r="H168" s="4">
        <v>2010</v>
      </c>
      <c r="I168" s="4">
        <v>2011</v>
      </c>
      <c r="J168" s="4">
        <v>2012</v>
      </c>
      <c r="K168" s="5">
        <v>2013</v>
      </c>
      <c r="L168" s="5">
        <v>2014</v>
      </c>
      <c r="M168" s="6">
        <v>2015</v>
      </c>
      <c r="N168" s="6">
        <v>2016</v>
      </c>
      <c r="O168" s="6">
        <v>2017</v>
      </c>
      <c r="P168" s="6">
        <v>2018</v>
      </c>
      <c r="Q168" s="4">
        <v>2019</v>
      </c>
      <c r="R168" s="92">
        <v>2020</v>
      </c>
      <c r="S168" s="175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22"/>
      <c r="AP168" s="17"/>
      <c r="AQ168" s="81"/>
      <c r="AR168" s="17"/>
      <c r="AS168" s="17"/>
      <c r="AT168" s="17"/>
      <c r="AU168" s="17"/>
      <c r="AV168" s="15"/>
      <c r="AW168" s="17"/>
      <c r="AX168" s="17"/>
      <c r="AY168" s="17"/>
      <c r="AZ168" s="17"/>
      <c r="BA168" s="17"/>
      <c r="BB168" s="17"/>
    </row>
    <row r="169" spans="1:54" ht="34.5" customHeight="1" x14ac:dyDescent="0.25">
      <c r="A169" s="14" t="s">
        <v>81</v>
      </c>
      <c r="B169" s="155" t="s">
        <v>4</v>
      </c>
      <c r="C169" s="157">
        <v>135.36378242706738</v>
      </c>
      <c r="D169" s="157">
        <v>152.73498375064295</v>
      </c>
      <c r="E169" s="157">
        <v>182.56911392317784</v>
      </c>
      <c r="F169" s="157">
        <v>86.31142130616351</v>
      </c>
      <c r="G169" s="157">
        <v>17.258896849100559</v>
      </c>
      <c r="H169" s="157">
        <v>-51.831562775382345</v>
      </c>
      <c r="I169" s="157">
        <v>42.159166912212569</v>
      </c>
      <c r="J169" s="157">
        <v>72.574215737382517</v>
      </c>
      <c r="K169" s="157">
        <f>(2458914724.74-2172512149.1)/1611822</f>
        <v>177.68871230197868</v>
      </c>
      <c r="L169" s="157">
        <f>+(2659527547.69-2498689645.66)/1602386</f>
        <v>100.37400603225453</v>
      </c>
      <c r="M169" s="157">
        <v>95.206079991025447</v>
      </c>
      <c r="N169" s="157">
        <v>30.9</v>
      </c>
      <c r="O169" s="157">
        <v>32.799999999999997</v>
      </c>
      <c r="P169" s="234">
        <v>32.701337136643751</v>
      </c>
      <c r="Q169" s="157">
        <f>(2712740275.58-2581240964.43)/1636762</f>
        <v>80.341131545087251</v>
      </c>
      <c r="R169" s="219">
        <f>+Full1!F110</f>
        <v>61.029204394760569</v>
      </c>
      <c r="S169" s="176"/>
      <c r="AQ169" s="80"/>
    </row>
    <row r="170" spans="1:54" ht="26.15" customHeight="1" thickBot="1" x14ac:dyDescent="0.35">
      <c r="A170" s="20" t="s">
        <v>82</v>
      </c>
      <c r="B170" s="156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48"/>
      <c r="Q170" s="158"/>
      <c r="R170" s="220"/>
      <c r="S170" s="177"/>
      <c r="W170" s="22"/>
      <c r="AO170" s="68"/>
      <c r="AQ170" s="82"/>
    </row>
    <row r="171" spans="1:54" ht="13.5" customHeight="1" thickTop="1" x14ac:dyDescent="0.25"/>
    <row r="172" spans="1:54" ht="13.5" customHeight="1" thickBot="1" x14ac:dyDescent="0.3"/>
    <row r="173" spans="1:54" s="7" customFormat="1" ht="16.5" thickTop="1" thickBot="1" x14ac:dyDescent="0.3">
      <c r="A173" s="13" t="s">
        <v>1</v>
      </c>
      <c r="B173" s="4" t="s">
        <v>2</v>
      </c>
      <c r="C173" s="4">
        <v>2005</v>
      </c>
      <c r="D173" s="4">
        <v>2006</v>
      </c>
      <c r="E173" s="4">
        <v>2007</v>
      </c>
      <c r="F173" s="4">
        <v>2008</v>
      </c>
      <c r="G173" s="4">
        <v>2009</v>
      </c>
      <c r="H173" s="4">
        <v>2010</v>
      </c>
      <c r="I173" s="4">
        <v>2011</v>
      </c>
      <c r="J173" s="4">
        <v>2012</v>
      </c>
      <c r="K173" s="5">
        <v>2013</v>
      </c>
      <c r="L173" s="5">
        <v>2014</v>
      </c>
      <c r="M173" s="6">
        <v>2015</v>
      </c>
      <c r="N173" s="6">
        <v>2016</v>
      </c>
      <c r="O173" s="6">
        <v>2017</v>
      </c>
      <c r="P173" s="6">
        <v>2018</v>
      </c>
      <c r="Q173" s="4">
        <v>2019</v>
      </c>
      <c r="R173" s="92">
        <v>2020</v>
      </c>
      <c r="S173" s="175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5"/>
      <c r="AW173" s="17"/>
      <c r="AX173" s="17"/>
      <c r="AY173" s="17"/>
      <c r="AZ173" s="17"/>
      <c r="BA173" s="17"/>
      <c r="BB173" s="17"/>
    </row>
    <row r="174" spans="1:54" ht="34.5" customHeight="1" x14ac:dyDescent="0.25">
      <c r="A174" s="14" t="s">
        <v>83</v>
      </c>
      <c r="B174" s="155" t="s">
        <v>7</v>
      </c>
      <c r="C174" s="163">
        <v>125000000</v>
      </c>
      <c r="D174" s="163">
        <v>152000000</v>
      </c>
      <c r="E174" s="163">
        <v>209193759.76000002</v>
      </c>
      <c r="F174" s="163">
        <v>72164676.890000239</v>
      </c>
      <c r="G174" s="163">
        <v>-83314270.140000299</v>
      </c>
      <c r="H174" s="163">
        <v>-300231763.5000003</v>
      </c>
      <c r="I174" s="163">
        <v>-398303009.67999983</v>
      </c>
      <c r="J174" s="163">
        <v>60079801.530000001</v>
      </c>
      <c r="K174" s="237">
        <v>139300000</v>
      </c>
      <c r="L174" s="237">
        <f>22.1646146600003*1000000</f>
        <v>22164614.660000298</v>
      </c>
      <c r="M174" s="237">
        <v>100206578.66</v>
      </c>
      <c r="N174" s="237">
        <v>97500000</v>
      </c>
      <c r="O174" s="237">
        <v>1300000</v>
      </c>
      <c r="P174" s="237">
        <v>7700000</v>
      </c>
      <c r="Q174" s="237">
        <f>+Full1!E115*1000000</f>
        <v>64700000</v>
      </c>
      <c r="R174" s="248">
        <f>+Full1!F115*1000000</f>
        <v>-49200000</v>
      </c>
      <c r="S174" s="176"/>
    </row>
    <row r="175" spans="1:54" ht="26.15" customHeight="1" thickBot="1" x14ac:dyDescent="0.3">
      <c r="A175" s="9" t="s">
        <v>84</v>
      </c>
      <c r="B175" s="156"/>
      <c r="C175" s="164"/>
      <c r="D175" s="164"/>
      <c r="E175" s="164"/>
      <c r="F175" s="164"/>
      <c r="G175" s="164"/>
      <c r="H175" s="164"/>
      <c r="I175" s="164"/>
      <c r="J175" s="164"/>
      <c r="K175" s="238"/>
      <c r="L175" s="238"/>
      <c r="M175" s="238"/>
      <c r="N175" s="238"/>
      <c r="O175" s="238"/>
      <c r="P175" s="238"/>
      <c r="Q175" s="238"/>
      <c r="R175" s="249"/>
      <c r="S175" s="177"/>
    </row>
    <row r="176" spans="1:54" ht="13" thickTop="1" x14ac:dyDescent="0.25"/>
    <row r="177" spans="1:54" ht="13.5" customHeight="1" thickBot="1" x14ac:dyDescent="0.3"/>
    <row r="178" spans="1:54" s="7" customFormat="1" ht="16.5" thickTop="1" thickBot="1" x14ac:dyDescent="0.3">
      <c r="A178" s="13" t="s">
        <v>1</v>
      </c>
      <c r="B178" s="4" t="s">
        <v>2</v>
      </c>
      <c r="C178" s="4">
        <v>2005</v>
      </c>
      <c r="D178" s="4">
        <v>2006</v>
      </c>
      <c r="E178" s="4">
        <v>2007</v>
      </c>
      <c r="F178" s="4">
        <v>2008</v>
      </c>
      <c r="G178" s="4">
        <v>2009</v>
      </c>
      <c r="H178" s="4">
        <v>2010</v>
      </c>
      <c r="I178" s="4">
        <v>2011</v>
      </c>
      <c r="J178" s="4">
        <v>2012</v>
      </c>
      <c r="K178" s="5">
        <v>2013</v>
      </c>
      <c r="L178" s="5">
        <v>2014</v>
      </c>
      <c r="M178" s="6">
        <v>2015</v>
      </c>
      <c r="N178" s="6">
        <v>2016</v>
      </c>
      <c r="O178" s="6">
        <v>2017</v>
      </c>
      <c r="P178" s="6">
        <v>2018</v>
      </c>
      <c r="Q178" s="4">
        <v>2019</v>
      </c>
      <c r="R178" s="92">
        <v>2020</v>
      </c>
      <c r="S178" s="175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5"/>
      <c r="AW178" s="17"/>
      <c r="AX178" s="17"/>
      <c r="AY178" s="17"/>
      <c r="AZ178" s="17"/>
      <c r="BA178" s="17"/>
      <c r="BB178" s="17"/>
    </row>
    <row r="179" spans="1:54" ht="34.5" customHeight="1" x14ac:dyDescent="0.25">
      <c r="A179" s="14" t="s">
        <v>85</v>
      </c>
      <c r="B179" s="155" t="s">
        <v>4</v>
      </c>
      <c r="C179" s="157">
        <v>78.464604616857329</v>
      </c>
      <c r="D179" s="157">
        <v>94.668541768134318</v>
      </c>
      <c r="E179" s="157">
        <v>131.14691761696687</v>
      </c>
      <c r="F179" s="157">
        <v>44.658901923872051</v>
      </c>
      <c r="G179" s="157">
        <v>-51.379814422982825</v>
      </c>
      <c r="H179" s="157">
        <v>-185.40412742992984</v>
      </c>
      <c r="I179" s="157">
        <v>-246.5588553020585</v>
      </c>
      <c r="J179" s="157">
        <v>37.064721911874756</v>
      </c>
      <c r="K179" s="202">
        <f>139300000/1611822</f>
        <v>86.423935149166596</v>
      </c>
      <c r="L179" s="202">
        <f>(22.1646146600003*1000000)/1602386</f>
        <v>13.83225680953297</v>
      </c>
      <c r="M179" s="230">
        <v>62.451320559282792</v>
      </c>
      <c r="N179" s="232">
        <v>60.6</v>
      </c>
      <c r="O179" s="232">
        <v>0.8</v>
      </c>
      <c r="P179" s="235">
        <v>4.7520802694244368</v>
      </c>
      <c r="Q179" s="157">
        <f>64691187.21/1636762</f>
        <v>39.523881425644049</v>
      </c>
      <c r="R179" s="219">
        <f>+Full1!F116</f>
        <v>-29.522420838508758</v>
      </c>
      <c r="S179" s="176"/>
      <c r="AO179" s="201"/>
    </row>
    <row r="180" spans="1:54" ht="26.15" customHeight="1" thickBot="1" x14ac:dyDescent="0.3">
      <c r="A180" s="9" t="s">
        <v>86</v>
      </c>
      <c r="B180" s="156"/>
      <c r="C180" s="158"/>
      <c r="D180" s="158"/>
      <c r="E180" s="158"/>
      <c r="F180" s="158"/>
      <c r="G180" s="158"/>
      <c r="H180" s="158"/>
      <c r="I180" s="158"/>
      <c r="J180" s="158"/>
      <c r="K180" s="203"/>
      <c r="L180" s="203"/>
      <c r="M180" s="231"/>
      <c r="N180" s="233"/>
      <c r="O180" s="233"/>
      <c r="P180" s="236"/>
      <c r="Q180" s="158"/>
      <c r="R180" s="220"/>
      <c r="S180" s="177"/>
      <c r="AO180" s="201"/>
    </row>
    <row r="181" spans="1:54" ht="13" thickTop="1" x14ac:dyDescent="0.25"/>
    <row r="182" spans="1:54" ht="13.5" customHeight="1" thickBot="1" x14ac:dyDescent="0.3"/>
    <row r="183" spans="1:54" s="7" customFormat="1" ht="16.5" thickTop="1" thickBot="1" x14ac:dyDescent="0.3">
      <c r="A183" s="13" t="s">
        <v>1</v>
      </c>
      <c r="B183" s="4" t="s">
        <v>2</v>
      </c>
      <c r="C183" s="4">
        <v>2005</v>
      </c>
      <c r="D183" s="4">
        <v>2006</v>
      </c>
      <c r="E183" s="4">
        <v>2007</v>
      </c>
      <c r="F183" s="4">
        <v>2008</v>
      </c>
      <c r="G183" s="4">
        <v>2009</v>
      </c>
      <c r="H183" s="4">
        <v>2010</v>
      </c>
      <c r="I183" s="4">
        <v>2011</v>
      </c>
      <c r="J183" s="4">
        <v>2012</v>
      </c>
      <c r="K183" s="5">
        <v>2013</v>
      </c>
      <c r="L183" s="5">
        <v>2014</v>
      </c>
      <c r="M183" s="6">
        <v>2015</v>
      </c>
      <c r="N183" s="6">
        <v>2016</v>
      </c>
      <c r="O183" s="6">
        <v>2017</v>
      </c>
      <c r="P183" s="6">
        <v>2018</v>
      </c>
      <c r="Q183" s="4">
        <v>2019</v>
      </c>
      <c r="R183" s="92">
        <v>2020</v>
      </c>
      <c r="S183" s="175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5"/>
      <c r="AW183" s="17"/>
      <c r="AX183" s="17"/>
      <c r="AY183" s="17"/>
      <c r="AZ183" s="17"/>
      <c r="BA183" s="17"/>
      <c r="BB183" s="17"/>
    </row>
    <row r="184" spans="1:54" ht="34.5" customHeight="1" x14ac:dyDescent="0.25">
      <c r="A184" s="14" t="s">
        <v>87</v>
      </c>
      <c r="B184" s="155" t="s">
        <v>10</v>
      </c>
      <c r="C184" s="178">
        <v>6.6524747205960619E-2</v>
      </c>
      <c r="D184" s="178">
        <v>7.3323685479980708E-2</v>
      </c>
      <c r="E184" s="178">
        <v>9.1081386839110254E-2</v>
      </c>
      <c r="F184" s="178">
        <v>3.12107791963659E-2</v>
      </c>
      <c r="G184" s="178">
        <v>-3.2966181111596653E-2</v>
      </c>
      <c r="H184" s="178">
        <v>-0.13547270721532728</v>
      </c>
      <c r="I184" s="178">
        <v>-0.19948362607260575</v>
      </c>
      <c r="J184" s="178">
        <v>2.6571295440962948E-2</v>
      </c>
      <c r="K184" s="190">
        <f>139300000/2384900000</f>
        <v>5.8409157616671557E-2</v>
      </c>
      <c r="L184" s="190">
        <v>8.6210806939374801E-3</v>
      </c>
      <c r="M184" s="182">
        <v>3.868979871042471E-2</v>
      </c>
      <c r="N184" s="222">
        <v>3.7999999999999999E-2</v>
      </c>
      <c r="O184" s="222">
        <v>5.0000000000000001E-4</v>
      </c>
      <c r="P184" s="224">
        <v>2.9558541266794624E-3</v>
      </c>
      <c r="Q184" s="178">
        <f>+Full1!E119</f>
        <v>2.4286786786786786E-2</v>
      </c>
      <c r="R184" s="228">
        <f>+Full1!F119</f>
        <v>-1.8778625954198474E-2</v>
      </c>
      <c r="S184" s="176"/>
    </row>
    <row r="185" spans="1:54" ht="26.15" customHeight="1" thickBot="1" x14ac:dyDescent="0.3">
      <c r="A185" s="20" t="s">
        <v>88</v>
      </c>
      <c r="B185" s="156"/>
      <c r="C185" s="179"/>
      <c r="D185" s="179"/>
      <c r="E185" s="179"/>
      <c r="F185" s="179"/>
      <c r="G185" s="179"/>
      <c r="H185" s="179"/>
      <c r="I185" s="179"/>
      <c r="J185" s="179"/>
      <c r="K185" s="191"/>
      <c r="L185" s="191"/>
      <c r="M185" s="183"/>
      <c r="N185" s="223"/>
      <c r="O185" s="223"/>
      <c r="P185" s="225"/>
      <c r="Q185" s="179"/>
      <c r="R185" s="229"/>
      <c r="S185" s="177"/>
    </row>
    <row r="186" spans="1:54" ht="13" thickTop="1" x14ac:dyDescent="0.25"/>
    <row r="187" spans="1:54" ht="18.5" x14ac:dyDescent="0.45">
      <c r="A187" s="3" t="s">
        <v>89</v>
      </c>
    </row>
    <row r="188" spans="1:54" ht="13.5" customHeight="1" thickBot="1" x14ac:dyDescent="0.3"/>
    <row r="189" spans="1:54" s="7" customFormat="1" ht="16.5" thickTop="1" thickBot="1" x14ac:dyDescent="0.3">
      <c r="A189" s="13" t="s">
        <v>1</v>
      </c>
      <c r="B189" s="4" t="s">
        <v>2</v>
      </c>
      <c r="C189" s="4">
        <v>2005</v>
      </c>
      <c r="D189" s="4">
        <v>2006</v>
      </c>
      <c r="E189" s="4">
        <v>2007</v>
      </c>
      <c r="F189" s="4">
        <v>2008</v>
      </c>
      <c r="G189" s="4">
        <v>2009</v>
      </c>
      <c r="H189" s="4">
        <v>2010</v>
      </c>
      <c r="I189" s="4">
        <v>2011</v>
      </c>
      <c r="J189" s="4">
        <v>2012</v>
      </c>
      <c r="K189" s="5">
        <v>2013</v>
      </c>
      <c r="L189" s="5">
        <v>2014</v>
      </c>
      <c r="M189" s="6">
        <v>2015</v>
      </c>
      <c r="N189" s="6">
        <v>2016</v>
      </c>
      <c r="O189" s="6">
        <v>2017</v>
      </c>
      <c r="P189" s="5">
        <v>2018</v>
      </c>
      <c r="Q189" s="4">
        <v>2019</v>
      </c>
      <c r="R189" s="94">
        <v>2020</v>
      </c>
      <c r="S189" s="175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5"/>
      <c r="AW189" s="17"/>
      <c r="AX189" s="17"/>
      <c r="AY189" s="17"/>
      <c r="AZ189" s="17"/>
      <c r="BA189" s="17"/>
      <c r="BB189" s="17"/>
    </row>
    <row r="190" spans="1:54" ht="34.5" customHeight="1" x14ac:dyDescent="0.25">
      <c r="A190" s="14" t="s">
        <v>90</v>
      </c>
      <c r="B190" s="155" t="s">
        <v>91</v>
      </c>
      <c r="C190" s="157">
        <v>69.429665371438986</v>
      </c>
      <c r="D190" s="157">
        <v>64.556653102067784</v>
      </c>
      <c r="E190" s="157">
        <v>60.180895029246244</v>
      </c>
      <c r="F190" s="157">
        <v>71.424514743423046</v>
      </c>
      <c r="G190" s="157">
        <v>69.702376013393803</v>
      </c>
      <c r="H190" s="157">
        <v>59.943246947530959</v>
      </c>
      <c r="I190" s="157">
        <v>47.757784776788363</v>
      </c>
      <c r="J190" s="157">
        <v>59.011741366467959</v>
      </c>
      <c r="K190" s="230">
        <f>387280701.04*365/2285271901.89</f>
        <v>61.855858711032347</v>
      </c>
      <c r="L190" s="230">
        <f>+((531439770.01)*(365))/2646991423.5</f>
        <v>73.281505308832749</v>
      </c>
      <c r="M190" s="230">
        <v>60.54764843641459</v>
      </c>
      <c r="N190" s="232">
        <v>80</v>
      </c>
      <c r="O190" s="232">
        <v>77.709999999999994</v>
      </c>
      <c r="P190" s="235">
        <f>+Full1!D124</f>
        <v>75.214314009308126</v>
      </c>
      <c r="Q190" s="157">
        <f>+Full1!E124</f>
        <v>59.240204376172088</v>
      </c>
      <c r="R190" s="219">
        <f>+Full1!F124</f>
        <v>77.417768156956726</v>
      </c>
      <c r="S190" s="176"/>
      <c r="AO190" s="68"/>
    </row>
    <row r="191" spans="1:54" ht="26.15" customHeight="1" thickBot="1" x14ac:dyDescent="0.3">
      <c r="A191" s="20" t="s">
        <v>92</v>
      </c>
      <c r="B191" s="156"/>
      <c r="C191" s="158"/>
      <c r="D191" s="158"/>
      <c r="E191" s="158"/>
      <c r="F191" s="158"/>
      <c r="G191" s="158"/>
      <c r="H191" s="158"/>
      <c r="I191" s="158"/>
      <c r="J191" s="158"/>
      <c r="K191" s="231"/>
      <c r="L191" s="231"/>
      <c r="M191" s="231"/>
      <c r="N191" s="233"/>
      <c r="O191" s="233"/>
      <c r="P191" s="236"/>
      <c r="Q191" s="158"/>
      <c r="R191" s="220"/>
      <c r="S191" s="177"/>
    </row>
    <row r="192" spans="1:54" ht="14.5" thickTop="1" x14ac:dyDescent="0.25">
      <c r="AO192" s="68"/>
    </row>
    <row r="193" spans="1:54" ht="13.5" customHeight="1" thickBot="1" x14ac:dyDescent="0.3"/>
    <row r="194" spans="1:54" s="7" customFormat="1" ht="16.5" thickTop="1" thickBot="1" x14ac:dyDescent="0.3">
      <c r="A194" s="13" t="s">
        <v>1</v>
      </c>
      <c r="B194" s="4" t="s">
        <v>2</v>
      </c>
      <c r="C194" s="4">
        <v>2005</v>
      </c>
      <c r="D194" s="4">
        <v>2006</v>
      </c>
      <c r="E194" s="4">
        <v>2007</v>
      </c>
      <c r="F194" s="4">
        <v>2008</v>
      </c>
      <c r="G194" s="4">
        <v>2009</v>
      </c>
      <c r="H194" s="4">
        <v>2010</v>
      </c>
      <c r="I194" s="4">
        <v>2011</v>
      </c>
      <c r="J194" s="4">
        <v>2012</v>
      </c>
      <c r="K194" s="5">
        <v>2013</v>
      </c>
      <c r="L194" s="5">
        <v>2014</v>
      </c>
      <c r="M194" s="6">
        <v>2015</v>
      </c>
      <c r="N194" s="6">
        <v>2016</v>
      </c>
      <c r="O194" s="6">
        <v>2017</v>
      </c>
      <c r="P194" s="6">
        <v>2018</v>
      </c>
      <c r="Q194" s="4">
        <v>2019</v>
      </c>
      <c r="R194" s="92">
        <v>2020</v>
      </c>
      <c r="S194" s="175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5"/>
      <c r="AW194" s="17"/>
      <c r="AX194" s="17"/>
      <c r="AY194" s="17"/>
      <c r="AZ194" s="17"/>
      <c r="BA194" s="17"/>
      <c r="BB194" s="17"/>
    </row>
    <row r="195" spans="1:54" ht="34.5" customHeight="1" x14ac:dyDescent="0.25">
      <c r="A195" s="14" t="s">
        <v>93</v>
      </c>
      <c r="B195" s="155" t="s">
        <v>91</v>
      </c>
      <c r="C195" s="241" t="s">
        <v>94</v>
      </c>
      <c r="D195" s="241" t="s">
        <v>94</v>
      </c>
      <c r="E195" s="241" t="s">
        <v>94</v>
      </c>
      <c r="F195" s="241" t="s">
        <v>94</v>
      </c>
      <c r="G195" s="241" t="s">
        <v>94</v>
      </c>
      <c r="H195" s="157">
        <v>54.31</v>
      </c>
      <c r="I195" s="157">
        <v>38.659999999999997</v>
      </c>
      <c r="J195" s="157">
        <v>32.299999999999997</v>
      </c>
      <c r="K195" s="202">
        <v>29.2</v>
      </c>
      <c r="L195" s="202">
        <v>27.4</v>
      </c>
      <c r="M195" s="202">
        <v>30</v>
      </c>
      <c r="N195" s="239">
        <v>29.8</v>
      </c>
      <c r="O195" s="239">
        <v>28.5</v>
      </c>
      <c r="P195" s="198">
        <v>28.8</v>
      </c>
      <c r="Q195" s="241">
        <f>+Full1!E127</f>
        <v>28.4</v>
      </c>
      <c r="R195" s="219">
        <f>+Full1!F127</f>
        <v>22.8</v>
      </c>
      <c r="S195" s="176"/>
    </row>
    <row r="196" spans="1:54" ht="26.15" customHeight="1" thickBot="1" x14ac:dyDescent="0.3">
      <c r="A196" s="9" t="s">
        <v>95</v>
      </c>
      <c r="B196" s="156"/>
      <c r="C196" s="158"/>
      <c r="D196" s="158"/>
      <c r="E196" s="158"/>
      <c r="F196" s="158"/>
      <c r="G196" s="158"/>
      <c r="H196" s="158"/>
      <c r="I196" s="158"/>
      <c r="J196" s="158"/>
      <c r="K196" s="203"/>
      <c r="L196" s="203"/>
      <c r="M196" s="203"/>
      <c r="N196" s="240"/>
      <c r="O196" s="240"/>
      <c r="P196" s="199"/>
      <c r="Q196" s="158"/>
      <c r="R196" s="220"/>
      <c r="S196" s="177"/>
    </row>
    <row r="197" spans="1:54" ht="13" thickTop="1" x14ac:dyDescent="0.25"/>
    <row r="198" spans="1:54" ht="13.5" customHeight="1" thickBot="1" x14ac:dyDescent="0.3"/>
    <row r="199" spans="1:54" s="7" customFormat="1" ht="16.5" thickTop="1" thickBot="1" x14ac:dyDescent="0.3">
      <c r="A199" s="13" t="s">
        <v>1</v>
      </c>
      <c r="B199" s="4" t="s">
        <v>2</v>
      </c>
      <c r="C199" s="4">
        <v>2005</v>
      </c>
      <c r="D199" s="4">
        <v>2006</v>
      </c>
      <c r="E199" s="4">
        <v>2007</v>
      </c>
      <c r="F199" s="4">
        <v>2008</v>
      </c>
      <c r="G199" s="4">
        <v>2009</v>
      </c>
      <c r="H199" s="4">
        <v>2010</v>
      </c>
      <c r="I199" s="4">
        <v>2011</v>
      </c>
      <c r="J199" s="4">
        <v>2012</v>
      </c>
      <c r="K199" s="5">
        <v>2013</v>
      </c>
      <c r="L199" s="5">
        <v>2014</v>
      </c>
      <c r="M199" s="6">
        <v>2015</v>
      </c>
      <c r="N199" s="6">
        <v>2016</v>
      </c>
      <c r="O199" s="6">
        <v>2017</v>
      </c>
      <c r="P199" s="6">
        <v>2018</v>
      </c>
      <c r="Q199" s="4">
        <v>2019</v>
      </c>
      <c r="R199" s="92">
        <v>2020</v>
      </c>
      <c r="S199" s="175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5"/>
      <c r="AW199" s="17"/>
      <c r="AX199" s="17"/>
      <c r="AY199" s="17"/>
      <c r="AZ199" s="17"/>
      <c r="BA199" s="17"/>
      <c r="BB199" s="17"/>
    </row>
    <row r="200" spans="1:54" ht="34.5" customHeight="1" x14ac:dyDescent="0.3">
      <c r="A200" s="14" t="s">
        <v>96</v>
      </c>
      <c r="B200" s="155" t="s">
        <v>91</v>
      </c>
      <c r="C200" s="157">
        <v>54.556325517024348</v>
      </c>
      <c r="D200" s="157">
        <v>54.136945311498714</v>
      </c>
      <c r="E200" s="157">
        <v>47.278594130483626</v>
      </c>
      <c r="F200" s="157">
        <v>49.876638278403782</v>
      </c>
      <c r="G200" s="157">
        <v>48.415822362335177</v>
      </c>
      <c r="H200" s="157">
        <v>48.649385822225987</v>
      </c>
      <c r="I200" s="157">
        <v>45.944387515727385</v>
      </c>
      <c r="J200" s="157">
        <v>49.139286962735504</v>
      </c>
      <c r="K200" s="202">
        <f>(56793115.41+4795304.22+88918551.18)*365/(921060823.47+55993612.93+323570821.1)</f>
        <v>42.237411605586942</v>
      </c>
      <c r="L200" s="202">
        <f>+((59005501.91+2187903.81+83821616.02)*365)/1341812433.18</f>
        <v>39.447005875223951</v>
      </c>
      <c r="M200" s="230">
        <v>34.158223626930145</v>
      </c>
      <c r="N200" s="232">
        <v>33.1</v>
      </c>
      <c r="O200" s="232">
        <v>26.92</v>
      </c>
      <c r="P200" s="235">
        <v>28.8</v>
      </c>
      <c r="Q200" s="157">
        <v>32</v>
      </c>
      <c r="R200" s="219"/>
      <c r="S200" s="176"/>
      <c r="AO200" s="12"/>
    </row>
    <row r="201" spans="1:54" ht="26.15" customHeight="1" thickBot="1" x14ac:dyDescent="0.3">
      <c r="A201" s="20" t="s">
        <v>97</v>
      </c>
      <c r="B201" s="156"/>
      <c r="C201" s="158"/>
      <c r="D201" s="158"/>
      <c r="E201" s="158"/>
      <c r="F201" s="158"/>
      <c r="G201" s="158"/>
      <c r="H201" s="158"/>
      <c r="I201" s="158"/>
      <c r="J201" s="158"/>
      <c r="K201" s="203"/>
      <c r="L201" s="203"/>
      <c r="M201" s="231"/>
      <c r="N201" s="233"/>
      <c r="O201" s="233"/>
      <c r="P201" s="236"/>
      <c r="Q201" s="158"/>
      <c r="R201" s="220"/>
      <c r="S201" s="177"/>
    </row>
    <row r="202" spans="1:54" ht="13" thickTop="1" x14ac:dyDescent="0.25"/>
    <row r="203" spans="1:54" x14ac:dyDescent="0.25">
      <c r="T203" s="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</row>
    <row r="206" spans="1:54" x14ac:dyDescent="0.25">
      <c r="S206" s="65"/>
    </row>
    <row r="207" spans="1:54" ht="15.75" customHeight="1" x14ac:dyDescent="0.25">
      <c r="L207" s="66"/>
      <c r="M207" s="66"/>
      <c r="N207" s="66"/>
      <c r="O207" s="66"/>
      <c r="P207" s="66"/>
      <c r="R207" s="66"/>
      <c r="S207" s="65"/>
    </row>
    <row r="208" spans="1:54" x14ac:dyDescent="0.25">
      <c r="A208" s="15"/>
      <c r="B208" s="15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Q208" s="67"/>
      <c r="S208" s="65"/>
    </row>
    <row r="209" spans="1:18" x14ac:dyDescent="0.25">
      <c r="A209" s="15"/>
      <c r="B209" s="15"/>
      <c r="C209" s="15"/>
      <c r="D209" s="15"/>
      <c r="E209" s="15"/>
      <c r="F209" s="15"/>
      <c r="L209" s="66"/>
      <c r="M209" s="66"/>
      <c r="N209" s="66"/>
      <c r="O209" s="66"/>
      <c r="P209" s="66"/>
      <c r="Q209" s="15"/>
      <c r="R209" s="66"/>
    </row>
    <row r="210" spans="1:18" ht="14" x14ac:dyDescent="0.25">
      <c r="A210" s="68"/>
      <c r="B210" s="15"/>
      <c r="C210" s="15"/>
      <c r="D210" s="15"/>
      <c r="E210" s="15"/>
      <c r="F210" s="15"/>
      <c r="Q210" s="15"/>
    </row>
    <row r="211" spans="1:18" ht="14" x14ac:dyDescent="0.25">
      <c r="A211" s="68"/>
      <c r="B211" s="15"/>
      <c r="C211" s="15"/>
      <c r="D211" s="15"/>
      <c r="E211" s="15"/>
      <c r="F211" s="15"/>
      <c r="Q211" s="15"/>
    </row>
    <row r="212" spans="1:18" x14ac:dyDescent="0.25">
      <c r="A212" s="15"/>
      <c r="B212" s="15"/>
      <c r="C212" s="15"/>
      <c r="D212" s="15"/>
      <c r="E212" s="15"/>
      <c r="F212" s="15"/>
      <c r="Q212" s="15"/>
    </row>
    <row r="213" spans="1:18" x14ac:dyDescent="0.25">
      <c r="A213" s="15"/>
      <c r="B213" s="15"/>
      <c r="C213" s="15"/>
      <c r="D213" s="15"/>
      <c r="E213" s="15"/>
      <c r="F213" s="15"/>
      <c r="Q213" s="15"/>
    </row>
    <row r="214" spans="1:18" x14ac:dyDescent="0.25">
      <c r="A214" s="15"/>
      <c r="B214" s="15"/>
      <c r="C214" s="15"/>
      <c r="D214" s="15"/>
      <c r="E214" s="15"/>
      <c r="F214" s="15"/>
      <c r="Q214" s="15"/>
    </row>
    <row r="215" spans="1:18" x14ac:dyDescent="0.25">
      <c r="A215" s="15"/>
      <c r="B215" s="15"/>
      <c r="C215" s="15"/>
      <c r="D215" s="15"/>
      <c r="E215" s="15"/>
      <c r="F215" s="15"/>
      <c r="Q215" s="15"/>
    </row>
    <row r="216" spans="1:18" x14ac:dyDescent="0.25">
      <c r="A216" s="15"/>
      <c r="B216" s="15"/>
      <c r="C216" s="15"/>
      <c r="D216" s="15"/>
      <c r="E216" s="15"/>
      <c r="F216" s="15"/>
      <c r="Q216" s="15"/>
    </row>
  </sheetData>
  <mergeCells count="662">
    <mergeCell ref="Q174:Q175"/>
    <mergeCell ref="Q179:Q180"/>
    <mergeCell ref="Q184:Q185"/>
    <mergeCell ref="Q190:Q191"/>
    <mergeCell ref="Q195:Q196"/>
    <mergeCell ref="Q200:Q201"/>
    <mergeCell ref="Q112:Q113"/>
    <mergeCell ref="Q117:Q118"/>
    <mergeCell ref="Q122:Q123"/>
    <mergeCell ref="Q127:Q128"/>
    <mergeCell ref="Q132:Q133"/>
    <mergeCell ref="Q137:Q138"/>
    <mergeCell ref="Q142:Q143"/>
    <mergeCell ref="Q147:Q148"/>
    <mergeCell ref="Q52:Q53"/>
    <mergeCell ref="Q57:Q58"/>
    <mergeCell ref="Q62:Q63"/>
    <mergeCell ref="Q67:Q68"/>
    <mergeCell ref="Q72:Q73"/>
    <mergeCell ref="Q77:Q78"/>
    <mergeCell ref="Q82:Q83"/>
    <mergeCell ref="Q87:Q88"/>
    <mergeCell ref="Q92:Q93"/>
    <mergeCell ref="Q6:Q7"/>
    <mergeCell ref="Q11:Q12"/>
    <mergeCell ref="Q16:Q17"/>
    <mergeCell ref="Q21:Q22"/>
    <mergeCell ref="Q26:Q27"/>
    <mergeCell ref="Q31:Q32"/>
    <mergeCell ref="Q37:Q38"/>
    <mergeCell ref="Q42:Q43"/>
    <mergeCell ref="Q47:Q48"/>
    <mergeCell ref="R174:R175"/>
    <mergeCell ref="R179:R180"/>
    <mergeCell ref="R184:R185"/>
    <mergeCell ref="R190:R191"/>
    <mergeCell ref="R195:R196"/>
    <mergeCell ref="R200:R201"/>
    <mergeCell ref="R82:R83"/>
    <mergeCell ref="R87:R88"/>
    <mergeCell ref="R92:R93"/>
    <mergeCell ref="R106:R107"/>
    <mergeCell ref="R112:R113"/>
    <mergeCell ref="R117:R118"/>
    <mergeCell ref="R122:R123"/>
    <mergeCell ref="R127:R128"/>
    <mergeCell ref="R52:R53"/>
    <mergeCell ref="R57:R58"/>
    <mergeCell ref="R62:R63"/>
    <mergeCell ref="R67:R68"/>
    <mergeCell ref="R72:R73"/>
    <mergeCell ref="R6:R7"/>
    <mergeCell ref="R11:R12"/>
    <mergeCell ref="R16:R17"/>
    <mergeCell ref="R21:R22"/>
    <mergeCell ref="R26:R27"/>
    <mergeCell ref="R31:R32"/>
    <mergeCell ref="R37:R38"/>
    <mergeCell ref="R42:R43"/>
    <mergeCell ref="R47:R48"/>
    <mergeCell ref="S199:S201"/>
    <mergeCell ref="B200:B201"/>
    <mergeCell ref="C200:C201"/>
    <mergeCell ref="D200:D201"/>
    <mergeCell ref="E200:E201"/>
    <mergeCell ref="F200:F201"/>
    <mergeCell ref="G200:G201"/>
    <mergeCell ref="H195:H196"/>
    <mergeCell ref="I195:I196"/>
    <mergeCell ref="J195:J196"/>
    <mergeCell ref="K195:K196"/>
    <mergeCell ref="L195:L196"/>
    <mergeCell ref="M195:M196"/>
    <mergeCell ref="N200:N201"/>
    <mergeCell ref="O200:O201"/>
    <mergeCell ref="P200:P201"/>
    <mergeCell ref="H200:H201"/>
    <mergeCell ref="I200:I201"/>
    <mergeCell ref="J200:J201"/>
    <mergeCell ref="K200:K201"/>
    <mergeCell ref="L200:L201"/>
    <mergeCell ref="M200:M201"/>
    <mergeCell ref="S194:S196"/>
    <mergeCell ref="B195:B196"/>
    <mergeCell ref="N195:N196"/>
    <mergeCell ref="O195:O196"/>
    <mergeCell ref="P195:P196"/>
    <mergeCell ref="S189:S191"/>
    <mergeCell ref="B190:B191"/>
    <mergeCell ref="C190:C191"/>
    <mergeCell ref="D190:D191"/>
    <mergeCell ref="E190:E191"/>
    <mergeCell ref="F190:F191"/>
    <mergeCell ref="G190:G191"/>
    <mergeCell ref="C195:C196"/>
    <mergeCell ref="D195:D196"/>
    <mergeCell ref="E195:E196"/>
    <mergeCell ref="F195:F196"/>
    <mergeCell ref="G195:G196"/>
    <mergeCell ref="H190:H191"/>
    <mergeCell ref="I190:I191"/>
    <mergeCell ref="J190:J191"/>
    <mergeCell ref="K190:K191"/>
    <mergeCell ref="H184:H185"/>
    <mergeCell ref="I184:I185"/>
    <mergeCell ref="J184:J185"/>
    <mergeCell ref="K184:K185"/>
    <mergeCell ref="L184:L185"/>
    <mergeCell ref="M184:M185"/>
    <mergeCell ref="N190:N191"/>
    <mergeCell ref="O190:O191"/>
    <mergeCell ref="P190:P191"/>
    <mergeCell ref="L190:L191"/>
    <mergeCell ref="M190:M191"/>
    <mergeCell ref="AO179:AO180"/>
    <mergeCell ref="S183:S185"/>
    <mergeCell ref="B184:B185"/>
    <mergeCell ref="C184:C185"/>
    <mergeCell ref="D184:D185"/>
    <mergeCell ref="E184:E185"/>
    <mergeCell ref="F184:F185"/>
    <mergeCell ref="G184:G185"/>
    <mergeCell ref="I179:I180"/>
    <mergeCell ref="J179:J180"/>
    <mergeCell ref="K179:K180"/>
    <mergeCell ref="L179:L180"/>
    <mergeCell ref="M179:M180"/>
    <mergeCell ref="N179:N180"/>
    <mergeCell ref="N184:N185"/>
    <mergeCell ref="O184:O185"/>
    <mergeCell ref="P184:P185"/>
    <mergeCell ref="S178:S180"/>
    <mergeCell ref="B179:B180"/>
    <mergeCell ref="C179:C180"/>
    <mergeCell ref="D179:D180"/>
    <mergeCell ref="E179:E180"/>
    <mergeCell ref="F179:F180"/>
    <mergeCell ref="G179:G180"/>
    <mergeCell ref="H179:H180"/>
    <mergeCell ref="I174:I175"/>
    <mergeCell ref="J174:J175"/>
    <mergeCell ref="K174:K175"/>
    <mergeCell ref="L174:L175"/>
    <mergeCell ref="M174:M175"/>
    <mergeCell ref="N174:N175"/>
    <mergeCell ref="O179:O180"/>
    <mergeCell ref="P179:P180"/>
    <mergeCell ref="S173:S175"/>
    <mergeCell ref="B174:B175"/>
    <mergeCell ref="C174:C175"/>
    <mergeCell ref="D174:D175"/>
    <mergeCell ref="E174:E175"/>
    <mergeCell ref="F174:F175"/>
    <mergeCell ref="G174:G175"/>
    <mergeCell ref="H174:H175"/>
    <mergeCell ref="I169:I170"/>
    <mergeCell ref="J169:J170"/>
    <mergeCell ref="K169:K170"/>
    <mergeCell ref="L169:L170"/>
    <mergeCell ref="M169:M170"/>
    <mergeCell ref="N169:N170"/>
    <mergeCell ref="O174:O175"/>
    <mergeCell ref="P174:P175"/>
    <mergeCell ref="S168:S170"/>
    <mergeCell ref="B169:B170"/>
    <mergeCell ref="C169:C170"/>
    <mergeCell ref="D169:D170"/>
    <mergeCell ref="E169:E170"/>
    <mergeCell ref="F169:F170"/>
    <mergeCell ref="G169:G170"/>
    <mergeCell ref="H169:H170"/>
    <mergeCell ref="I153:I154"/>
    <mergeCell ref="J153:J154"/>
    <mergeCell ref="L164:L165"/>
    <mergeCell ref="M164:M165"/>
    <mergeCell ref="N164:N165"/>
    <mergeCell ref="O169:O170"/>
    <mergeCell ref="P169:P170"/>
    <mergeCell ref="S163:S165"/>
    <mergeCell ref="R169:R170"/>
    <mergeCell ref="O164:O165"/>
    <mergeCell ref="P164:P165"/>
    <mergeCell ref="Q164:Q165"/>
    <mergeCell ref="Q169:Q170"/>
    <mergeCell ref="R164:R165"/>
    <mergeCell ref="B164:B165"/>
    <mergeCell ref="C164:C165"/>
    <mergeCell ref="D164:D165"/>
    <mergeCell ref="E164:E165"/>
    <mergeCell ref="F164:F165"/>
    <mergeCell ref="G164:G165"/>
    <mergeCell ref="H164:H165"/>
    <mergeCell ref="I158:I159"/>
    <mergeCell ref="J158:J159"/>
    <mergeCell ref="I164:I165"/>
    <mergeCell ref="J164:J165"/>
    <mergeCell ref="B158:B159"/>
    <mergeCell ref="C158:C159"/>
    <mergeCell ref="D158:D159"/>
    <mergeCell ref="E158:E159"/>
    <mergeCell ref="F158:F159"/>
    <mergeCell ref="G158:G159"/>
    <mergeCell ref="H158:H159"/>
    <mergeCell ref="K164:K165"/>
    <mergeCell ref="K153:K154"/>
    <mergeCell ref="L153:L154"/>
    <mergeCell ref="M153:M154"/>
    <mergeCell ref="N153:N154"/>
    <mergeCell ref="O158:O159"/>
    <mergeCell ref="P158:P159"/>
    <mergeCell ref="S152:S154"/>
    <mergeCell ref="K158:K159"/>
    <mergeCell ref="L158:L159"/>
    <mergeCell ref="M158:M159"/>
    <mergeCell ref="N158:N159"/>
    <mergeCell ref="S157:S159"/>
    <mergeCell ref="R153:R154"/>
    <mergeCell ref="R158:R159"/>
    <mergeCell ref="Q153:Q154"/>
    <mergeCell ref="Q158:Q159"/>
    <mergeCell ref="O153:O154"/>
    <mergeCell ref="P153:P154"/>
    <mergeCell ref="B147:B148"/>
    <mergeCell ref="C147:C148"/>
    <mergeCell ref="D147:D148"/>
    <mergeCell ref="E147:E148"/>
    <mergeCell ref="F147:F148"/>
    <mergeCell ref="G147:G148"/>
    <mergeCell ref="H147:H148"/>
    <mergeCell ref="B153:B154"/>
    <mergeCell ref="C153:C154"/>
    <mergeCell ref="D153:D154"/>
    <mergeCell ref="E153:E154"/>
    <mergeCell ref="F153:F154"/>
    <mergeCell ref="G153:G154"/>
    <mergeCell ref="H153:H154"/>
    <mergeCell ref="I142:I143"/>
    <mergeCell ref="J142:J143"/>
    <mergeCell ref="K142:K143"/>
    <mergeCell ref="L142:L143"/>
    <mergeCell ref="M142:M143"/>
    <mergeCell ref="N142:N143"/>
    <mergeCell ref="O147:O148"/>
    <mergeCell ref="P147:P148"/>
    <mergeCell ref="S141:S143"/>
    <mergeCell ref="K147:K148"/>
    <mergeCell ref="L147:L148"/>
    <mergeCell ref="M147:M148"/>
    <mergeCell ref="N147:N148"/>
    <mergeCell ref="R142:R143"/>
    <mergeCell ref="R147:R148"/>
    <mergeCell ref="S146:S148"/>
    <mergeCell ref="I147:I148"/>
    <mergeCell ref="J147:J148"/>
    <mergeCell ref="B137:B138"/>
    <mergeCell ref="C137:C138"/>
    <mergeCell ref="D137:D138"/>
    <mergeCell ref="E137:E138"/>
    <mergeCell ref="F137:F138"/>
    <mergeCell ref="G137:G138"/>
    <mergeCell ref="H137:H138"/>
    <mergeCell ref="B142:B143"/>
    <mergeCell ref="C142:C143"/>
    <mergeCell ref="D142:D143"/>
    <mergeCell ref="E142:E143"/>
    <mergeCell ref="F142:F143"/>
    <mergeCell ref="G142:G143"/>
    <mergeCell ref="H142:H143"/>
    <mergeCell ref="P137:P138"/>
    <mergeCell ref="S131:S133"/>
    <mergeCell ref="K137:K138"/>
    <mergeCell ref="L137:L138"/>
    <mergeCell ref="M137:M138"/>
    <mergeCell ref="N137:N138"/>
    <mergeCell ref="O142:O143"/>
    <mergeCell ref="P142:P143"/>
    <mergeCell ref="S136:S138"/>
    <mergeCell ref="R132:R133"/>
    <mergeCell ref="R137:R138"/>
    <mergeCell ref="I127:I128"/>
    <mergeCell ref="J127:J128"/>
    <mergeCell ref="I132:I133"/>
    <mergeCell ref="J132:J133"/>
    <mergeCell ref="K132:K133"/>
    <mergeCell ref="L132:L133"/>
    <mergeCell ref="M132:M133"/>
    <mergeCell ref="N132:N133"/>
    <mergeCell ref="O137:O138"/>
    <mergeCell ref="I137:I138"/>
    <mergeCell ref="J137:J138"/>
    <mergeCell ref="O127:O128"/>
    <mergeCell ref="B127:B128"/>
    <mergeCell ref="C127:C128"/>
    <mergeCell ref="D127:D128"/>
    <mergeCell ref="E127:E128"/>
    <mergeCell ref="F127:F128"/>
    <mergeCell ref="G127:G128"/>
    <mergeCell ref="H127:H128"/>
    <mergeCell ref="B132:B133"/>
    <mergeCell ref="C132:C133"/>
    <mergeCell ref="D132:D133"/>
    <mergeCell ref="E132:E133"/>
    <mergeCell ref="F132:F133"/>
    <mergeCell ref="G132:G133"/>
    <mergeCell ref="H132:H133"/>
    <mergeCell ref="P127:P128"/>
    <mergeCell ref="S121:S123"/>
    <mergeCell ref="K127:K128"/>
    <mergeCell ref="L127:L128"/>
    <mergeCell ref="M127:M128"/>
    <mergeCell ref="N127:N128"/>
    <mergeCell ref="O132:O133"/>
    <mergeCell ref="P132:P133"/>
    <mergeCell ref="S126:S128"/>
    <mergeCell ref="O122:O123"/>
    <mergeCell ref="P122:P123"/>
    <mergeCell ref="S116:S118"/>
    <mergeCell ref="B117:B118"/>
    <mergeCell ref="C117:C118"/>
    <mergeCell ref="D117:D118"/>
    <mergeCell ref="E117:E118"/>
    <mergeCell ref="F117:F118"/>
    <mergeCell ref="G117:G118"/>
    <mergeCell ref="H117:H118"/>
    <mergeCell ref="B122:B123"/>
    <mergeCell ref="C122:C123"/>
    <mergeCell ref="D122:D123"/>
    <mergeCell ref="E122:E123"/>
    <mergeCell ref="F122:F123"/>
    <mergeCell ref="G122:G123"/>
    <mergeCell ref="H122:H123"/>
    <mergeCell ref="I117:I118"/>
    <mergeCell ref="J117:J118"/>
    <mergeCell ref="I122:I123"/>
    <mergeCell ref="J122:J123"/>
    <mergeCell ref="K122:K123"/>
    <mergeCell ref="L122:L123"/>
    <mergeCell ref="M122:M123"/>
    <mergeCell ref="N122:N123"/>
    <mergeCell ref="I112:I113"/>
    <mergeCell ref="J112:J113"/>
    <mergeCell ref="K112:K113"/>
    <mergeCell ref="L112:L113"/>
    <mergeCell ref="M112:M113"/>
    <mergeCell ref="N112:N113"/>
    <mergeCell ref="O117:O118"/>
    <mergeCell ref="P117:P118"/>
    <mergeCell ref="P106:P107"/>
    <mergeCell ref="K117:K118"/>
    <mergeCell ref="L117:L118"/>
    <mergeCell ref="M117:M118"/>
    <mergeCell ref="N117:N118"/>
    <mergeCell ref="S91:S93"/>
    <mergeCell ref="B92:B93"/>
    <mergeCell ref="C92:C93"/>
    <mergeCell ref="D92:D93"/>
    <mergeCell ref="E92:E93"/>
    <mergeCell ref="F92:F93"/>
    <mergeCell ref="P92:P93"/>
    <mergeCell ref="S106:S107"/>
    <mergeCell ref="S111:S113"/>
    <mergeCell ref="B112:B113"/>
    <mergeCell ref="C112:C113"/>
    <mergeCell ref="D112:D113"/>
    <mergeCell ref="E112:E113"/>
    <mergeCell ref="F112:F113"/>
    <mergeCell ref="G112:G113"/>
    <mergeCell ref="H112:H113"/>
    <mergeCell ref="O112:O113"/>
    <mergeCell ref="P112:P113"/>
    <mergeCell ref="B106:B107"/>
    <mergeCell ref="K106:K107"/>
    <mergeCell ref="L106:L107"/>
    <mergeCell ref="M106:M107"/>
    <mergeCell ref="N106:N107"/>
    <mergeCell ref="O106:O107"/>
    <mergeCell ref="M92:M93"/>
    <mergeCell ref="N92:N93"/>
    <mergeCell ref="O92:O93"/>
    <mergeCell ref="G92:G93"/>
    <mergeCell ref="H92:H93"/>
    <mergeCell ref="I92:I93"/>
    <mergeCell ref="J92:J93"/>
    <mergeCell ref="K92:K93"/>
    <mergeCell ref="L92:L93"/>
    <mergeCell ref="E82:E83"/>
    <mergeCell ref="F82:F83"/>
    <mergeCell ref="G82:G83"/>
    <mergeCell ref="G87:G88"/>
    <mergeCell ref="H87:H88"/>
    <mergeCell ref="I87:I88"/>
    <mergeCell ref="J87:J88"/>
    <mergeCell ref="K87:K88"/>
    <mergeCell ref="L87:L88"/>
    <mergeCell ref="N82:N83"/>
    <mergeCell ref="O82:O83"/>
    <mergeCell ref="P82:P83"/>
    <mergeCell ref="AN82:AN83"/>
    <mergeCell ref="S86:S88"/>
    <mergeCell ref="B87:B88"/>
    <mergeCell ref="C87:C88"/>
    <mergeCell ref="D87:D88"/>
    <mergeCell ref="E87:E88"/>
    <mergeCell ref="F87:F88"/>
    <mergeCell ref="H82:H83"/>
    <mergeCell ref="I82:I83"/>
    <mergeCell ref="J82:J83"/>
    <mergeCell ref="K82:K83"/>
    <mergeCell ref="L82:L83"/>
    <mergeCell ref="M82:M83"/>
    <mergeCell ref="M87:M88"/>
    <mergeCell ref="N87:N88"/>
    <mergeCell ref="O87:O88"/>
    <mergeCell ref="P87:P88"/>
    <mergeCell ref="S81:S83"/>
    <mergeCell ref="B82:B83"/>
    <mergeCell ref="C82:C83"/>
    <mergeCell ref="D82:D83"/>
    <mergeCell ref="O67:O68"/>
    <mergeCell ref="P67:P68"/>
    <mergeCell ref="B77:B78"/>
    <mergeCell ref="C77:C78"/>
    <mergeCell ref="D77:D78"/>
    <mergeCell ref="E77:E78"/>
    <mergeCell ref="F77:F78"/>
    <mergeCell ref="G77:G78"/>
    <mergeCell ref="H72:H73"/>
    <mergeCell ref="I72:I73"/>
    <mergeCell ref="J72:J73"/>
    <mergeCell ref="B72:B73"/>
    <mergeCell ref="C72:C73"/>
    <mergeCell ref="D72:D73"/>
    <mergeCell ref="E72:E73"/>
    <mergeCell ref="F72:F73"/>
    <mergeCell ref="G72:G73"/>
    <mergeCell ref="H77:H78"/>
    <mergeCell ref="I77:I78"/>
    <mergeCell ref="J77:J78"/>
    <mergeCell ref="N72:N73"/>
    <mergeCell ref="O72:O73"/>
    <mergeCell ref="P72:P73"/>
    <mergeCell ref="S76:S78"/>
    <mergeCell ref="K72:K73"/>
    <mergeCell ref="L72:L73"/>
    <mergeCell ref="M72:M73"/>
    <mergeCell ref="N77:N78"/>
    <mergeCell ref="O77:O78"/>
    <mergeCell ref="P77:P78"/>
    <mergeCell ref="S71:S73"/>
    <mergeCell ref="K77:K78"/>
    <mergeCell ref="L77:L78"/>
    <mergeCell ref="M77:M78"/>
    <mergeCell ref="R77:R78"/>
    <mergeCell ref="S61:S63"/>
    <mergeCell ref="B62:B63"/>
    <mergeCell ref="C62:C63"/>
    <mergeCell ref="D62:D63"/>
    <mergeCell ref="E62:E63"/>
    <mergeCell ref="F62:F63"/>
    <mergeCell ref="G62:G63"/>
    <mergeCell ref="H67:H68"/>
    <mergeCell ref="B67:B68"/>
    <mergeCell ref="C67:C68"/>
    <mergeCell ref="D67:D68"/>
    <mergeCell ref="E67:E68"/>
    <mergeCell ref="F67:F68"/>
    <mergeCell ref="G67:G68"/>
    <mergeCell ref="H62:H63"/>
    <mergeCell ref="I62:I63"/>
    <mergeCell ref="J62:J63"/>
    <mergeCell ref="I67:I68"/>
    <mergeCell ref="J67:J68"/>
    <mergeCell ref="K67:K68"/>
    <mergeCell ref="L67:L68"/>
    <mergeCell ref="M67:M68"/>
    <mergeCell ref="S66:S68"/>
    <mergeCell ref="N67:N68"/>
    <mergeCell ref="H57:H58"/>
    <mergeCell ref="I57:I58"/>
    <mergeCell ref="J57:J58"/>
    <mergeCell ref="K57:K58"/>
    <mergeCell ref="L57:L58"/>
    <mergeCell ref="M57:M58"/>
    <mergeCell ref="N62:N63"/>
    <mergeCell ref="O62:O63"/>
    <mergeCell ref="P62:P63"/>
    <mergeCell ref="K62:K63"/>
    <mergeCell ref="L62:L63"/>
    <mergeCell ref="M62:M63"/>
    <mergeCell ref="O52:O53"/>
    <mergeCell ref="P52:P53"/>
    <mergeCell ref="S56:S58"/>
    <mergeCell ref="B57:B58"/>
    <mergeCell ref="C57:C58"/>
    <mergeCell ref="D57:D58"/>
    <mergeCell ref="E57:E58"/>
    <mergeCell ref="F57:F58"/>
    <mergeCell ref="G57:G58"/>
    <mergeCell ref="H52:H53"/>
    <mergeCell ref="I52:I53"/>
    <mergeCell ref="J52:J53"/>
    <mergeCell ref="K52:K53"/>
    <mergeCell ref="L52:L53"/>
    <mergeCell ref="M52:M53"/>
    <mergeCell ref="N57:N58"/>
    <mergeCell ref="O57:O58"/>
    <mergeCell ref="P57:P58"/>
    <mergeCell ref="S51:S53"/>
    <mergeCell ref="B52:B53"/>
    <mergeCell ref="C52:C53"/>
    <mergeCell ref="D52:D53"/>
    <mergeCell ref="E52:E53"/>
    <mergeCell ref="F52:F53"/>
    <mergeCell ref="G42:G43"/>
    <mergeCell ref="H47:H48"/>
    <mergeCell ref="I47:I48"/>
    <mergeCell ref="J47:J48"/>
    <mergeCell ref="K47:K48"/>
    <mergeCell ref="L47:L48"/>
    <mergeCell ref="M47:M48"/>
    <mergeCell ref="N52:N53"/>
    <mergeCell ref="G52:G53"/>
    <mergeCell ref="N42:N43"/>
    <mergeCell ref="O42:O43"/>
    <mergeCell ref="P42:P43"/>
    <mergeCell ref="S46:S48"/>
    <mergeCell ref="B47:B48"/>
    <mergeCell ref="C47:C48"/>
    <mergeCell ref="D47:D48"/>
    <mergeCell ref="E47:E48"/>
    <mergeCell ref="F47:F48"/>
    <mergeCell ref="G47:G48"/>
    <mergeCell ref="H42:H43"/>
    <mergeCell ref="I42:I43"/>
    <mergeCell ref="J42:J43"/>
    <mergeCell ref="K42:K43"/>
    <mergeCell ref="L42:L43"/>
    <mergeCell ref="M42:M43"/>
    <mergeCell ref="N47:N48"/>
    <mergeCell ref="O47:O48"/>
    <mergeCell ref="P47:P48"/>
    <mergeCell ref="S41:S43"/>
    <mergeCell ref="B42:B43"/>
    <mergeCell ref="C42:C43"/>
    <mergeCell ref="D42:D43"/>
    <mergeCell ref="E42:E43"/>
    <mergeCell ref="F42:F43"/>
    <mergeCell ref="F26:F27"/>
    <mergeCell ref="G26:G27"/>
    <mergeCell ref="S36:S38"/>
    <mergeCell ref="B37:B38"/>
    <mergeCell ref="C37:C38"/>
    <mergeCell ref="D37:D38"/>
    <mergeCell ref="E37:E38"/>
    <mergeCell ref="F37:F38"/>
    <mergeCell ref="G37:G38"/>
    <mergeCell ref="H31:H32"/>
    <mergeCell ref="I31:I32"/>
    <mergeCell ref="J31:J32"/>
    <mergeCell ref="K31:K32"/>
    <mergeCell ref="L31:L32"/>
    <mergeCell ref="M31:M32"/>
    <mergeCell ref="N37:N38"/>
    <mergeCell ref="O37:O38"/>
    <mergeCell ref="P37:P38"/>
    <mergeCell ref="H37:H38"/>
    <mergeCell ref="I37:I38"/>
    <mergeCell ref="J37:J38"/>
    <mergeCell ref="K37:K38"/>
    <mergeCell ref="L37:L38"/>
    <mergeCell ref="M37:M38"/>
    <mergeCell ref="O26:O27"/>
    <mergeCell ref="P26:P27"/>
    <mergeCell ref="AO26:AO27"/>
    <mergeCell ref="S30:S32"/>
    <mergeCell ref="B31:B32"/>
    <mergeCell ref="C31:C32"/>
    <mergeCell ref="D31:D32"/>
    <mergeCell ref="E31:E32"/>
    <mergeCell ref="F31:F32"/>
    <mergeCell ref="G31:G32"/>
    <mergeCell ref="I26:I27"/>
    <mergeCell ref="J26:J27"/>
    <mergeCell ref="K26:K27"/>
    <mergeCell ref="L26:L27"/>
    <mergeCell ref="M26:M27"/>
    <mergeCell ref="N26:N27"/>
    <mergeCell ref="N31:N32"/>
    <mergeCell ref="O31:O32"/>
    <mergeCell ref="P31:P32"/>
    <mergeCell ref="S25:S27"/>
    <mergeCell ref="B26:B27"/>
    <mergeCell ref="C26:C27"/>
    <mergeCell ref="D26:D27"/>
    <mergeCell ref="E26:E27"/>
    <mergeCell ref="G16:G17"/>
    <mergeCell ref="H16:H17"/>
    <mergeCell ref="H26:H27"/>
    <mergeCell ref="I21:I22"/>
    <mergeCell ref="J21:J22"/>
    <mergeCell ref="K21:K22"/>
    <mergeCell ref="L21:L22"/>
    <mergeCell ref="M21:M22"/>
    <mergeCell ref="N21:N22"/>
    <mergeCell ref="P16:P17"/>
    <mergeCell ref="S10:S12"/>
    <mergeCell ref="S20:S22"/>
    <mergeCell ref="B21:B22"/>
    <mergeCell ref="C21:C22"/>
    <mergeCell ref="D21:D22"/>
    <mergeCell ref="E21:E22"/>
    <mergeCell ref="F21:F22"/>
    <mergeCell ref="G21:G22"/>
    <mergeCell ref="H21:H22"/>
    <mergeCell ref="I16:I17"/>
    <mergeCell ref="J16:J17"/>
    <mergeCell ref="K16:K17"/>
    <mergeCell ref="L16:L17"/>
    <mergeCell ref="M16:M17"/>
    <mergeCell ref="N16:N17"/>
    <mergeCell ref="O21:O22"/>
    <mergeCell ref="P21:P22"/>
    <mergeCell ref="S15:S17"/>
    <mergeCell ref="B16:B17"/>
    <mergeCell ref="C16:C17"/>
    <mergeCell ref="D16:D17"/>
    <mergeCell ref="E16:E17"/>
    <mergeCell ref="F16:F17"/>
    <mergeCell ref="K11:K12"/>
    <mergeCell ref="L11:L12"/>
    <mergeCell ref="M11:M12"/>
    <mergeCell ref="N11:N12"/>
    <mergeCell ref="O16:O17"/>
    <mergeCell ref="K6:K7"/>
    <mergeCell ref="L6:L7"/>
    <mergeCell ref="M6:M7"/>
    <mergeCell ref="N6:N7"/>
    <mergeCell ref="O11:O12"/>
    <mergeCell ref="Q106:Q107"/>
    <mergeCell ref="P11:P12"/>
    <mergeCell ref="AN1:AT1"/>
    <mergeCell ref="S5:S7"/>
    <mergeCell ref="B6:B7"/>
    <mergeCell ref="C6:C7"/>
    <mergeCell ref="D6:D7"/>
    <mergeCell ref="E6:E7"/>
    <mergeCell ref="F6:F7"/>
    <mergeCell ref="G6:G7"/>
    <mergeCell ref="H6:H7"/>
    <mergeCell ref="O6:O7"/>
    <mergeCell ref="P6:P7"/>
    <mergeCell ref="B11:B12"/>
    <mergeCell ref="C11:C12"/>
    <mergeCell ref="D11:D12"/>
    <mergeCell ref="E11:E12"/>
    <mergeCell ref="F11:F12"/>
    <mergeCell ref="G11:G12"/>
    <mergeCell ref="H11:H12"/>
    <mergeCell ref="I6:I7"/>
    <mergeCell ref="J6:J7"/>
    <mergeCell ref="I11:I12"/>
    <mergeCell ref="J11:J12"/>
  </mergeCells>
  <pageMargins left="0.47" right="0.19685039370078741" top="0.55118110236220474" bottom="0.31496062992125984" header="0.23622047244094491" footer="0.15748031496062992"/>
  <pageSetup paperSize="9" scale="61" orientation="landscape" r:id="rId1"/>
  <headerFooter>
    <oddHeader>&amp;C&amp;"Candara,Negreta"&amp;18&amp;E&amp;K03+000INDICADORS DE TRANSPARÈNCIA ECONÒMICA I FINANCERA</oddHeader>
    <oddFooter>&amp;R&amp;"Arial,Negreta"&amp;K00-049&amp;P&amp;"Arial,Normal"/&amp;N</oddFooter>
  </headerFooter>
  <rowBreaks count="6" manualBreakCount="6">
    <brk id="33" max="15" man="1"/>
    <brk id="68" max="15" man="1"/>
    <brk id="108" max="15" man="1"/>
    <brk id="149" max="15" man="1"/>
    <brk id="160" max="15" man="1"/>
    <brk id="186" max="15" man="1"/>
  </rowBreaks>
  <customProperties>
    <customPr name="EpmWorksheetKeyString_GUID" r:id="rId2"/>
  </customPropertie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CAT!C164:R164</xm:f>
              <xm:sqref>S163</xm:sqref>
            </x14:sparkline>
          </x14:sparklines>
        </x14:sparklineGroup>
        <x14:sparklineGroup type="stacked" displayEmptyCellsAs="gap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CAT!C208:P208</xm:f>
              <xm:sqref>S208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CAT!K106:R106</xm:f>
              <xm:sqref>S106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CAT!C6:R6</xm:f>
              <xm:sqref>S5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CAT!C21:R21</xm:f>
              <xm:sqref>S20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CAT!C16:R16</xm:f>
              <xm:sqref>S15</xm:sqref>
            </x14:sparkline>
            <x14:sparkline>
              <xm:f>CAT!C11:R11</xm:f>
              <xm:sqref>S10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CAT!C26:R26</xm:f>
              <xm:sqref>S25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CAT!C31:R31</xm:f>
              <xm:sqref>S30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CAT!C37:R37</xm:f>
              <xm:sqref>S36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CAT!C42:R42</xm:f>
              <xm:sqref>S41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CAT!C47:R47</xm:f>
              <xm:sqref>S46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CAT!C52:R52</xm:f>
              <xm:sqref>S51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CAT!C57:R57</xm:f>
              <xm:sqref>S56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CAT!C62:R62</xm:f>
              <xm:sqref>S61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CAT!C67:R67</xm:f>
              <xm:sqref>S66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CAT!C72:R72</xm:f>
              <xm:sqref>S71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CAT!C77:R77</xm:f>
              <xm:sqref>S76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CAT!C82:R82</xm:f>
              <xm:sqref>S81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CAT!C87:R87</xm:f>
              <xm:sqref>S86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CAT!C92:R92</xm:f>
              <xm:sqref>S91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CAT!C112:R112</xm:f>
              <xm:sqref>S111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CAT!C117:R117</xm:f>
              <xm:sqref>S116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CAT!C122:R122</xm:f>
              <xm:sqref>S121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CAT!C127:R127</xm:f>
              <xm:sqref>S126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CAT!C132:R132</xm:f>
              <xm:sqref>S131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CAT!C137:R137</xm:f>
              <xm:sqref>S136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CAT!C142:R142</xm:f>
              <xm:sqref>S141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CAT!C147:R147</xm:f>
              <xm:sqref>S146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CAT!C153:R153</xm:f>
              <xm:sqref>S152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CAT!C158:R158</xm:f>
              <xm:sqref>S157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CAT!C174:R174</xm:f>
              <xm:sqref>S173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CAT!C169:R169</xm:f>
              <xm:sqref>S168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CAT!C179:R179</xm:f>
              <xm:sqref>S178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CAT!C184:R184</xm:f>
              <xm:sqref>S183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CAT!C190:R190</xm:f>
              <xm:sqref>S189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CAT!C195:R195</xm:f>
              <xm:sqref>S194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CAT!C200:R200</xm:f>
              <xm:sqref>S199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topLeftCell="B100" workbookViewId="0">
      <selection activeCell="E122" sqref="E122"/>
    </sheetView>
  </sheetViews>
  <sheetFormatPr defaultRowHeight="12.5" x14ac:dyDescent="0.25"/>
  <cols>
    <col min="1" max="1" width="9.1796875" style="100" hidden="1" customWidth="1"/>
    <col min="2" max="2" width="16.26953125" style="116" bestFit="1" customWidth="1"/>
    <col min="3" max="3" width="69.54296875" customWidth="1"/>
    <col min="4" max="4" width="10.7265625" bestFit="1" customWidth="1"/>
    <col min="5" max="6" width="10.26953125" bestFit="1" customWidth="1"/>
    <col min="8" max="8" width="12.453125" bestFit="1" customWidth="1"/>
  </cols>
  <sheetData>
    <row r="1" spans="1:6" ht="13" thickBot="1" x14ac:dyDescent="0.3"/>
    <row r="2" spans="1:6" ht="19.5" thickTop="1" thickBot="1" x14ac:dyDescent="0.5">
      <c r="A2" s="101">
        <v>1</v>
      </c>
      <c r="B2" s="117"/>
      <c r="C2" s="113" t="s">
        <v>0</v>
      </c>
      <c r="D2" s="114">
        <v>2018</v>
      </c>
      <c r="E2" s="114">
        <v>2019</v>
      </c>
      <c r="F2" s="114">
        <v>2020</v>
      </c>
    </row>
    <row r="3" spans="1:6" ht="13" thickTop="1" x14ac:dyDescent="0.25">
      <c r="A3" s="101">
        <v>1</v>
      </c>
      <c r="B3" s="117" t="str">
        <f>+CAT!B6</f>
        <v>Euros per habitant</v>
      </c>
      <c r="C3" s="101" t="s">
        <v>3</v>
      </c>
      <c r="D3" s="124">
        <f>+D4*1000000/D5</f>
        <v>515.94014353751027</v>
      </c>
      <c r="E3" s="124">
        <f>+E4*1000000/E5</f>
        <v>476.55065305768341</v>
      </c>
      <c r="F3" s="124">
        <f>+F4*1000000/F5</f>
        <v>480.03936322778469</v>
      </c>
    </row>
    <row r="4" spans="1:6" x14ac:dyDescent="0.25">
      <c r="A4" s="101">
        <v>5</v>
      </c>
      <c r="B4" s="117"/>
      <c r="C4" s="128" t="s">
        <v>103</v>
      </c>
      <c r="D4" s="129">
        <f>+D6</f>
        <v>836</v>
      </c>
      <c r="E4" s="129">
        <f>+E6</f>
        <v>780</v>
      </c>
      <c r="F4" s="129">
        <f>+F6</f>
        <v>800</v>
      </c>
    </row>
    <row r="5" spans="1:6" x14ac:dyDescent="0.25">
      <c r="A5" s="101">
        <v>6</v>
      </c>
      <c r="B5" s="117"/>
      <c r="C5" s="128" t="s">
        <v>104</v>
      </c>
      <c r="D5" s="130">
        <v>1620343</v>
      </c>
      <c r="E5" s="130">
        <v>1636762</v>
      </c>
      <c r="F5" s="130">
        <v>1666530</v>
      </c>
    </row>
    <row r="6" spans="1:6" x14ac:dyDescent="0.25">
      <c r="A6" s="101">
        <v>10</v>
      </c>
      <c r="B6" s="117" t="str">
        <f>+CAT!B11</f>
        <v>Milions d'euros</v>
      </c>
      <c r="C6" s="101" t="s">
        <v>6</v>
      </c>
      <c r="D6" s="124">
        <f>+CAT!P11</f>
        <v>836</v>
      </c>
      <c r="E6" s="124">
        <f>+CAT!Q11</f>
        <v>780</v>
      </c>
      <c r="F6" s="124">
        <v>800</v>
      </c>
    </row>
    <row r="7" spans="1:6" x14ac:dyDescent="0.25">
      <c r="A7" s="101">
        <v>11</v>
      </c>
      <c r="B7" s="117"/>
      <c r="C7" s="128" t="s">
        <v>103</v>
      </c>
      <c r="D7" s="128"/>
      <c r="E7" s="128"/>
      <c r="F7" s="128"/>
    </row>
    <row r="8" spans="1:6" x14ac:dyDescent="0.25">
      <c r="A8" s="101">
        <v>11</v>
      </c>
      <c r="B8" s="117" t="str">
        <f>+CAT!B16</f>
        <v>%</v>
      </c>
      <c r="C8" s="101" t="s">
        <v>98</v>
      </c>
      <c r="D8" s="125">
        <f>+D9/D10</f>
        <v>0.32503888024883359</v>
      </c>
      <c r="E8" s="125">
        <f>+E9/E10</f>
        <v>0.29567854435178165</v>
      </c>
      <c r="F8" s="125">
        <f>+F9/F10</f>
        <v>0.30738492276953816</v>
      </c>
    </row>
    <row r="9" spans="1:6" x14ac:dyDescent="0.25">
      <c r="A9" s="101">
        <v>15</v>
      </c>
      <c r="B9" s="117"/>
      <c r="C9" s="128" t="s">
        <v>103</v>
      </c>
      <c r="D9" s="129">
        <f>+D4</f>
        <v>836</v>
      </c>
      <c r="E9" s="129">
        <f t="shared" ref="E9:F9" si="0">+E4</f>
        <v>780</v>
      </c>
      <c r="F9" s="129">
        <f t="shared" si="0"/>
        <v>800</v>
      </c>
    </row>
    <row r="10" spans="1:6" x14ac:dyDescent="0.25">
      <c r="A10" s="101">
        <v>16</v>
      </c>
      <c r="B10" s="117"/>
      <c r="C10" t="s">
        <v>141</v>
      </c>
      <c r="D10">
        <v>2572</v>
      </c>
      <c r="E10">
        <v>2638</v>
      </c>
      <c r="F10">
        <v>2602.6</v>
      </c>
    </row>
    <row r="11" spans="1:6" x14ac:dyDescent="0.25">
      <c r="A11" s="101">
        <v>16</v>
      </c>
      <c r="B11" s="117" t="str">
        <f>+CAT!B21</f>
        <v>%</v>
      </c>
      <c r="C11" s="101" t="s">
        <v>12</v>
      </c>
      <c r="D11" s="125">
        <f>+CAT!P21</f>
        <v>1.4999999999999999E-2</v>
      </c>
      <c r="E11" s="125">
        <f>+CAT!Q21</f>
        <v>1.4999999999999999E-2</v>
      </c>
      <c r="F11" s="125"/>
    </row>
    <row r="12" spans="1:6" x14ac:dyDescent="0.25">
      <c r="A12" s="101">
        <v>20</v>
      </c>
      <c r="B12" s="117"/>
      <c r="C12" s="100" t="s">
        <v>112</v>
      </c>
    </row>
    <row r="13" spans="1:6" x14ac:dyDescent="0.25">
      <c r="A13" s="101">
        <v>21</v>
      </c>
      <c r="B13" s="117"/>
      <c r="C13" t="s">
        <v>129</v>
      </c>
    </row>
    <row r="14" spans="1:6" x14ac:dyDescent="0.25">
      <c r="A14" s="101">
        <v>21</v>
      </c>
      <c r="B14" s="117" t="str">
        <f>+CAT!B26</f>
        <v>Anys</v>
      </c>
      <c r="C14" s="101" t="s">
        <v>14</v>
      </c>
      <c r="D14" s="126">
        <f>+CAT!P26</f>
        <v>6.3</v>
      </c>
      <c r="E14" s="126">
        <f>+CAT!Q26</f>
        <v>5.8</v>
      </c>
      <c r="F14" s="126"/>
    </row>
    <row r="15" spans="1:6" x14ac:dyDescent="0.25">
      <c r="A15" s="101">
        <v>25</v>
      </c>
      <c r="B15" s="117"/>
      <c r="C15" t="s">
        <v>124</v>
      </c>
    </row>
    <row r="16" spans="1:6" x14ac:dyDescent="0.25">
      <c r="A16" s="101">
        <v>26</v>
      </c>
      <c r="B16" s="117"/>
      <c r="C16" t="s">
        <v>128</v>
      </c>
    </row>
    <row r="17" spans="1:6" x14ac:dyDescent="0.25">
      <c r="A17" s="101">
        <v>26</v>
      </c>
      <c r="B17" s="117" t="str">
        <f>+CAT!B31</f>
        <v>%</v>
      </c>
      <c r="C17" s="101" t="s">
        <v>17</v>
      </c>
      <c r="D17" s="125">
        <f t="shared" ref="D17:E17" si="1">+D18/D19</f>
        <v>0.31002922285019208</v>
      </c>
      <c r="E17" s="125">
        <f t="shared" si="1"/>
        <v>0.2874495120728795</v>
      </c>
      <c r="F17" s="125">
        <f>+F18/F19</f>
        <v>0.2779534289029873</v>
      </c>
    </row>
    <row r="18" spans="1:6" x14ac:dyDescent="0.25">
      <c r="A18" s="101">
        <v>28</v>
      </c>
      <c r="B18" s="117"/>
      <c r="C18" s="128" t="s">
        <v>103</v>
      </c>
      <c r="D18" s="129">
        <f>+D4</f>
        <v>836</v>
      </c>
      <c r="E18" s="129">
        <f t="shared" ref="E18:F18" si="2">+E4</f>
        <v>780</v>
      </c>
      <c r="F18" s="129">
        <f t="shared" si="2"/>
        <v>800</v>
      </c>
    </row>
    <row r="19" spans="1:6" x14ac:dyDescent="0.25">
      <c r="A19" s="101">
        <v>31</v>
      </c>
      <c r="B19" s="117"/>
      <c r="C19" s="134" t="s">
        <v>140</v>
      </c>
      <c r="D19" s="134">
        <v>2696.52</v>
      </c>
      <c r="E19" s="134">
        <v>2713.52</v>
      </c>
      <c r="F19" s="134">
        <v>2878.18</v>
      </c>
    </row>
    <row r="20" spans="1:6" ht="13" thickBot="1" x14ac:dyDescent="0.3">
      <c r="C20" s="132" t="s">
        <v>166</v>
      </c>
    </row>
    <row r="21" spans="1:6" ht="19.5" thickTop="1" thickBot="1" x14ac:dyDescent="0.5">
      <c r="A21" s="103">
        <v>32</v>
      </c>
      <c r="B21" s="118"/>
      <c r="C21" s="113" t="s">
        <v>18</v>
      </c>
      <c r="D21" s="114">
        <v>2018</v>
      </c>
      <c r="E21" s="114">
        <v>2019</v>
      </c>
      <c r="F21" s="114">
        <v>2020</v>
      </c>
    </row>
    <row r="22" spans="1:6" ht="13" thickTop="1" x14ac:dyDescent="0.25">
      <c r="A22" s="103">
        <v>32</v>
      </c>
      <c r="B22" s="118" t="str">
        <f>+CAT!B37</f>
        <v>Euros per habitant</v>
      </c>
      <c r="C22" s="103" t="s">
        <v>19</v>
      </c>
      <c r="D22" s="124">
        <f>+D23/D24*1000000</f>
        <v>1608.3737682268497</v>
      </c>
      <c r="E22" s="124">
        <f>+E23/E24*1000000</f>
        <v>1642.2943589721656</v>
      </c>
      <c r="F22" s="124">
        <f>+F23/F24*1000000</f>
        <v>1655.0317126004334</v>
      </c>
    </row>
    <row r="23" spans="1:6" x14ac:dyDescent="0.25">
      <c r="A23" s="103">
        <v>36</v>
      </c>
      <c r="B23" s="118"/>
      <c r="C23" s="110" t="s">
        <v>134</v>
      </c>
      <c r="D23" s="137">
        <v>2606.1171767299984</v>
      </c>
      <c r="E23" s="137">
        <v>2688.04499958</v>
      </c>
      <c r="F23" s="137">
        <v>2758.16</v>
      </c>
    </row>
    <row r="24" spans="1:6" x14ac:dyDescent="0.25">
      <c r="A24" s="103">
        <v>37</v>
      </c>
      <c r="B24" s="118"/>
      <c r="C24" s="128" t="s">
        <v>104</v>
      </c>
      <c r="D24" s="130">
        <f>+D5</f>
        <v>1620343</v>
      </c>
      <c r="E24" s="130">
        <f t="shared" ref="E24:F24" si="3">+E5</f>
        <v>1636762</v>
      </c>
      <c r="F24" s="130">
        <f t="shared" si="3"/>
        <v>1666530</v>
      </c>
    </row>
    <row r="25" spans="1:6" x14ac:dyDescent="0.25">
      <c r="A25" s="103">
        <v>37</v>
      </c>
      <c r="B25" s="118" t="str">
        <f>+CAT!B42</f>
        <v>Euros per habitant</v>
      </c>
      <c r="C25" s="103" t="s">
        <v>20</v>
      </c>
      <c r="D25" s="124">
        <f>+D26*1000000/D27</f>
        <v>905.66009789285351</v>
      </c>
      <c r="E25" s="124">
        <f>+E26*1000000/E27</f>
        <v>923.27412293296152</v>
      </c>
      <c r="F25" s="124">
        <f>+F26*1000000/F27</f>
        <v>926.92480783424242</v>
      </c>
    </row>
    <row r="26" spans="1:6" x14ac:dyDescent="0.25">
      <c r="A26" s="103">
        <v>41</v>
      </c>
      <c r="B26" s="118"/>
      <c r="C26" s="102" t="s">
        <v>135</v>
      </c>
      <c r="D26" s="138">
        <v>1467.48</v>
      </c>
      <c r="E26" s="138">
        <v>1511.18</v>
      </c>
      <c r="F26" s="138">
        <v>1544.748</v>
      </c>
    </row>
    <row r="27" spans="1:6" x14ac:dyDescent="0.25">
      <c r="A27" s="103">
        <v>42</v>
      </c>
      <c r="B27" s="118"/>
      <c r="C27" s="128" t="s">
        <v>104</v>
      </c>
      <c r="D27" s="130">
        <f>+D5</f>
        <v>1620343</v>
      </c>
      <c r="E27" s="130">
        <f t="shared" ref="E27:F27" si="4">+E5</f>
        <v>1636762</v>
      </c>
      <c r="F27" s="130">
        <f t="shared" si="4"/>
        <v>1666530</v>
      </c>
    </row>
    <row r="28" spans="1:6" x14ac:dyDescent="0.25">
      <c r="A28" s="103">
        <v>42</v>
      </c>
      <c r="B28" s="118" t="str">
        <f>+CAT!B47</f>
        <v>Euros per habitant</v>
      </c>
      <c r="C28" s="103" t="s">
        <v>21</v>
      </c>
      <c r="D28" s="124">
        <f>+D29/D30*1000000</f>
        <v>1343.3020045755745</v>
      </c>
      <c r="E28" s="124">
        <f>+E29/E30*1000000</f>
        <v>1364.749426000848</v>
      </c>
      <c r="F28" s="124">
        <f>+F29/F30*1000000</f>
        <v>1399.326744793073</v>
      </c>
    </row>
    <row r="29" spans="1:6" x14ac:dyDescent="0.25">
      <c r="A29" s="103">
        <v>46</v>
      </c>
      <c r="B29" s="118"/>
      <c r="C29" t="s">
        <v>117</v>
      </c>
      <c r="D29" s="129">
        <v>2176.61</v>
      </c>
      <c r="E29" s="129">
        <v>2233.77</v>
      </c>
      <c r="F29" s="129">
        <v>2332.02</v>
      </c>
    </row>
    <row r="30" spans="1:6" x14ac:dyDescent="0.25">
      <c r="A30" s="103">
        <v>47</v>
      </c>
      <c r="B30" s="118"/>
      <c r="C30" s="128" t="s">
        <v>104</v>
      </c>
      <c r="D30" s="130">
        <f>+D5</f>
        <v>1620343</v>
      </c>
      <c r="E30" s="130">
        <f t="shared" ref="E30:F30" si="5">+E5</f>
        <v>1636762</v>
      </c>
      <c r="F30" s="130">
        <f t="shared" si="5"/>
        <v>1666530</v>
      </c>
    </row>
    <row r="31" spans="1:6" x14ac:dyDescent="0.25">
      <c r="A31" s="103">
        <v>47</v>
      </c>
      <c r="B31" s="118" t="str">
        <f>+CAT!B52</f>
        <v>Euros per habitant</v>
      </c>
      <c r="C31" s="103" t="s">
        <v>23</v>
      </c>
      <c r="D31" s="124">
        <f>+D32/D33*1000000</f>
        <v>7.3490612790008045</v>
      </c>
      <c r="E31" s="124">
        <f>+E32/E33*1000000</f>
        <v>11.040090129169666</v>
      </c>
      <c r="F31" s="124">
        <f>+F32/F33*1000000</f>
        <v>8.4126898405669266</v>
      </c>
    </row>
    <row r="32" spans="1:6" x14ac:dyDescent="0.25">
      <c r="A32" s="103">
        <v>51</v>
      </c>
      <c r="B32" s="118"/>
      <c r="C32" s="128" t="s">
        <v>114</v>
      </c>
      <c r="D32" s="131">
        <v>11.907999999999999</v>
      </c>
      <c r="E32" s="128">
        <v>18.07</v>
      </c>
      <c r="F32" s="128">
        <v>14.02</v>
      </c>
    </row>
    <row r="33" spans="1:10" x14ac:dyDescent="0.25">
      <c r="A33" s="103">
        <v>52</v>
      </c>
      <c r="B33" s="118"/>
      <c r="C33" s="128" t="s">
        <v>104</v>
      </c>
      <c r="D33" s="128">
        <f>+D5</f>
        <v>1620343</v>
      </c>
      <c r="E33" s="128">
        <f t="shared" ref="E33:F33" si="6">+E5</f>
        <v>1636762</v>
      </c>
      <c r="F33" s="128">
        <f t="shared" si="6"/>
        <v>1666530</v>
      </c>
    </row>
    <row r="34" spans="1:10" x14ac:dyDescent="0.25">
      <c r="A34" s="103">
        <v>52</v>
      </c>
      <c r="B34" s="118" t="str">
        <f>+CAT!B57</f>
        <v>%</v>
      </c>
      <c r="C34" s="103" t="s">
        <v>25</v>
      </c>
      <c r="D34" s="125">
        <f>+D35/D36</f>
        <v>4.569249650908427E-3</v>
      </c>
      <c r="E34" s="125">
        <f>+E35/E36</f>
        <v>6.7223576996751884E-3</v>
      </c>
      <c r="F34" s="125">
        <f>+F35/F36</f>
        <v>5.0830988775125447E-3</v>
      </c>
    </row>
    <row r="35" spans="1:10" x14ac:dyDescent="0.25">
      <c r="A35" s="103">
        <v>56</v>
      </c>
      <c r="B35" s="118"/>
      <c r="C35" s="128" t="s">
        <v>114</v>
      </c>
      <c r="D35" s="131">
        <f>+D32</f>
        <v>11.907999999999999</v>
      </c>
      <c r="E35" s="128">
        <f t="shared" ref="E35:F35" si="7">+E32</f>
        <v>18.07</v>
      </c>
      <c r="F35" s="128">
        <f t="shared" si="7"/>
        <v>14.02</v>
      </c>
    </row>
    <row r="36" spans="1:10" x14ac:dyDescent="0.25">
      <c r="A36" s="103">
        <v>57</v>
      </c>
      <c r="B36" s="118"/>
      <c r="C36" t="s">
        <v>134</v>
      </c>
      <c r="D36" s="129">
        <f>+D23</f>
        <v>2606.1171767299984</v>
      </c>
      <c r="E36" s="129">
        <f t="shared" ref="E36:F36" si="8">+E23</f>
        <v>2688.04499958</v>
      </c>
      <c r="F36" s="129">
        <f t="shared" si="8"/>
        <v>2758.16</v>
      </c>
    </row>
    <row r="37" spans="1:10" x14ac:dyDescent="0.25">
      <c r="A37" s="103">
        <v>57</v>
      </c>
      <c r="B37" s="118" t="str">
        <f>+CAT!B62</f>
        <v>%</v>
      </c>
      <c r="C37" s="104" t="s">
        <v>26</v>
      </c>
      <c r="D37" s="125">
        <f>+(D38-D39)/D38</f>
        <v>0.16480731586632588</v>
      </c>
      <c r="E37" s="125">
        <f>+(E38-E39)/E38</f>
        <v>0.16899828672919512</v>
      </c>
      <c r="F37" s="125">
        <f>+(F38-F39)/F38</f>
        <v>0.15450155175914373</v>
      </c>
    </row>
    <row r="38" spans="1:10" x14ac:dyDescent="0.25">
      <c r="A38" s="103">
        <v>57</v>
      </c>
      <c r="B38" s="118"/>
      <c r="C38" t="s">
        <v>134</v>
      </c>
      <c r="D38" s="129">
        <f>+D23</f>
        <v>2606.1171767299984</v>
      </c>
      <c r="E38" s="129">
        <f t="shared" ref="E38:F38" si="9">+E23</f>
        <v>2688.04499958</v>
      </c>
      <c r="F38" s="129">
        <f t="shared" si="9"/>
        <v>2758.16</v>
      </c>
    </row>
    <row r="39" spans="1:10" x14ac:dyDescent="0.25">
      <c r="A39" s="103">
        <v>61</v>
      </c>
      <c r="B39" s="118"/>
      <c r="C39" s="128" t="s">
        <v>117</v>
      </c>
      <c r="D39" s="129">
        <f>+D29</f>
        <v>2176.61</v>
      </c>
      <c r="E39" s="129">
        <f t="shared" ref="E39:F39" si="10">+E29</f>
        <v>2233.77</v>
      </c>
      <c r="F39" s="129">
        <f t="shared" si="10"/>
        <v>2332.02</v>
      </c>
    </row>
    <row r="40" spans="1:10" ht="15" customHeight="1" x14ac:dyDescent="0.25">
      <c r="A40" s="103">
        <v>62</v>
      </c>
      <c r="B40" s="118" t="str">
        <f>+CAT!B67</f>
        <v>%</v>
      </c>
      <c r="C40" s="103" t="s">
        <v>99</v>
      </c>
      <c r="D40" s="125">
        <f>(D42-D41)/D42</f>
        <v>0.15357698289269051</v>
      </c>
      <c r="E40" s="125">
        <f>(E42-E41)/E42</f>
        <v>0.15504169825625475</v>
      </c>
      <c r="F40" s="125">
        <f>(F42-F41)/F42</f>
        <v>0.10316606470452624</v>
      </c>
    </row>
    <row r="41" spans="1:10" x14ac:dyDescent="0.25">
      <c r="A41" s="103">
        <v>63</v>
      </c>
      <c r="B41" s="118"/>
      <c r="C41" t="s">
        <v>130</v>
      </c>
      <c r="D41">
        <v>2177</v>
      </c>
      <c r="E41" s="115">
        <v>2229</v>
      </c>
      <c r="F41" s="115">
        <v>2334.1</v>
      </c>
    </row>
    <row r="42" spans="1:10" x14ac:dyDescent="0.25">
      <c r="A42" s="103">
        <v>66</v>
      </c>
      <c r="B42" s="118"/>
      <c r="C42" t="s">
        <v>102</v>
      </c>
      <c r="D42">
        <v>2572</v>
      </c>
      <c r="E42" s="115">
        <v>2638</v>
      </c>
      <c r="F42" s="115">
        <v>2602.6</v>
      </c>
    </row>
    <row r="43" spans="1:10" ht="13" thickBot="1" x14ac:dyDescent="0.3">
      <c r="C43" s="132" t="s">
        <v>166</v>
      </c>
    </row>
    <row r="44" spans="1:10" ht="19.5" thickTop="1" thickBot="1" x14ac:dyDescent="0.5">
      <c r="A44" s="105">
        <v>67</v>
      </c>
      <c r="B44" s="119"/>
      <c r="C44" s="113" t="s">
        <v>29</v>
      </c>
      <c r="D44" s="114">
        <v>2018</v>
      </c>
      <c r="E44" s="114">
        <v>2019</v>
      </c>
      <c r="F44" s="114">
        <v>2020</v>
      </c>
    </row>
    <row r="45" spans="1:10" ht="13" thickTop="1" x14ac:dyDescent="0.25">
      <c r="A45" s="105">
        <v>67</v>
      </c>
      <c r="B45" s="119" t="str">
        <f>+CAT!B72</f>
        <v>Euros per habitant</v>
      </c>
      <c r="C45" s="105" t="s">
        <v>30</v>
      </c>
      <c r="D45" s="124">
        <f>+D46/D47*1000000</f>
        <v>254.78494368167728</v>
      </c>
      <c r="E45" s="124">
        <f>+E46/E47*1000000</f>
        <v>212.29354053918649</v>
      </c>
      <c r="F45" s="124">
        <f>+F46/F47*1000000</f>
        <v>189.50993981506483</v>
      </c>
      <c r="I45" s="144" t="s">
        <v>146</v>
      </c>
      <c r="J45" s="143" t="s">
        <v>147</v>
      </c>
    </row>
    <row r="46" spans="1:10" x14ac:dyDescent="0.25">
      <c r="A46" s="105">
        <v>71</v>
      </c>
      <c r="B46" s="119"/>
      <c r="C46" s="128" t="s">
        <v>120</v>
      </c>
      <c r="D46" s="129">
        <v>412.839</v>
      </c>
      <c r="E46" s="129">
        <v>347.47399999999999</v>
      </c>
      <c r="F46" s="129">
        <v>315.82400000000001</v>
      </c>
      <c r="I46" s="144" t="s">
        <v>148</v>
      </c>
      <c r="J46" s="143" t="s">
        <v>149</v>
      </c>
    </row>
    <row r="47" spans="1:10" x14ac:dyDescent="0.25">
      <c r="A47" s="105">
        <v>72</v>
      </c>
      <c r="B47" s="119"/>
      <c r="C47" s="128" t="s">
        <v>104</v>
      </c>
      <c r="D47" s="130">
        <f>+D5</f>
        <v>1620343</v>
      </c>
      <c r="E47" s="130">
        <f t="shared" ref="E47:F47" si="11">+E5</f>
        <v>1636762</v>
      </c>
      <c r="F47" s="130">
        <f t="shared" si="11"/>
        <v>1666530</v>
      </c>
      <c r="I47" s="144" t="s">
        <v>150</v>
      </c>
      <c r="J47" s="143" t="s">
        <v>151</v>
      </c>
    </row>
    <row r="48" spans="1:10" x14ac:dyDescent="0.25">
      <c r="A48" s="105">
        <v>72</v>
      </c>
      <c r="B48" s="119" t="str">
        <f>+CAT!B77</f>
        <v>Euros per habitant</v>
      </c>
      <c r="C48" s="105" t="s">
        <v>32</v>
      </c>
      <c r="D48" s="124">
        <f>+D49/D50*1000000</f>
        <v>213.18202380607067</v>
      </c>
      <c r="E48" s="124">
        <f>+E49/E50*1000000</f>
        <v>201.6016989641744</v>
      </c>
      <c r="F48" s="124">
        <f>+F49/F50*1000000</f>
        <v>165.35195886062658</v>
      </c>
      <c r="I48" s="144" t="s">
        <v>152</v>
      </c>
      <c r="J48" s="143" t="s">
        <v>153</v>
      </c>
    </row>
    <row r="49" spans="1:10" x14ac:dyDescent="0.25">
      <c r="A49" s="105">
        <v>73</v>
      </c>
      <c r="B49" s="119"/>
      <c r="C49" t="s">
        <v>115</v>
      </c>
      <c r="D49" s="142">
        <v>345.428</v>
      </c>
      <c r="E49" s="142">
        <v>329.97399999999999</v>
      </c>
      <c r="F49" s="142">
        <v>275.56400000000002</v>
      </c>
      <c r="I49" s="144" t="s">
        <v>154</v>
      </c>
      <c r="J49" s="143" t="s">
        <v>155</v>
      </c>
    </row>
    <row r="50" spans="1:10" x14ac:dyDescent="0.25">
      <c r="A50" s="105">
        <v>76</v>
      </c>
      <c r="B50" s="119"/>
      <c r="C50" s="128" t="s">
        <v>104</v>
      </c>
      <c r="D50" s="130">
        <f>+D5</f>
        <v>1620343</v>
      </c>
      <c r="E50" s="130">
        <f t="shared" ref="E50:F50" si="12">+E5</f>
        <v>1636762</v>
      </c>
      <c r="F50" s="130">
        <f t="shared" si="12"/>
        <v>1666530</v>
      </c>
      <c r="I50" s="144" t="s">
        <v>156</v>
      </c>
      <c r="J50" s="143" t="s">
        <v>157</v>
      </c>
    </row>
    <row r="51" spans="1:10" x14ac:dyDescent="0.25">
      <c r="A51" s="105">
        <v>77</v>
      </c>
      <c r="B51" s="119" t="str">
        <f>+CAT!B82</f>
        <v>%</v>
      </c>
      <c r="C51" s="105" t="s">
        <v>35</v>
      </c>
      <c r="D51" s="125">
        <f>+D52/D53</f>
        <v>0.15501236264509916</v>
      </c>
      <c r="E51" s="125">
        <f>+E52/E53</f>
        <v>0.13056222610410362</v>
      </c>
      <c r="F51" s="125">
        <f>+F52/F53</f>
        <v>0.11482354583649032</v>
      </c>
      <c r="I51" s="144" t="s">
        <v>158</v>
      </c>
      <c r="J51" s="143" t="s">
        <v>159</v>
      </c>
    </row>
    <row r="52" spans="1:10" x14ac:dyDescent="0.25">
      <c r="A52" s="105">
        <v>81</v>
      </c>
      <c r="B52" s="119"/>
      <c r="C52" s="128" t="s">
        <v>120</v>
      </c>
      <c r="D52" s="129">
        <f>+D46</f>
        <v>412.839</v>
      </c>
      <c r="E52" s="129">
        <f t="shared" ref="E52:F52" si="13">+E46</f>
        <v>347.47399999999999</v>
      </c>
      <c r="F52" s="129">
        <f t="shared" si="13"/>
        <v>315.82400000000001</v>
      </c>
    </row>
    <row r="53" spans="1:10" x14ac:dyDescent="0.25">
      <c r="A53" s="105">
        <v>82</v>
      </c>
      <c r="B53" s="119"/>
      <c r="C53" t="s">
        <v>138</v>
      </c>
      <c r="D53" s="142">
        <v>2663.2649999999999</v>
      </c>
      <c r="E53" s="142">
        <v>2661.3670000000002</v>
      </c>
      <c r="F53" s="142">
        <v>2750.5160000000001</v>
      </c>
    </row>
    <row r="54" spans="1:10" x14ac:dyDescent="0.25">
      <c r="A54" s="105">
        <v>82</v>
      </c>
      <c r="B54" s="119" t="str">
        <f>+CAT!B87</f>
        <v>%</v>
      </c>
      <c r="C54" s="105" t="s">
        <v>37</v>
      </c>
      <c r="D54" s="125">
        <f>+D55/D56</f>
        <v>1.4086303828638394E-2</v>
      </c>
      <c r="E54" s="125">
        <f>+E55/E56</f>
        <v>2.280690763289012E-2</v>
      </c>
      <c r="F54" s="125">
        <f>+F55/F56</f>
        <v>1.8853928524275757E-2</v>
      </c>
    </row>
    <row r="55" spans="1:10" x14ac:dyDescent="0.25">
      <c r="A55" s="105">
        <v>86</v>
      </c>
      <c r="B55" s="119"/>
      <c r="C55" t="s">
        <v>145</v>
      </c>
      <c r="D55">
        <v>37.984000000000002</v>
      </c>
      <c r="E55">
        <v>61.887</v>
      </c>
      <c r="F55">
        <v>54.265000000000001</v>
      </c>
    </row>
    <row r="56" spans="1:10" x14ac:dyDescent="0.25">
      <c r="A56" s="105">
        <v>87</v>
      </c>
      <c r="B56" s="119"/>
      <c r="C56" s="134" t="s">
        <v>142</v>
      </c>
      <c r="D56" s="134">
        <v>2696.52</v>
      </c>
      <c r="E56" s="134">
        <v>2713.52</v>
      </c>
      <c r="F56" s="134">
        <v>2878.18</v>
      </c>
    </row>
    <row r="57" spans="1:10" x14ac:dyDescent="0.25">
      <c r="A57" s="105">
        <v>87</v>
      </c>
      <c r="B57" s="119" t="str">
        <f>+CAT!B92</f>
        <v>%</v>
      </c>
      <c r="C57" s="107" t="s">
        <v>39</v>
      </c>
      <c r="D57" s="125">
        <f t="shared" ref="D57:E57" si="14">+D58/D59</f>
        <v>6.1285677542415047E-2</v>
      </c>
      <c r="E57" s="125">
        <f t="shared" si="14"/>
        <v>4.7030341925784758E-2</v>
      </c>
      <c r="F57" s="125">
        <f>+F58/F59</f>
        <v>6.4010534750570447E-2</v>
      </c>
    </row>
    <row r="58" spans="1:10" x14ac:dyDescent="0.25">
      <c r="A58" s="105">
        <v>91</v>
      </c>
      <c r="B58" s="119"/>
      <c r="C58" t="s">
        <v>121</v>
      </c>
      <c r="D58">
        <v>163.22</v>
      </c>
      <c r="E58">
        <v>125.16500000000001</v>
      </c>
      <c r="F58">
        <v>176.06200000000001</v>
      </c>
    </row>
    <row r="59" spans="1:10" x14ac:dyDescent="0.25">
      <c r="A59" s="105">
        <v>92</v>
      </c>
      <c r="B59" s="119"/>
      <c r="C59" t="s">
        <v>138</v>
      </c>
      <c r="D59" s="141">
        <f>+D53</f>
        <v>2663.2649999999999</v>
      </c>
      <c r="E59" s="141">
        <f t="shared" ref="E59:F59" si="15">+E53</f>
        <v>2661.3670000000002</v>
      </c>
      <c r="F59" s="141">
        <f t="shared" si="15"/>
        <v>2750.5160000000001</v>
      </c>
    </row>
    <row r="60" spans="1:10" x14ac:dyDescent="0.25">
      <c r="A60" s="105">
        <v>93</v>
      </c>
      <c r="B60" s="119">
        <f>+CAT!B97</f>
        <v>0</v>
      </c>
      <c r="C60" t="s">
        <v>42</v>
      </c>
      <c r="D60" s="115">
        <f>+CAT!P97</f>
        <v>1.73</v>
      </c>
      <c r="E60" s="115"/>
      <c r="F60" s="115"/>
    </row>
    <row r="61" spans="1:10" x14ac:dyDescent="0.25">
      <c r="A61" s="105">
        <v>94</v>
      </c>
      <c r="B61" s="119">
        <f>+CAT!B98</f>
        <v>0</v>
      </c>
      <c r="C61" t="s">
        <v>43</v>
      </c>
      <c r="D61" s="115">
        <f>+CAT!P98</f>
        <v>0</v>
      </c>
      <c r="E61" s="115"/>
      <c r="F61" s="115"/>
    </row>
    <row r="62" spans="1:10" x14ac:dyDescent="0.25">
      <c r="A62" s="105">
        <v>95</v>
      </c>
      <c r="B62" s="119">
        <f>+CAT!B99</f>
        <v>0</v>
      </c>
      <c r="C62" t="s">
        <v>44</v>
      </c>
      <c r="D62" s="115">
        <f>+CAT!P99</f>
        <v>1.54</v>
      </c>
      <c r="E62" s="115"/>
      <c r="F62" s="115"/>
    </row>
    <row r="63" spans="1:10" x14ac:dyDescent="0.25">
      <c r="A63" s="105">
        <v>96</v>
      </c>
      <c r="B63" s="119">
        <f>+CAT!B100</f>
        <v>0</v>
      </c>
      <c r="C63" t="s">
        <v>45</v>
      </c>
      <c r="D63" s="115">
        <f>+CAT!P100</f>
        <v>0.14000000000000001</v>
      </c>
      <c r="E63" s="115"/>
      <c r="F63" s="115"/>
    </row>
    <row r="64" spans="1:10" x14ac:dyDescent="0.25">
      <c r="A64" s="105">
        <v>97</v>
      </c>
      <c r="B64" s="119">
        <f>+CAT!B101</f>
        <v>0</v>
      </c>
      <c r="C64" t="s">
        <v>46</v>
      </c>
      <c r="D64" s="115">
        <f>+CAT!P101</f>
        <v>3.49</v>
      </c>
      <c r="E64" s="115"/>
      <c r="F64" s="115"/>
    </row>
    <row r="65" spans="1:6" x14ac:dyDescent="0.25">
      <c r="A65" s="105">
        <v>98</v>
      </c>
      <c r="B65" s="119">
        <f>+CAT!B102</f>
        <v>0</v>
      </c>
      <c r="C65" t="s">
        <v>47</v>
      </c>
      <c r="D65" s="115">
        <f>+CAT!P102</f>
        <v>13.25</v>
      </c>
      <c r="E65" s="115"/>
      <c r="F65" s="115"/>
    </row>
    <row r="66" spans="1:6" x14ac:dyDescent="0.25">
      <c r="A66" s="105">
        <v>99</v>
      </c>
      <c r="B66" s="119">
        <f>+CAT!B103</f>
        <v>0</v>
      </c>
      <c r="C66" t="s">
        <v>48</v>
      </c>
      <c r="D66" s="115">
        <f>+CAT!P103</f>
        <v>0.33</v>
      </c>
      <c r="E66" s="115"/>
      <c r="F66" s="115"/>
    </row>
    <row r="67" spans="1:6" x14ac:dyDescent="0.25">
      <c r="A67" s="105">
        <v>100</v>
      </c>
      <c r="B67" s="119">
        <f>+CAT!B104</f>
        <v>0</v>
      </c>
      <c r="C67" t="s">
        <v>49</v>
      </c>
      <c r="D67" s="115">
        <f>+CAT!P104</f>
        <v>1.05</v>
      </c>
      <c r="E67" s="115"/>
      <c r="F67" s="115"/>
    </row>
    <row r="68" spans="1:6" x14ac:dyDescent="0.25">
      <c r="A68" s="105">
        <v>101</v>
      </c>
      <c r="B68" s="119">
        <f>+CAT!B105</f>
        <v>0</v>
      </c>
      <c r="C68" t="s">
        <v>50</v>
      </c>
      <c r="D68" s="115">
        <f>+CAT!P105</f>
        <v>94.42</v>
      </c>
      <c r="E68" s="115"/>
      <c r="F68" s="115"/>
    </row>
    <row r="69" spans="1:6" x14ac:dyDescent="0.25">
      <c r="A69" s="105">
        <v>101</v>
      </c>
      <c r="B69" s="119" t="str">
        <f>+CAT!B106</f>
        <v>Euros per habitant</v>
      </c>
      <c r="C69" t="s">
        <v>51</v>
      </c>
      <c r="D69" s="115">
        <f>+CAT!P106</f>
        <v>115.95</v>
      </c>
      <c r="E69" s="115"/>
      <c r="F69" s="115"/>
    </row>
    <row r="70" spans="1:6" x14ac:dyDescent="0.25">
      <c r="A70" s="105">
        <v>103</v>
      </c>
      <c r="B70" s="119"/>
      <c r="C70" t="s">
        <v>104</v>
      </c>
    </row>
    <row r="71" spans="1:6" ht="13" thickBot="1" x14ac:dyDescent="0.3">
      <c r="C71" t="s">
        <v>166</v>
      </c>
    </row>
    <row r="72" spans="1:6" ht="19.5" thickTop="1" thickBot="1" x14ac:dyDescent="0.5">
      <c r="A72" s="108">
        <v>107</v>
      </c>
      <c r="B72" s="120"/>
      <c r="C72" s="113" t="s">
        <v>54</v>
      </c>
      <c r="D72" s="114">
        <v>2018</v>
      </c>
      <c r="E72" s="114">
        <v>2019</v>
      </c>
      <c r="F72" s="114">
        <v>2020</v>
      </c>
    </row>
    <row r="73" spans="1:6" ht="13" thickTop="1" x14ac:dyDescent="0.25">
      <c r="A73" s="108">
        <v>107</v>
      </c>
      <c r="B73" s="120" t="str">
        <f>+CAT!B112</f>
        <v>%</v>
      </c>
      <c r="C73" s="108" t="s">
        <v>55</v>
      </c>
      <c r="D73" s="125">
        <f>+CAT!P112</f>
        <v>0.97068457052849821</v>
      </c>
      <c r="E73" s="125">
        <f>+CAT!Q112</f>
        <v>1.0015512209366588</v>
      </c>
      <c r="F73" s="125">
        <f>+F74/F75</f>
        <v>0.94512199126522822</v>
      </c>
    </row>
    <row r="74" spans="1:6" x14ac:dyDescent="0.25">
      <c r="A74" s="108">
        <v>111</v>
      </c>
      <c r="B74" s="120"/>
      <c r="C74" s="134" t="s">
        <v>107</v>
      </c>
      <c r="D74" s="134">
        <v>2696.52</v>
      </c>
      <c r="E74" s="134">
        <v>2713.52</v>
      </c>
      <c r="F74" s="134">
        <v>2878.18</v>
      </c>
    </row>
    <row r="75" spans="1:6" x14ac:dyDescent="0.25">
      <c r="A75" s="108">
        <v>112</v>
      </c>
      <c r="B75" s="120"/>
      <c r="C75" t="s">
        <v>160</v>
      </c>
      <c r="D75" s="112"/>
      <c r="E75" s="112"/>
      <c r="F75" s="142">
        <v>3045.3</v>
      </c>
    </row>
    <row r="76" spans="1:6" x14ac:dyDescent="0.25">
      <c r="A76" s="108">
        <v>112</v>
      </c>
      <c r="B76" s="120" t="str">
        <f>+CAT!B117</f>
        <v>%</v>
      </c>
      <c r="C76" s="108" t="s">
        <v>57</v>
      </c>
      <c r="D76" s="125">
        <f>+CAT!P117</f>
        <v>1.007946754405302</v>
      </c>
      <c r="E76" s="125">
        <f>+CAT!Q117</f>
        <v>1.0362675985027856</v>
      </c>
      <c r="F76" s="125">
        <v>0.98499999999999999</v>
      </c>
    </row>
    <row r="77" spans="1:6" x14ac:dyDescent="0.25">
      <c r="A77" s="108">
        <v>116</v>
      </c>
      <c r="B77" s="120"/>
      <c r="C77" s="101" t="s">
        <v>110</v>
      </c>
      <c r="D77" s="136">
        <f>+D23</f>
        <v>2606.1171767299984</v>
      </c>
      <c r="E77" s="135">
        <f t="shared" ref="E77:F77" si="16">+E23</f>
        <v>2688.04499958</v>
      </c>
      <c r="F77" s="135">
        <f t="shared" si="16"/>
        <v>2758.16</v>
      </c>
    </row>
    <row r="78" spans="1:6" x14ac:dyDescent="0.25">
      <c r="A78" s="108">
        <v>117</v>
      </c>
      <c r="B78" s="120"/>
      <c r="C78" t="s">
        <v>161</v>
      </c>
      <c r="D78" s="112"/>
      <c r="E78" s="112"/>
      <c r="F78" s="112"/>
    </row>
    <row r="79" spans="1:6" x14ac:dyDescent="0.25">
      <c r="A79" s="108">
        <v>117</v>
      </c>
      <c r="B79" s="120" t="str">
        <f>+CAT!B122</f>
        <v>%</v>
      </c>
      <c r="C79" s="108" t="s">
        <v>59</v>
      </c>
      <c r="D79" s="125">
        <f>+CAT!P122</f>
        <v>0.90700000000000003</v>
      </c>
      <c r="E79" s="125">
        <f>+CAT!Q122</f>
        <v>0.78296537489656226</v>
      </c>
      <c r="F79" s="125">
        <v>0.42299999999999999</v>
      </c>
    </row>
    <row r="80" spans="1:6" x14ac:dyDescent="0.25">
      <c r="A80" s="108">
        <v>121</v>
      </c>
      <c r="B80" s="120"/>
      <c r="C80" t="s">
        <v>106</v>
      </c>
      <c r="D80" s="112"/>
      <c r="E80" s="112"/>
      <c r="F80" s="112"/>
    </row>
    <row r="81" spans="1:6" x14ac:dyDescent="0.25">
      <c r="A81" s="108">
        <v>122</v>
      </c>
      <c r="B81" s="120"/>
      <c r="C81" t="s">
        <v>162</v>
      </c>
      <c r="D81" s="112"/>
      <c r="E81" s="112"/>
      <c r="F81" s="112"/>
    </row>
    <row r="82" spans="1:6" x14ac:dyDescent="0.25">
      <c r="A82" s="108">
        <v>122</v>
      </c>
      <c r="B82" s="120" t="str">
        <f>+CAT!B127</f>
        <v>%</v>
      </c>
      <c r="C82" s="108" t="s">
        <v>61</v>
      </c>
      <c r="D82" s="125">
        <f>+CAT!P127</f>
        <v>0.95871335769626298</v>
      </c>
      <c r="E82" s="125">
        <f>+CAT!Q127</f>
        <v>0.98230121479565535</v>
      </c>
      <c r="F82" s="125">
        <v>0.90300000000000002</v>
      </c>
    </row>
    <row r="83" spans="1:6" x14ac:dyDescent="0.25">
      <c r="A83" s="108">
        <v>126</v>
      </c>
      <c r="B83" s="120"/>
      <c r="C83" s="139" t="s">
        <v>122</v>
      </c>
      <c r="D83" s="141">
        <f>+D59</f>
        <v>2663.2649999999999</v>
      </c>
      <c r="E83" s="141">
        <f t="shared" ref="E83:F83" si="17">+E59</f>
        <v>2661.3670000000002</v>
      </c>
      <c r="F83" s="141">
        <f t="shared" si="17"/>
        <v>2750.5160000000001</v>
      </c>
    </row>
    <row r="84" spans="1:6" x14ac:dyDescent="0.25">
      <c r="A84" s="108">
        <v>127</v>
      </c>
      <c r="B84" s="120"/>
      <c r="C84" t="s">
        <v>163</v>
      </c>
      <c r="D84" s="112"/>
      <c r="E84" s="112"/>
      <c r="F84" s="112"/>
    </row>
    <row r="85" spans="1:6" x14ac:dyDescent="0.25">
      <c r="A85" s="108">
        <v>127</v>
      </c>
      <c r="B85" s="120" t="str">
        <f>+CAT!B132</f>
        <v>%</v>
      </c>
      <c r="C85" s="108" t="s">
        <v>63</v>
      </c>
      <c r="D85" s="125">
        <f>+CAT!P132</f>
        <v>0.97336544712826756</v>
      </c>
      <c r="E85" s="125">
        <f>+CAT!Q132</f>
        <v>0.98456565360801429</v>
      </c>
      <c r="F85" s="125">
        <v>0.94399999999999995</v>
      </c>
    </row>
    <row r="86" spans="1:6" x14ac:dyDescent="0.25">
      <c r="A86" s="108">
        <v>131</v>
      </c>
      <c r="B86" s="120"/>
      <c r="C86" t="s">
        <v>116</v>
      </c>
      <c r="D86" s="142">
        <v>2176.6080000000002</v>
      </c>
      <c r="E86" s="142">
        <v>2233.7669999999998</v>
      </c>
      <c r="F86" s="142">
        <v>2332.02</v>
      </c>
    </row>
    <row r="87" spans="1:6" x14ac:dyDescent="0.25">
      <c r="A87" s="108">
        <v>132</v>
      </c>
      <c r="B87" s="120"/>
      <c r="C87" t="s">
        <v>164</v>
      </c>
      <c r="D87" s="112"/>
      <c r="E87" s="112"/>
      <c r="F87" s="112"/>
    </row>
    <row r="88" spans="1:6" x14ac:dyDescent="0.25">
      <c r="A88" s="108">
        <v>132</v>
      </c>
      <c r="B88" s="120" t="str">
        <f>+CAT!B137</f>
        <v>%</v>
      </c>
      <c r="C88" s="108" t="s">
        <v>65</v>
      </c>
      <c r="D88" s="125">
        <f>+CAT!P137</f>
        <v>0.9545093137731766</v>
      </c>
      <c r="E88" s="125">
        <f>+CAT!Q137</f>
        <v>0.98397371982058934</v>
      </c>
      <c r="F88" s="125">
        <v>0.71599999999999997</v>
      </c>
    </row>
    <row r="89" spans="1:6" x14ac:dyDescent="0.25">
      <c r="A89" s="108">
        <v>133</v>
      </c>
      <c r="B89" s="120"/>
      <c r="C89" s="128" t="s">
        <v>120</v>
      </c>
      <c r="D89" s="131">
        <f>+D46</f>
        <v>412.839</v>
      </c>
      <c r="E89" s="131">
        <f t="shared" ref="E89:F89" si="18">+E46</f>
        <v>347.47399999999999</v>
      </c>
      <c r="F89" s="131">
        <f t="shared" si="18"/>
        <v>315.82400000000001</v>
      </c>
    </row>
    <row r="90" spans="1:6" x14ac:dyDescent="0.25">
      <c r="A90" s="108">
        <v>136</v>
      </c>
      <c r="B90" s="120"/>
      <c r="C90" t="s">
        <v>165</v>
      </c>
      <c r="D90" s="112"/>
      <c r="E90" s="112"/>
      <c r="F90" s="112"/>
    </row>
    <row r="91" spans="1:6" x14ac:dyDescent="0.25">
      <c r="A91" s="108">
        <v>137</v>
      </c>
      <c r="B91" s="120" t="str">
        <f>+CAT!B142</f>
        <v>Euros per habitant</v>
      </c>
      <c r="C91" s="108" t="s">
        <v>68</v>
      </c>
      <c r="D91" s="124">
        <f>+D92/D93*1000000</f>
        <v>1598.0844796441247</v>
      </c>
      <c r="E91" s="124">
        <f>+E92/E93*1000000</f>
        <v>1577.0411336529075</v>
      </c>
      <c r="F91" s="124">
        <f>+F92/F93*1000000</f>
        <v>1605.0320126250351</v>
      </c>
    </row>
    <row r="92" spans="1:6" x14ac:dyDescent="0.25">
      <c r="A92" s="108">
        <v>138</v>
      </c>
      <c r="B92" s="120"/>
      <c r="C92" s="128" t="s">
        <v>118</v>
      </c>
      <c r="D92" s="129">
        <v>2589.4450000000002</v>
      </c>
      <c r="E92" s="129">
        <v>2581.241</v>
      </c>
      <c r="F92" s="129">
        <v>2674.8339999999998</v>
      </c>
    </row>
    <row r="93" spans="1:6" x14ac:dyDescent="0.25">
      <c r="A93" s="108">
        <v>141</v>
      </c>
      <c r="B93" s="120"/>
      <c r="C93" s="128" t="s">
        <v>104</v>
      </c>
      <c r="D93" s="130">
        <f>+D5</f>
        <v>1620343</v>
      </c>
      <c r="E93" s="130">
        <f t="shared" ref="E93:F93" si="19">+E5</f>
        <v>1636762</v>
      </c>
      <c r="F93" s="130">
        <f t="shared" si="19"/>
        <v>1666530</v>
      </c>
    </row>
    <row r="94" spans="1:6" x14ac:dyDescent="0.25">
      <c r="A94" s="108">
        <v>142</v>
      </c>
      <c r="B94" s="120" t="str">
        <f>+CAT!B147</f>
        <v>Euros per habitant</v>
      </c>
      <c r="C94" s="108" t="s">
        <v>71</v>
      </c>
      <c r="D94" s="124">
        <f>+CAT!P147</f>
        <v>1643.6</v>
      </c>
      <c r="E94" s="124">
        <f>+E95/E96*1000000</f>
        <v>1625.9951049694459</v>
      </c>
      <c r="F94" s="124">
        <f>+F95/F96*1000000</f>
        <v>1650.4449364847919</v>
      </c>
    </row>
    <row r="95" spans="1:6" x14ac:dyDescent="0.25">
      <c r="A95" s="108">
        <v>144</v>
      </c>
      <c r="B95" s="120"/>
      <c r="C95" s="139" t="s">
        <v>119</v>
      </c>
      <c r="D95" s="140">
        <f>+D59</f>
        <v>2663.2649999999999</v>
      </c>
      <c r="E95" s="140">
        <f t="shared" ref="E95:F95" si="20">+E59</f>
        <v>2661.3670000000002</v>
      </c>
      <c r="F95" s="140">
        <f t="shared" si="20"/>
        <v>2750.5160000000001</v>
      </c>
    </row>
    <row r="96" spans="1:6" x14ac:dyDescent="0.25">
      <c r="A96" s="108">
        <v>147</v>
      </c>
      <c r="B96" s="120"/>
      <c r="C96" s="128" t="s">
        <v>104</v>
      </c>
      <c r="D96" s="130">
        <f>+D5</f>
        <v>1620343</v>
      </c>
      <c r="E96" s="130">
        <f t="shared" ref="E96:F96" si="21">+E5</f>
        <v>1636762</v>
      </c>
      <c r="F96" s="130">
        <f t="shared" si="21"/>
        <v>1666530</v>
      </c>
    </row>
    <row r="97" spans="1:6" ht="13" thickBot="1" x14ac:dyDescent="0.3">
      <c r="C97" s="133" t="s">
        <v>166</v>
      </c>
    </row>
    <row r="98" spans="1:6" ht="19.5" thickTop="1" thickBot="1" x14ac:dyDescent="0.5">
      <c r="A98" s="109">
        <v>148</v>
      </c>
      <c r="B98" s="121"/>
      <c r="C98" s="113" t="s">
        <v>73</v>
      </c>
    </row>
    <row r="99" spans="1:6" ht="13" thickTop="1" x14ac:dyDescent="0.25">
      <c r="A99" s="109">
        <v>148</v>
      </c>
      <c r="B99" s="121" t="str">
        <f>+CAT!B153</f>
        <v>%</v>
      </c>
      <c r="C99" s="109" t="s">
        <v>74</v>
      </c>
      <c r="D99" s="125">
        <f>+D100/D101</f>
        <v>0.54421254060789459</v>
      </c>
      <c r="E99" s="125">
        <f>+E100/E101</f>
        <v>0.55690763289012057</v>
      </c>
      <c r="F99" s="125">
        <f>+F100/F101</f>
        <v>0.53671000423878978</v>
      </c>
    </row>
    <row r="100" spans="1:6" x14ac:dyDescent="0.25">
      <c r="A100" s="109">
        <v>152</v>
      </c>
      <c r="B100" s="121"/>
      <c r="C100" s="102" t="s">
        <v>108</v>
      </c>
      <c r="D100" s="138">
        <v>1467.48</v>
      </c>
      <c r="E100" s="138">
        <v>1511.18</v>
      </c>
      <c r="F100" s="138">
        <v>1544.748</v>
      </c>
    </row>
    <row r="101" spans="1:6" x14ac:dyDescent="0.25">
      <c r="A101" s="109">
        <v>153</v>
      </c>
      <c r="B101" s="121"/>
      <c r="C101" s="134" t="s">
        <v>109</v>
      </c>
      <c r="D101" s="134">
        <v>2696.52</v>
      </c>
      <c r="E101" s="134">
        <v>2713.52</v>
      </c>
      <c r="F101" s="134">
        <v>2878.18</v>
      </c>
    </row>
    <row r="102" spans="1:6" x14ac:dyDescent="0.25">
      <c r="A102" s="109">
        <v>153</v>
      </c>
      <c r="B102" s="121" t="str">
        <f>+CAT!B158</f>
        <v>%</v>
      </c>
      <c r="C102" s="109" t="s">
        <v>76</v>
      </c>
      <c r="D102" s="125">
        <f>+D103/D104</f>
        <v>0.43007129033307923</v>
      </c>
      <c r="E102" s="125">
        <f>+E103/E104</f>
        <v>0.42276775511106851</v>
      </c>
      <c r="F102" s="125">
        <f>+F103/F104</f>
        <v>0.4338884244821164</v>
      </c>
    </row>
    <row r="103" spans="1:6" x14ac:dyDescent="0.25">
      <c r="A103" s="109">
        <v>155</v>
      </c>
      <c r="B103" s="121"/>
      <c r="C103" t="s">
        <v>111</v>
      </c>
      <c r="D103">
        <v>1136.4349999999999</v>
      </c>
      <c r="E103">
        <v>1146.8589999999999</v>
      </c>
      <c r="F103">
        <v>1204.7090000000001</v>
      </c>
    </row>
    <row r="104" spans="1:6" x14ac:dyDescent="0.25">
      <c r="A104" s="109">
        <v>158</v>
      </c>
      <c r="B104" s="121"/>
      <c r="C104" s="128" t="s">
        <v>127</v>
      </c>
      <c r="D104">
        <v>2642.4340000000002</v>
      </c>
      <c r="E104">
        <v>2712.74</v>
      </c>
      <c r="F104">
        <v>2776.5410000000002</v>
      </c>
    </row>
    <row r="105" spans="1:6" ht="13" thickBot="1" x14ac:dyDescent="0.3">
      <c r="C105" s="132" t="s">
        <v>139</v>
      </c>
    </row>
    <row r="106" spans="1:6" ht="19.5" thickTop="1" thickBot="1" x14ac:dyDescent="0.5">
      <c r="A106" s="106">
        <v>159</v>
      </c>
      <c r="B106" s="122"/>
      <c r="C106" s="113" t="s">
        <v>78</v>
      </c>
      <c r="D106" s="114">
        <v>2018</v>
      </c>
      <c r="E106" s="114">
        <v>2019</v>
      </c>
      <c r="F106" s="114">
        <v>2020</v>
      </c>
    </row>
    <row r="107" spans="1:6" ht="13" thickTop="1" x14ac:dyDescent="0.25">
      <c r="A107" s="106">
        <v>159</v>
      </c>
      <c r="B107" s="122" t="str">
        <f>+CAT!B164</f>
        <v>Euros per habitant</v>
      </c>
      <c r="C107" s="106" t="s">
        <v>79</v>
      </c>
      <c r="D107" s="124">
        <f>+D108*1000000/D109</f>
        <v>6.813372230447504</v>
      </c>
      <c r="E107" s="124">
        <f>+E108*1000000/E109</f>
        <v>31.222010286162558</v>
      </c>
      <c r="F107" s="124">
        <f>+F108*1000000/F109</f>
        <v>70.389371928498136</v>
      </c>
    </row>
    <row r="108" spans="1:6" x14ac:dyDescent="0.25">
      <c r="A108" s="106">
        <v>163</v>
      </c>
      <c r="B108" s="122"/>
      <c r="C108" t="s">
        <v>123</v>
      </c>
      <c r="D108" s="115">
        <v>11.04</v>
      </c>
      <c r="E108" s="115">
        <v>51.103000000000002</v>
      </c>
      <c r="F108" s="115">
        <v>117.306</v>
      </c>
    </row>
    <row r="109" spans="1:6" x14ac:dyDescent="0.25">
      <c r="A109" s="106">
        <v>164</v>
      </c>
      <c r="B109" s="122"/>
      <c r="C109" s="128" t="s">
        <v>104</v>
      </c>
      <c r="D109" s="130">
        <f>+D5</f>
        <v>1620343</v>
      </c>
      <c r="E109" s="130">
        <f t="shared" ref="E109:F109" si="22">+E5</f>
        <v>1636762</v>
      </c>
      <c r="F109" s="130">
        <f t="shared" si="22"/>
        <v>1666530</v>
      </c>
    </row>
    <row r="110" spans="1:6" x14ac:dyDescent="0.25">
      <c r="A110" s="106">
        <v>164</v>
      </c>
      <c r="B110" s="122" t="str">
        <f>+CAT!B169</f>
        <v>Euros per habitant</v>
      </c>
      <c r="C110" s="106" t="s">
        <v>81</v>
      </c>
      <c r="D110" s="124">
        <f>+(D112-D111)/D113*1000000</f>
        <v>32.702335246302809</v>
      </c>
      <c r="E110" s="124">
        <f>+(E112-E111)/E113*1000000</f>
        <v>80.340941444143866</v>
      </c>
      <c r="F110" s="124">
        <f>+(F112-F111)/F113*1000000</f>
        <v>61.029204394760569</v>
      </c>
    </row>
    <row r="111" spans="1:6" x14ac:dyDescent="0.25">
      <c r="A111" s="106">
        <v>164</v>
      </c>
      <c r="B111" s="122"/>
      <c r="C111" s="128" t="s">
        <v>118</v>
      </c>
      <c r="D111" s="129">
        <f>+D92</f>
        <v>2589.4450000000002</v>
      </c>
      <c r="E111" s="129">
        <f t="shared" ref="E111:F111" si="23">+E92</f>
        <v>2581.241</v>
      </c>
      <c r="F111" s="129">
        <f t="shared" si="23"/>
        <v>2674.8339999999998</v>
      </c>
    </row>
    <row r="112" spans="1:6" x14ac:dyDescent="0.25">
      <c r="A112" s="106">
        <v>164</v>
      </c>
      <c r="B112" s="122"/>
      <c r="C112" t="s">
        <v>127</v>
      </c>
      <c r="D112" s="115">
        <f>+D104</f>
        <v>2642.4340000000002</v>
      </c>
      <c r="E112" s="115">
        <f t="shared" ref="E112:F112" si="24">+E104</f>
        <v>2712.74</v>
      </c>
      <c r="F112" s="115">
        <f t="shared" si="24"/>
        <v>2776.5410000000002</v>
      </c>
    </row>
    <row r="113" spans="1:6" x14ac:dyDescent="0.25">
      <c r="A113" s="106">
        <v>168</v>
      </c>
      <c r="B113" s="122"/>
      <c r="C113" s="128" t="s">
        <v>104</v>
      </c>
      <c r="D113" s="130">
        <f>+D5</f>
        <v>1620343</v>
      </c>
      <c r="E113" s="130">
        <f t="shared" ref="E113:F113" si="25">+E5</f>
        <v>1636762</v>
      </c>
      <c r="F113" s="130">
        <f t="shared" si="25"/>
        <v>1666530</v>
      </c>
    </row>
    <row r="114" spans="1:6" x14ac:dyDescent="0.25">
      <c r="A114" s="106">
        <v>169</v>
      </c>
      <c r="B114" s="122"/>
      <c r="C114" s="128" t="s">
        <v>118</v>
      </c>
      <c r="D114" s="129">
        <f>+D92</f>
        <v>2589.4450000000002</v>
      </c>
      <c r="E114" s="129">
        <f t="shared" ref="E114:F114" si="26">+E92</f>
        <v>2581.241</v>
      </c>
      <c r="F114" s="129">
        <f t="shared" si="26"/>
        <v>2674.8339999999998</v>
      </c>
    </row>
    <row r="115" spans="1:6" x14ac:dyDescent="0.25">
      <c r="A115" s="106">
        <v>173</v>
      </c>
      <c r="B115" s="122" t="str">
        <f>+CAT!B174</f>
        <v>Milions d'euros</v>
      </c>
      <c r="C115" s="106" t="s">
        <v>83</v>
      </c>
      <c r="D115" s="124">
        <f>+D117</f>
        <v>7.7</v>
      </c>
      <c r="E115" s="124">
        <f t="shared" ref="E115:F115" si="27">+E117</f>
        <v>64.7</v>
      </c>
      <c r="F115" s="124">
        <f t="shared" si="27"/>
        <v>-49.2</v>
      </c>
    </row>
    <row r="116" spans="1:6" x14ac:dyDescent="0.25">
      <c r="A116" s="106">
        <v>174</v>
      </c>
      <c r="B116" s="122"/>
      <c r="C116" s="106" t="s">
        <v>85</v>
      </c>
      <c r="D116" s="124">
        <f>+D117*1000000/D118</f>
        <v>4.7520802694244368</v>
      </c>
      <c r="E116" s="124">
        <f>+E117*1000000/E118</f>
        <v>39.529265708759127</v>
      </c>
      <c r="F116" s="124">
        <f>+F117*1000000/F118</f>
        <v>-29.522420838508758</v>
      </c>
    </row>
    <row r="117" spans="1:6" x14ac:dyDescent="0.25">
      <c r="A117" s="106">
        <v>178</v>
      </c>
      <c r="B117" s="122"/>
      <c r="C117" s="128" t="s">
        <v>125</v>
      </c>
      <c r="D117" s="128">
        <v>7.7</v>
      </c>
      <c r="E117" s="128">
        <v>64.7</v>
      </c>
      <c r="F117" s="128">
        <v>-49.2</v>
      </c>
    </row>
    <row r="118" spans="1:6" x14ac:dyDescent="0.25">
      <c r="A118" s="106">
        <v>179</v>
      </c>
      <c r="B118" s="122"/>
      <c r="C118" s="128" t="s">
        <v>104</v>
      </c>
      <c r="D118" s="130">
        <f>+D5</f>
        <v>1620343</v>
      </c>
      <c r="E118" s="130">
        <f t="shared" ref="E118:F118" si="28">+E5</f>
        <v>1636762</v>
      </c>
      <c r="F118" s="130">
        <f t="shared" si="28"/>
        <v>1666530</v>
      </c>
    </row>
    <row r="119" spans="1:6" x14ac:dyDescent="0.25">
      <c r="A119" s="106">
        <v>179</v>
      </c>
      <c r="B119" s="122" t="str">
        <f>+CAT!B184</f>
        <v>%</v>
      </c>
      <c r="C119" s="106" t="s">
        <v>87</v>
      </c>
      <c r="D119" s="125">
        <f>+D120/D121</f>
        <v>2.9558541266794624E-3</v>
      </c>
      <c r="E119" s="125">
        <f t="shared" ref="E119:F119" si="29">+E120/E121</f>
        <v>2.4286786786786786E-2</v>
      </c>
      <c r="F119" s="125">
        <f t="shared" si="29"/>
        <v>-1.8778625954198474E-2</v>
      </c>
    </row>
    <row r="120" spans="1:6" x14ac:dyDescent="0.25">
      <c r="A120" s="106">
        <v>181</v>
      </c>
      <c r="B120" s="122"/>
      <c r="C120" s="128" t="s">
        <v>125</v>
      </c>
      <c r="D120" s="128">
        <f>+D117</f>
        <v>7.7</v>
      </c>
      <c r="E120" s="128">
        <f t="shared" ref="E120:F120" si="30">+E117</f>
        <v>64.7</v>
      </c>
      <c r="F120" s="128">
        <f t="shared" si="30"/>
        <v>-49.2</v>
      </c>
    </row>
    <row r="121" spans="1:6" x14ac:dyDescent="0.25">
      <c r="A121" s="106">
        <v>184</v>
      </c>
      <c r="B121" s="122"/>
      <c r="C121" t="s">
        <v>126</v>
      </c>
      <c r="D121">
        <v>2605</v>
      </c>
      <c r="E121">
        <v>2664</v>
      </c>
      <c r="F121">
        <v>2620</v>
      </c>
    </row>
    <row r="122" spans="1:6" ht="13" thickBot="1" x14ac:dyDescent="0.3">
      <c r="C122" s="133" t="s">
        <v>166</v>
      </c>
    </row>
    <row r="123" spans="1:6" ht="19.5" thickTop="1" thickBot="1" x14ac:dyDescent="0.5">
      <c r="A123" s="111">
        <v>185</v>
      </c>
      <c r="B123" s="123"/>
      <c r="C123" s="113" t="s">
        <v>89</v>
      </c>
      <c r="D123" s="114">
        <v>2018</v>
      </c>
      <c r="E123" s="114">
        <v>2019</v>
      </c>
      <c r="F123" s="114">
        <v>2020</v>
      </c>
    </row>
    <row r="124" spans="1:6" ht="13" thickTop="1" x14ac:dyDescent="0.25">
      <c r="A124" s="111">
        <v>185</v>
      </c>
      <c r="B124" s="123" t="str">
        <f>+CAT!B190</f>
        <v>Dies</v>
      </c>
      <c r="C124" s="111" t="s">
        <v>90</v>
      </c>
      <c r="D124" s="124">
        <f>+D125*365/D126</f>
        <v>75.214314009308126</v>
      </c>
      <c r="E124" s="124">
        <f>+E125*365/E126</f>
        <v>59.240204376172088</v>
      </c>
      <c r="F124" s="124">
        <f>+F125*365/F126</f>
        <v>77.417768156956726</v>
      </c>
    </row>
    <row r="125" spans="1:6" x14ac:dyDescent="0.25">
      <c r="A125" s="111">
        <v>189</v>
      </c>
      <c r="B125" s="123"/>
      <c r="C125" t="s">
        <v>113</v>
      </c>
      <c r="D125">
        <v>548.80999999999995</v>
      </c>
      <c r="E125">
        <v>431.94499999999999</v>
      </c>
      <c r="F125">
        <v>583.39400000000001</v>
      </c>
    </row>
    <row r="126" spans="1:6" x14ac:dyDescent="0.25">
      <c r="A126" s="111">
        <v>190</v>
      </c>
      <c r="B126" s="123"/>
      <c r="C126" s="128" t="s">
        <v>144</v>
      </c>
      <c r="D126" s="141">
        <f>+D59</f>
        <v>2663.2649999999999</v>
      </c>
      <c r="E126" s="141">
        <f t="shared" ref="E126:F126" si="31">+E59</f>
        <v>2661.3670000000002</v>
      </c>
      <c r="F126" s="141">
        <f t="shared" si="31"/>
        <v>2750.5160000000001</v>
      </c>
    </row>
    <row r="127" spans="1:6" x14ac:dyDescent="0.25">
      <c r="A127" s="111">
        <v>190</v>
      </c>
      <c r="B127" s="123" t="str">
        <f>+CAT!B195</f>
        <v>Dies</v>
      </c>
      <c r="C127" s="111" t="s">
        <v>93</v>
      </c>
      <c r="D127" s="126">
        <f>+CAT!P195</f>
        <v>28.8</v>
      </c>
      <c r="E127" s="127">
        <v>28.4</v>
      </c>
      <c r="F127" s="126">
        <v>22.8</v>
      </c>
    </row>
    <row r="128" spans="1:6" x14ac:dyDescent="0.25">
      <c r="A128" s="111">
        <v>194</v>
      </c>
      <c r="B128" s="123"/>
      <c r="C128" t="s">
        <v>100</v>
      </c>
    </row>
    <row r="129" spans="1:6" x14ac:dyDescent="0.25">
      <c r="A129" s="111">
        <v>195</v>
      </c>
      <c r="B129" s="123"/>
      <c r="C129" t="s">
        <v>101</v>
      </c>
    </row>
    <row r="130" spans="1:6" x14ac:dyDescent="0.25">
      <c r="A130" s="111">
        <v>195</v>
      </c>
      <c r="B130" s="123" t="str">
        <f>+CAT!B200</f>
        <v>Dies</v>
      </c>
      <c r="C130" s="111" t="s">
        <v>96</v>
      </c>
      <c r="D130" s="126">
        <f>+CAT!P200</f>
        <v>28.8</v>
      </c>
      <c r="E130" s="127"/>
      <c r="F130" s="127"/>
    </row>
    <row r="131" spans="1:6" x14ac:dyDescent="0.25">
      <c r="A131" s="111"/>
      <c r="B131" s="123"/>
      <c r="C131" t="s">
        <v>105</v>
      </c>
    </row>
    <row r="132" spans="1:6" x14ac:dyDescent="0.25">
      <c r="A132" s="111"/>
      <c r="B132" s="123"/>
      <c r="C132" s="102" t="s">
        <v>143</v>
      </c>
      <c r="D132" s="138">
        <v>1467.48</v>
      </c>
      <c r="E132" s="138">
        <v>1511.18</v>
      </c>
      <c r="F132" s="138">
        <v>1544.748</v>
      </c>
    </row>
  </sheetData>
  <autoFilter ref="A1:F132"/>
  <sortState ref="A1:D135">
    <sortCondition ref="A1:A135"/>
  </sortState>
  <conditionalFormatting sqref="C1:C1048576">
    <cfRule type="duplicateValues" dxfId="0" priority="2"/>
  </conditionalFormatting>
  <pageMargins left="0.7" right="0.7" top="0.75" bottom="0.75" header="0.3" footer="0.3"/>
  <customProperties>
    <customPr name="EpmWorksheetKeyString_GUID" r:id="rId1"/>
  </customProperties>
  <ignoredErrors>
    <ignoredError sqref="I45:I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CAT</vt:lpstr>
      <vt:lpstr>Full1</vt:lpstr>
      <vt:lpstr>CAT!Àrea_d'impressió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Raül</cp:lastModifiedBy>
  <cp:lastPrinted>2019-05-02T10:52:13Z</cp:lastPrinted>
  <dcterms:created xsi:type="dcterms:W3CDTF">2019-03-14T10:41:52Z</dcterms:created>
  <dcterms:modified xsi:type="dcterms:W3CDTF">2021-06-14T12:27:16Z</dcterms:modified>
</cp:coreProperties>
</file>